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_000\Desktop\"/>
    </mc:Choice>
  </mc:AlternateContent>
  <bookViews>
    <workbookView xWindow="0" yWindow="0" windowWidth="16392" windowHeight="6912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1" l="1"/>
  <c r="F69" i="1"/>
  <c r="E70" i="1"/>
  <c r="E69" i="1"/>
  <c r="D70" i="1"/>
  <c r="D69" i="1"/>
  <c r="F67" i="1"/>
  <c r="F66" i="1"/>
  <c r="C64" i="1"/>
  <c r="B33" i="1" l="1"/>
  <c r="B21" i="1"/>
  <c r="B22" i="1"/>
  <c r="B10" i="1"/>
  <c r="C66" i="1"/>
  <c r="E66" i="1"/>
  <c r="D66" i="1"/>
  <c r="B66" i="1"/>
  <c r="F64" i="1"/>
  <c r="E64" i="1"/>
  <c r="E65" i="1" s="1"/>
  <c r="D64" i="1"/>
  <c r="B64" i="1"/>
  <c r="C57" i="1"/>
  <c r="C55" i="1"/>
  <c r="B55" i="1"/>
  <c r="E55" i="1" s="1"/>
  <c r="C52" i="1"/>
  <c r="E53" i="1" s="1"/>
  <c r="B52" i="1"/>
  <c r="D52" i="1" s="1"/>
  <c r="B49" i="1"/>
  <c r="B48" i="1"/>
  <c r="B47" i="1"/>
  <c r="B46" i="1"/>
  <c r="C45" i="1"/>
  <c r="B32" i="1"/>
  <c r="B57" i="1"/>
  <c r="D57" i="1" s="1"/>
  <c r="D58" i="1" s="1"/>
  <c r="E67" i="1" l="1"/>
  <c r="D67" i="1"/>
  <c r="F65" i="1"/>
  <c r="D65" i="1"/>
  <c r="E56" i="1"/>
  <c r="D53" i="1"/>
  <c r="F52" i="1"/>
  <c r="D55" i="1"/>
  <c r="D60" i="1" s="1"/>
  <c r="F55" i="1"/>
  <c r="F56" i="1" s="1"/>
  <c r="E57" i="1"/>
  <c r="E52" i="1"/>
  <c r="F53" i="1"/>
  <c r="D56" i="1" l="1"/>
  <c r="D61" i="1" s="1"/>
  <c r="E58" i="1"/>
  <c r="E61" i="1" s="1"/>
  <c r="E60" i="1"/>
  <c r="B30" i="1" l="1"/>
  <c r="C25" i="1" s="1"/>
  <c r="F57" i="1"/>
  <c r="B19" i="1"/>
  <c r="F25" i="1" l="1"/>
  <c r="E25" i="1"/>
  <c r="F58" i="1"/>
  <c r="F61" i="1" s="1"/>
  <c r="F60" i="1"/>
  <c r="C15" i="1"/>
  <c r="F15" i="1" s="1"/>
  <c r="C13" i="1"/>
  <c r="D13" i="1" s="1"/>
  <c r="C18" i="1"/>
  <c r="E15" i="1"/>
  <c r="D25" i="1"/>
  <c r="C28" i="1"/>
  <c r="C16" i="1"/>
  <c r="E16" i="1" s="1"/>
  <c r="E18" i="1"/>
  <c r="C14" i="1"/>
  <c r="E14" i="1" s="1"/>
  <c r="C24" i="1"/>
  <c r="C26" i="1"/>
  <c r="D15" i="1"/>
  <c r="C17" i="1"/>
  <c r="C29" i="1"/>
  <c r="C27" i="1"/>
  <c r="C4" i="1"/>
  <c r="C5" i="1"/>
  <c r="C6" i="1"/>
  <c r="C7" i="1"/>
  <c r="C3" i="1"/>
  <c r="F3" i="1" l="1"/>
  <c r="E3" i="1"/>
  <c r="E6" i="1"/>
  <c r="F6" i="1"/>
  <c r="E4" i="1"/>
  <c r="F4" i="1"/>
  <c r="F8" i="1" s="1"/>
  <c r="F29" i="1"/>
  <c r="E29" i="1"/>
  <c r="F24" i="1"/>
  <c r="E24" i="1"/>
  <c r="F28" i="1"/>
  <c r="E28" i="1"/>
  <c r="F7" i="1"/>
  <c r="F36" i="1" s="1"/>
  <c r="E7" i="1"/>
  <c r="F5" i="1"/>
  <c r="E5" i="1"/>
  <c r="F27" i="1"/>
  <c r="E27" i="1"/>
  <c r="F26" i="1"/>
  <c r="E26" i="1"/>
  <c r="D29" i="1"/>
  <c r="F17" i="1"/>
  <c r="E17" i="1"/>
  <c r="D26" i="1"/>
  <c r="F13" i="1"/>
  <c r="E13" i="1"/>
  <c r="E19" i="1" s="1"/>
  <c r="F37" i="1" s="1"/>
  <c r="D27" i="1"/>
  <c r="D24" i="1"/>
  <c r="D28" i="1"/>
  <c r="D18" i="1"/>
  <c r="D37" i="1" s="1"/>
  <c r="F18" i="1"/>
  <c r="D14" i="1"/>
  <c r="F14" i="1"/>
  <c r="D16" i="1"/>
  <c r="F16" i="1"/>
  <c r="D17" i="1"/>
  <c r="D3" i="1"/>
  <c r="D7" i="1"/>
  <c r="D5" i="1"/>
  <c r="D6" i="1"/>
  <c r="D4" i="1"/>
  <c r="D19" i="1" l="1"/>
  <c r="E48" i="1"/>
  <c r="F48" i="1"/>
  <c r="D48" i="1"/>
  <c r="F19" i="1"/>
  <c r="E37" i="1" s="1"/>
  <c r="E8" i="1"/>
  <c r="E36" i="1" s="1"/>
  <c r="F30" i="1"/>
  <c r="F38" i="1" s="1"/>
  <c r="F39" i="1" s="1"/>
  <c r="D30" i="1"/>
  <c r="D38" i="1" s="1"/>
  <c r="E30" i="1"/>
  <c r="E38" i="1" s="1"/>
  <c r="D8" i="1"/>
  <c r="D36" i="1" s="1"/>
  <c r="F41" i="1" l="1"/>
  <c r="F42" i="1"/>
  <c r="F45" i="1"/>
  <c r="D39" i="1"/>
  <c r="E39" i="1"/>
  <c r="E45" i="1" s="1"/>
  <c r="D41" i="1" l="1"/>
  <c r="D42" i="1"/>
  <c r="E41" i="1"/>
  <c r="E42" i="1"/>
  <c r="D45" i="1"/>
</calcChain>
</file>

<file path=xl/comments1.xml><?xml version="1.0" encoding="utf-8"?>
<comments xmlns="http://schemas.openxmlformats.org/spreadsheetml/2006/main">
  <authors>
    <author>felix_000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felix_000:</t>
        </r>
        <r>
          <rPr>
            <sz val="9"/>
            <color indexed="81"/>
            <rFont val="Tahoma"/>
            <family val="2"/>
          </rPr>
          <t xml:space="preserve">
http://calcarbondash.org/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felix_000:</t>
        </r>
        <r>
          <rPr>
            <sz val="9"/>
            <color indexed="81"/>
            <rFont val="Tahoma"/>
            <family val="2"/>
          </rPr>
          <t xml:space="preserve">
http://www.eenews.net/assets/2015/01/13/document_cw_01.pdf study says price of CO2 220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felix_000:</t>
        </r>
        <r>
          <rPr>
            <sz val="9"/>
            <color indexed="81"/>
            <rFont val="Tahoma"/>
            <family val="2"/>
          </rPr>
          <t xml:space="preserve">
http://www.synapse-energy.com/sites/default/files/2015%20Carbon%20Dioxide%20Price%20Report.pdf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felix_000:</t>
        </r>
        <r>
          <rPr>
            <sz val="9"/>
            <color indexed="81"/>
            <rFont val="Tahoma"/>
            <family val="2"/>
          </rPr>
          <t xml:space="preserve">
Since Methane is 38 times more of potent than car, I mulitpiled 38 times 220
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felix_000:</t>
        </r>
        <r>
          <rPr>
            <sz val="9"/>
            <color indexed="81"/>
            <rFont val="Tahoma"/>
            <family val="2"/>
          </rPr>
          <t xml:space="preserve">
Since Nitrous Oxide is 398 more potent of a GHG, I multiplied 220 by 398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felix_000:</t>
        </r>
        <r>
          <rPr>
            <sz val="9"/>
            <color indexed="81"/>
            <rFont val="Tahoma"/>
            <family val="2"/>
          </rPr>
          <t xml:space="preserve">
Pounds produced divided by 8.6, since 8.6 lbs of milk equals 1 galleon 
http://usda.mannlib.cornell.edu/usda/nass/MilkProd//2010s/2013/MilkProd-12-19-2013.pdf</t>
        </r>
      </text>
    </comment>
  </commentList>
</comments>
</file>

<file path=xl/sharedStrings.xml><?xml version="1.0" encoding="utf-8"?>
<sst xmlns="http://schemas.openxmlformats.org/spreadsheetml/2006/main" count="124" uniqueCount="85">
  <si>
    <t>Other Non-Fuel Emissions</t>
  </si>
  <si>
    <t>Electricty</t>
  </si>
  <si>
    <t>Transportation</t>
  </si>
  <si>
    <t>Industry</t>
  </si>
  <si>
    <t xml:space="preserve">Residertial Commericial </t>
  </si>
  <si>
    <t>Percentage Released</t>
  </si>
  <si>
    <t>Cost Per Ton Low</t>
  </si>
  <si>
    <t>Cost Per Ton High</t>
  </si>
  <si>
    <t>Cost Per Ton Average</t>
  </si>
  <si>
    <t>Totals</t>
  </si>
  <si>
    <t>Methane Sources</t>
  </si>
  <si>
    <t>Coal Mining</t>
  </si>
  <si>
    <r>
      <rPr>
        <b/>
        <sz val="11"/>
        <color theme="1"/>
        <rFont val="Calibri"/>
        <family val="2"/>
        <scheme val="minor"/>
      </rPr>
      <t>Carbon Dioxide Source</t>
    </r>
    <r>
      <rPr>
        <sz val="11"/>
        <color theme="1"/>
        <rFont val="Calibri"/>
        <family val="2"/>
        <scheme val="minor"/>
      </rPr>
      <t xml:space="preserve"> </t>
    </r>
  </si>
  <si>
    <t>Other</t>
  </si>
  <si>
    <t>Enteric Fermentation</t>
  </si>
  <si>
    <t>Land Fills</t>
  </si>
  <si>
    <t>Manure Management</t>
  </si>
  <si>
    <t>Cost per ton low</t>
  </si>
  <si>
    <t>Cost per ton high</t>
  </si>
  <si>
    <t>Cost per ton average</t>
  </si>
  <si>
    <t xml:space="preserve"> </t>
  </si>
  <si>
    <t>Nitrous Oxide Sources</t>
  </si>
  <si>
    <t>Stationary Combustion</t>
  </si>
  <si>
    <t>Industry o Chemical Production</t>
  </si>
  <si>
    <t>Ag soil and Management</t>
  </si>
  <si>
    <t xml:space="preserve">Total Methane Released in tons </t>
  </si>
  <si>
    <t xml:space="preserve">Total Carbon Dioxide Released </t>
  </si>
  <si>
    <t>Total Nitrous Oxide Released</t>
  </si>
  <si>
    <t>Carbon Dioxide</t>
  </si>
  <si>
    <t>Methane</t>
  </si>
  <si>
    <t>Nitrous Oxide</t>
  </si>
  <si>
    <t>Low</t>
  </si>
  <si>
    <t>Average</t>
  </si>
  <si>
    <t>High</t>
  </si>
  <si>
    <t xml:space="preserve">Social Security </t>
  </si>
  <si>
    <t>Medicare</t>
  </si>
  <si>
    <t>Total 2013 in billions dollars</t>
  </si>
  <si>
    <t>Methane released in tons</t>
  </si>
  <si>
    <t>Nitrous Oxide Released in tons</t>
  </si>
  <si>
    <t>Disel Sold in US</t>
  </si>
  <si>
    <t>Airplane Fuel</t>
  </si>
  <si>
    <t>One million</t>
  </si>
  <si>
    <t>Type 2014</t>
  </si>
  <si>
    <t xml:space="preserve">Gas sold in the United States </t>
  </si>
  <si>
    <t>Program Name</t>
  </si>
  <si>
    <t>https://www3.epa.gov/climatechange/Downloads/ghgemissions/US-GHG-Inventory-2013-Chapter-3-Energy.pdf</t>
  </si>
  <si>
    <t>Aviation Gasoline</t>
  </si>
  <si>
    <t>Fuel Cost Increase Low</t>
  </si>
  <si>
    <t>Fuel Cost Increase Average</t>
  </si>
  <si>
    <t>Fuel Increase Cost High</t>
  </si>
  <si>
    <t>per ton</t>
  </si>
  <si>
    <t>One thousand</t>
  </si>
  <si>
    <t xml:space="preserve">one billion </t>
  </si>
  <si>
    <t>Emission Type Totals</t>
  </si>
  <si>
    <t>Corporate Tax collected 33% (all gov.)</t>
  </si>
  <si>
    <t>Total Collected 2013</t>
  </si>
  <si>
    <t>Percentage added</t>
  </si>
  <si>
    <t>Carbon Dioxide Gas Emitted in tons</t>
  </si>
  <si>
    <t>Total Low</t>
  </si>
  <si>
    <t>Total Average</t>
  </si>
  <si>
    <t>Total High</t>
  </si>
  <si>
    <t>Amount of Methan Emitted</t>
  </si>
  <si>
    <t>Amount of beef sold in US (LBS)</t>
  </si>
  <si>
    <t>Revenues</t>
  </si>
  <si>
    <t>per lbs increase</t>
  </si>
  <si>
    <t>Tons of Methane Emitted</t>
  </si>
  <si>
    <t>Amount of Beef Sold In US</t>
  </si>
  <si>
    <t>Tons of Nitrous Oxide Emitted</t>
  </si>
  <si>
    <t>Total Revenue Collected</t>
  </si>
  <si>
    <t>Low Per Ton</t>
  </si>
  <si>
    <t>Average Per Ton</t>
  </si>
  <si>
    <t>Total Rise Per LBS In Beef</t>
  </si>
  <si>
    <t>High Per ton</t>
  </si>
  <si>
    <t>Cost of Average Per Ton</t>
  </si>
  <si>
    <t>Cost of High Per Ton</t>
  </si>
  <si>
    <t>Cost per ton Average</t>
  </si>
  <si>
    <t>Corporate Tax Rate</t>
  </si>
  <si>
    <t>Beef (from fementation)</t>
  </si>
  <si>
    <t>Beef (Manure Manegement)</t>
  </si>
  <si>
    <t>Amount of Methane Emitted</t>
  </si>
  <si>
    <t>Amount of Milk Produced</t>
  </si>
  <si>
    <t>Rise in a Galleon of Milk</t>
  </si>
  <si>
    <t>Diary (fermentation)</t>
  </si>
  <si>
    <t>Diary (Manure)</t>
  </si>
  <si>
    <t>Rise in a Gallon of 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</si>
</sst>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4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/>
      <right style="thin">
        <color theme="4" tint="0.79998168889431442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thin">
        <color theme="4" tint="0.79998168889431442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4" tint="0.79998168889431442"/>
      </bottom>
      <diagonal/>
    </border>
    <border>
      <left style="medium">
        <color theme="1"/>
      </left>
      <right style="thin">
        <color theme="4" tint="0.79998168889431442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 style="thin">
        <color theme="4" tint="0.79998168889431442"/>
      </top>
      <bottom style="medium">
        <color theme="1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medium">
        <color theme="1"/>
      </bottom>
      <diagonal/>
    </border>
    <border>
      <left/>
      <right style="medium">
        <color theme="1"/>
      </right>
      <top style="thin">
        <color theme="4" tint="0.79998168889431442"/>
      </top>
      <bottom style="medium">
        <color theme="1"/>
      </bottom>
      <diagonal/>
    </border>
    <border>
      <left/>
      <right/>
      <top/>
      <bottom style="thin">
        <color theme="4" tint="0.79998168889431442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 style="medium">
        <color theme="1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medium">
        <color theme="1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medium">
        <color theme="1"/>
      </bottom>
      <diagonal/>
    </border>
    <border>
      <left/>
      <right/>
      <top/>
      <bottom style="medium">
        <color theme="4" tint="0.7999816888943144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1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medium">
        <color theme="1"/>
      </top>
      <bottom style="thin">
        <color theme="4" tint="0.39997558519241921"/>
      </bottom>
      <diagonal/>
    </border>
    <border>
      <left style="medium">
        <color theme="1"/>
      </left>
      <right style="thin">
        <color theme="4" tint="0.79998168889431442"/>
      </right>
      <top/>
      <bottom style="medium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medium">
        <color theme="1"/>
      </bottom>
      <diagonal/>
    </border>
    <border>
      <left style="medium">
        <color theme="1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medium">
        <color theme="1"/>
      </left>
      <right style="thin">
        <color theme="4" tint="0.79998168889431442"/>
      </right>
      <top style="medium">
        <color theme="1"/>
      </top>
      <bottom/>
      <diagonal/>
    </border>
    <border>
      <left style="thin">
        <color theme="4" tint="0.39997558519241921"/>
      </left>
      <right style="medium">
        <color theme="1"/>
      </right>
      <top style="medium">
        <color theme="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1"/>
      </right>
      <top style="thin">
        <color theme="4" tint="0.39997558519241921"/>
      </top>
      <bottom style="medium">
        <color theme="1"/>
      </bottom>
      <diagonal/>
    </border>
    <border>
      <left style="thin">
        <color theme="4" tint="0.39997558519241921"/>
      </left>
      <right style="medium">
        <color theme="1"/>
      </right>
      <top style="thin">
        <color theme="4" tint="0.39997558519241921"/>
      </top>
      <bottom/>
      <diagonal/>
    </border>
    <border>
      <left/>
      <right/>
      <top style="medium">
        <color theme="1"/>
      </top>
      <bottom style="thin">
        <color theme="4" tint="0.79998168889431442"/>
      </bottom>
      <diagonal/>
    </border>
    <border>
      <left/>
      <right style="medium">
        <color theme="1"/>
      </right>
      <top style="medium">
        <color theme="1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medium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medium">
        <color theme="1"/>
      </left>
      <right style="thin">
        <color theme="4" tint="0.39997558519241921"/>
      </right>
      <top style="medium">
        <color theme="1"/>
      </top>
      <bottom style="thin">
        <color theme="4" tint="0.39997558519241921"/>
      </bottom>
      <diagonal/>
    </border>
    <border>
      <left style="medium">
        <color theme="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1"/>
      </left>
      <right style="thin">
        <color theme="4" tint="0.39997558519241921"/>
      </right>
      <top style="thin">
        <color theme="4" tint="0.39997558519241921"/>
      </top>
      <bottom style="medium">
        <color theme="1"/>
      </bottom>
      <diagonal/>
    </border>
    <border>
      <left style="medium">
        <color theme="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Border="1"/>
    <xf numFmtId="9" fontId="0" fillId="0" borderId="0" xfId="2" applyFont="1" applyBorder="1"/>
    <xf numFmtId="44" fontId="0" fillId="0" borderId="0" xfId="1" applyFont="1" applyBorder="1"/>
    <xf numFmtId="0" fontId="3" fillId="0" borderId="1" xfId="0" applyFont="1" applyBorder="1" applyAlignment="1">
      <alignment horizontal="center"/>
    </xf>
    <xf numFmtId="3" fontId="0" fillId="0" borderId="0" xfId="0" applyNumberFormat="1"/>
    <xf numFmtId="44" fontId="0" fillId="2" borderId="0" xfId="1" applyFont="1" applyFill="1" applyBorder="1"/>
    <xf numFmtId="44" fontId="0" fillId="2" borderId="0" xfId="0" applyNumberFormat="1" applyFill="1" applyBorder="1"/>
    <xf numFmtId="44" fontId="0" fillId="0" borderId="2" xfId="1" applyFont="1" applyBorder="1"/>
    <xf numFmtId="44" fontId="0" fillId="0" borderId="3" xfId="1" applyFont="1" applyBorder="1"/>
    <xf numFmtId="0" fontId="0" fillId="0" borderId="4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8" xfId="0" applyBorder="1"/>
    <xf numFmtId="44" fontId="0" fillId="0" borderId="9" xfId="0" applyNumberFormat="1" applyBorder="1"/>
    <xf numFmtId="0" fontId="0" fillId="0" borderId="10" xfId="0" applyBorder="1"/>
    <xf numFmtId="0" fontId="0" fillId="0" borderId="11" xfId="0" applyBorder="1"/>
    <xf numFmtId="44" fontId="0" fillId="2" borderId="13" xfId="0" applyNumberFormat="1" applyFill="1" applyBorder="1"/>
    <xf numFmtId="44" fontId="0" fillId="2" borderId="14" xfId="0" applyNumberFormat="1" applyFill="1" applyBorder="1"/>
    <xf numFmtId="44" fontId="0" fillId="2" borderId="15" xfId="0" applyNumberFormat="1" applyFill="1" applyBorder="1"/>
    <xf numFmtId="44" fontId="0" fillId="0" borderId="9" xfId="1" applyFont="1" applyBorder="1"/>
    <xf numFmtId="0" fontId="0" fillId="0" borderId="18" xfId="0" applyBorder="1"/>
    <xf numFmtId="44" fontId="0" fillId="2" borderId="18" xfId="1" applyFont="1" applyFill="1" applyBorder="1"/>
    <xf numFmtId="44" fontId="0" fillId="2" borderId="17" xfId="1" applyFont="1" applyFill="1" applyBorder="1"/>
    <xf numFmtId="0" fontId="0" fillId="0" borderId="19" xfId="0" applyBorder="1" applyAlignment="1"/>
    <xf numFmtId="0" fontId="0" fillId="0" borderId="12" xfId="0" applyBorder="1"/>
    <xf numFmtId="0" fontId="0" fillId="0" borderId="16" xfId="0" applyBorder="1"/>
    <xf numFmtId="0" fontId="0" fillId="4" borderId="22" xfId="0" applyFill="1" applyBorder="1"/>
    <xf numFmtId="0" fontId="0" fillId="0" borderId="12" xfId="0" applyFont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4" fontId="0" fillId="3" borderId="20" xfId="1" applyFont="1" applyFill="1" applyBorder="1"/>
    <xf numFmtId="0" fontId="0" fillId="0" borderId="5" xfId="0" applyBorder="1"/>
    <xf numFmtId="44" fontId="0" fillId="0" borderId="0" xfId="0" applyNumberFormat="1" applyBorder="1"/>
    <xf numFmtId="44" fontId="0" fillId="5" borderId="0" xfId="0" applyNumberFormat="1" applyFill="1" applyBorder="1"/>
    <xf numFmtId="3" fontId="5" fillId="0" borderId="0" xfId="0" applyNumberFormat="1" applyFont="1" applyBorder="1"/>
    <xf numFmtId="3" fontId="0" fillId="0" borderId="0" xfId="0" applyNumberFormat="1" applyBorder="1"/>
    <xf numFmtId="0" fontId="3" fillId="0" borderId="5" xfId="0" applyFont="1" applyBorder="1" applyAlignment="1">
      <alignment horizontal="center" wrapText="1"/>
    </xf>
    <xf numFmtId="9" fontId="0" fillId="0" borderId="25" xfId="2" applyFont="1" applyBorder="1"/>
    <xf numFmtId="44" fontId="0" fillId="3" borderId="5" xfId="1" applyFont="1" applyFill="1" applyBorder="1"/>
    <xf numFmtId="44" fontId="0" fillId="3" borderId="0" xfId="1" applyFont="1" applyFill="1" applyBorder="1"/>
    <xf numFmtId="44" fontId="0" fillId="3" borderId="18" xfId="1" applyFont="1" applyFill="1" applyBorder="1"/>
    <xf numFmtId="0" fontId="0" fillId="4" borderId="26" xfId="0" applyFill="1" applyBorder="1"/>
    <xf numFmtId="4" fontId="0" fillId="4" borderId="26" xfId="0" applyNumberFormat="1" applyFill="1" applyBorder="1"/>
    <xf numFmtId="44" fontId="0" fillId="4" borderId="26" xfId="1" applyFont="1" applyFill="1" applyBorder="1"/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3" fillId="4" borderId="30" xfId="0" applyFont="1" applyFill="1" applyBorder="1" applyAlignment="1">
      <alignment horizontal="center"/>
    </xf>
    <xf numFmtId="0" fontId="0" fillId="0" borderId="31" xfId="0" applyFont="1" applyBorder="1"/>
    <xf numFmtId="0" fontId="0" fillId="0" borderId="24" xfId="0" applyFont="1" applyBorder="1"/>
    <xf numFmtId="0" fontId="4" fillId="4" borderId="32" xfId="0" applyFont="1" applyFill="1" applyBorder="1" applyAlignment="1">
      <alignment horizontal="right"/>
    </xf>
    <xf numFmtId="0" fontId="0" fillId="4" borderId="33" xfId="0" applyFill="1" applyBorder="1"/>
    <xf numFmtId="44" fontId="0" fillId="3" borderId="21" xfId="1" applyFont="1" applyFill="1" applyBorder="1"/>
    <xf numFmtId="0" fontId="2" fillId="0" borderId="34" xfId="0" applyFont="1" applyBorder="1"/>
    <xf numFmtId="0" fontId="0" fillId="0" borderId="23" xfId="0" applyBorder="1"/>
    <xf numFmtId="0" fontId="0" fillId="4" borderId="30" xfId="0" applyFont="1" applyFill="1" applyBorder="1" applyAlignment="1">
      <alignment horizontal="center"/>
    </xf>
    <xf numFmtId="0" fontId="0" fillId="4" borderId="35" xfId="0" applyFill="1" applyBorder="1"/>
    <xf numFmtId="0" fontId="0" fillId="4" borderId="36" xfId="0" applyFill="1" applyBorder="1" applyAlignment="1">
      <alignment horizontal="left"/>
    </xf>
    <xf numFmtId="0" fontId="0" fillId="4" borderId="37" xfId="0" applyFill="1" applyBorder="1"/>
    <xf numFmtId="0" fontId="0" fillId="4" borderId="38" xfId="0" applyFill="1" applyBorder="1"/>
    <xf numFmtId="0" fontId="0" fillId="4" borderId="30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44" fontId="0" fillId="2" borderId="18" xfId="0" applyNumberFormat="1" applyFill="1" applyBorder="1"/>
    <xf numFmtId="44" fontId="0" fillId="2" borderId="41" xfId="0" applyNumberFormat="1" applyFill="1" applyBorder="1"/>
    <xf numFmtId="44" fontId="0" fillId="2" borderId="17" xfId="0" applyNumberFormat="1" applyFill="1" applyBorder="1"/>
    <xf numFmtId="0" fontId="0" fillId="4" borderId="36" xfId="0" applyFill="1" applyBorder="1"/>
    <xf numFmtId="0" fontId="0" fillId="4" borderId="42" xfId="0" applyFill="1" applyBorder="1"/>
    <xf numFmtId="0" fontId="2" fillId="4" borderId="43" xfId="0" applyFont="1" applyFill="1" applyBorder="1"/>
    <xf numFmtId="44" fontId="0" fillId="2" borderId="9" xfId="0" applyNumberFormat="1" applyFill="1" applyBorder="1"/>
    <xf numFmtId="0" fontId="4" fillId="4" borderId="45" xfId="0" applyFont="1" applyFill="1" applyBorder="1" applyAlignment="1">
      <alignment horizontal="right"/>
    </xf>
    <xf numFmtId="0" fontId="4" fillId="4" borderId="46" xfId="0" applyFont="1" applyFill="1" applyBorder="1" applyAlignment="1">
      <alignment horizontal="right"/>
    </xf>
    <xf numFmtId="0" fontId="0" fillId="4" borderId="30" xfId="0" applyFill="1" applyBorder="1"/>
    <xf numFmtId="9" fontId="0" fillId="0" borderId="9" xfId="2" applyFont="1" applyBorder="1"/>
    <xf numFmtId="0" fontId="0" fillId="4" borderId="32" xfId="0" applyFill="1" applyBorder="1"/>
    <xf numFmtId="9" fontId="0" fillId="0" borderId="5" xfId="2" applyFont="1" applyBorder="1" applyAlignment="1">
      <alignment horizontal="center"/>
    </xf>
    <xf numFmtId="9" fontId="0" fillId="0" borderId="7" xfId="2" applyFont="1" applyBorder="1" applyAlignment="1">
      <alignment horizontal="center"/>
    </xf>
    <xf numFmtId="44" fontId="0" fillId="4" borderId="27" xfId="1" applyFont="1" applyFill="1" applyBorder="1"/>
    <xf numFmtId="3" fontId="0" fillId="0" borderId="5" xfId="0" applyNumberFormat="1" applyFill="1" applyBorder="1"/>
    <xf numFmtId="0" fontId="0" fillId="0" borderId="7" xfId="0" applyBorder="1"/>
    <xf numFmtId="0" fontId="0" fillId="0" borderId="9" xfId="0" applyBorder="1"/>
    <xf numFmtId="0" fontId="0" fillId="0" borderId="17" xfId="0" applyBorder="1"/>
    <xf numFmtId="0" fontId="0" fillId="4" borderId="32" xfId="0" applyFill="1" applyBorder="1" applyAlignment="1">
      <alignment horizontal="right"/>
    </xf>
    <xf numFmtId="44" fontId="0" fillId="0" borderId="18" xfId="1" applyFont="1" applyBorder="1"/>
    <xf numFmtId="44" fontId="0" fillId="0" borderId="17" xfId="1" applyFont="1" applyBorder="1"/>
    <xf numFmtId="0" fontId="0" fillId="4" borderId="43" xfId="0" applyFill="1" applyBorder="1" applyAlignment="1">
      <alignment horizontal="center"/>
    </xf>
    <xf numFmtId="0" fontId="4" fillId="4" borderId="44" xfId="0" applyFont="1" applyFill="1" applyBorder="1" applyAlignment="1">
      <alignment horizontal="right"/>
    </xf>
    <xf numFmtId="44" fontId="0" fillId="5" borderId="9" xfId="0" applyNumberFormat="1" applyFill="1" applyBorder="1"/>
    <xf numFmtId="44" fontId="0" fillId="5" borderId="18" xfId="0" applyNumberFormat="1" applyFill="1" applyBorder="1"/>
    <xf numFmtId="44" fontId="0" fillId="5" borderId="17" xfId="0" applyNumberFormat="1" applyFill="1" applyBorder="1"/>
    <xf numFmtId="0" fontId="0" fillId="4" borderId="47" xfId="0" applyFill="1" applyBorder="1"/>
    <xf numFmtId="0" fontId="4" fillId="0" borderId="4" xfId="0" applyFont="1" applyBorder="1"/>
    <xf numFmtId="0" fontId="4" fillId="0" borderId="5" xfId="0" applyFont="1" applyBorder="1"/>
    <xf numFmtId="0" fontId="4" fillId="0" borderId="7" xfId="0" applyFont="1" applyBorder="1"/>
    <xf numFmtId="44" fontId="0" fillId="5" borderId="12" xfId="0" applyNumberFormat="1" applyFill="1" applyBorder="1"/>
    <xf numFmtId="44" fontId="0" fillId="5" borderId="17" xfId="1" applyFont="1" applyFill="1" applyBorder="1"/>
    <xf numFmtId="9" fontId="6" fillId="0" borderId="0" xfId="2" applyFont="1" applyBorder="1"/>
    <xf numFmtId="9" fontId="6" fillId="0" borderId="9" xfId="2" applyFont="1" applyBorder="1"/>
    <xf numFmtId="9" fontId="6" fillId="0" borderId="18" xfId="2" applyFont="1" applyBorder="1"/>
    <xf numFmtId="9" fontId="6" fillId="0" borderId="17" xfId="2" applyFont="1" applyBorder="1"/>
    <xf numFmtId="44" fontId="6" fillId="0" borderId="0" xfId="2" applyNumberFormat="1" applyFont="1" applyBorder="1"/>
    <xf numFmtId="0" fontId="0" fillId="4" borderId="44" xfId="0" applyFill="1" applyBorder="1" applyAlignment="1">
      <alignment horizontal="right"/>
    </xf>
    <xf numFmtId="0" fontId="0" fillId="4" borderId="26" xfId="0" applyFill="1" applyBorder="1" applyAlignment="1">
      <alignment horizontal="right"/>
    </xf>
    <xf numFmtId="0" fontId="0" fillId="0" borderId="48" xfId="0" applyBorder="1"/>
    <xf numFmtId="0" fontId="0" fillId="0" borderId="49" xfId="0" applyBorder="1"/>
    <xf numFmtId="0" fontId="0" fillId="4" borderId="50" xfId="0" applyFill="1" applyBorder="1"/>
    <xf numFmtId="0" fontId="0" fillId="0" borderId="52" xfId="0" applyBorder="1"/>
    <xf numFmtId="44" fontId="0" fillId="0" borderId="53" xfId="0" applyNumberFormat="1" applyBorder="1"/>
    <xf numFmtId="0" fontId="0" fillId="0" borderId="53" xfId="0" applyBorder="1"/>
    <xf numFmtId="44" fontId="0" fillId="6" borderId="0" xfId="0" applyNumberFormat="1" applyFill="1" applyBorder="1"/>
    <xf numFmtId="44" fontId="0" fillId="6" borderId="53" xfId="0" applyNumberFormat="1" applyFill="1" applyBorder="1"/>
    <xf numFmtId="44" fontId="0" fillId="6" borderId="0" xfId="1" applyFont="1" applyFill="1" applyBorder="1"/>
    <xf numFmtId="0" fontId="0" fillId="0" borderId="54" xfId="0" applyBorder="1"/>
    <xf numFmtId="0" fontId="0" fillId="0" borderId="55" xfId="0" applyBorder="1"/>
    <xf numFmtId="0" fontId="0" fillId="4" borderId="56" xfId="0" applyFill="1" applyBorder="1"/>
    <xf numFmtId="0" fontId="0" fillId="0" borderId="57" xfId="0" applyBorder="1"/>
    <xf numFmtId="0" fontId="0" fillId="0" borderId="49" xfId="0" applyBorder="1" applyAlignment="1">
      <alignment horizontal="center"/>
    </xf>
    <xf numFmtId="0" fontId="0" fillId="0" borderId="51" xfId="0" applyBorder="1" applyAlignment="1">
      <alignment horizontal="center"/>
    </xf>
    <xf numFmtId="0" fontId="4" fillId="4" borderId="26" xfId="0" applyFont="1" applyFill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1"/>
  <sheetViews>
    <sheetView tabSelected="1" topLeftCell="A37" zoomScaleNormal="100" workbookViewId="0">
      <selection activeCell="C37" sqref="C37"/>
    </sheetView>
  </sheetViews>
  <sheetFormatPr defaultRowHeight="14.4" x14ac:dyDescent="0.3"/>
  <cols>
    <col min="1" max="1" width="26.109375" customWidth="1"/>
    <col min="2" max="2" width="22.6640625" customWidth="1"/>
    <col min="3" max="3" width="27.77734375" style="45" customWidth="1"/>
    <col min="4" max="4" width="20.21875" customWidth="1"/>
    <col min="5" max="5" width="22.44140625" customWidth="1"/>
    <col min="6" max="6" width="22.5546875" customWidth="1"/>
    <col min="7" max="7" width="12.21875" customWidth="1"/>
  </cols>
  <sheetData>
    <row r="1" spans="1:7" ht="15" thickBot="1" x14ac:dyDescent="0.35">
      <c r="A1" t="s">
        <v>51</v>
      </c>
      <c r="B1" s="7">
        <v>1000</v>
      </c>
      <c r="C1" s="48" t="s">
        <v>41</v>
      </c>
      <c r="D1" s="7">
        <v>1000000</v>
      </c>
      <c r="E1" t="s">
        <v>52</v>
      </c>
      <c r="F1" s="7">
        <v>1000000000</v>
      </c>
    </row>
    <row r="2" spans="1:7" x14ac:dyDescent="0.3">
      <c r="A2" s="12" t="s">
        <v>12</v>
      </c>
      <c r="B2" s="40" t="s">
        <v>5</v>
      </c>
      <c r="C2" s="51" t="s">
        <v>57</v>
      </c>
      <c r="D2" s="13" t="s">
        <v>58</v>
      </c>
      <c r="E2" s="14" t="s">
        <v>59</v>
      </c>
      <c r="F2" s="15" t="s">
        <v>60</v>
      </c>
      <c r="G2" s="6"/>
    </row>
    <row r="3" spans="1:7" x14ac:dyDescent="0.3">
      <c r="A3" s="16" t="s">
        <v>0</v>
      </c>
      <c r="B3" s="4">
        <v>0.06</v>
      </c>
      <c r="C3" s="45">
        <f>(B3*B$8)</f>
        <v>309456000</v>
      </c>
      <c r="D3" s="5">
        <f>(C3*B$9)</f>
        <v>4016738880</v>
      </c>
      <c r="E3" s="11">
        <f>(C3*B$10)</f>
        <v>36048529440</v>
      </c>
      <c r="F3" s="17">
        <f>(B11*C3)</f>
        <v>68080320000</v>
      </c>
      <c r="G3" s="1"/>
    </row>
    <row r="4" spans="1:7" x14ac:dyDescent="0.3">
      <c r="A4" s="16" t="s">
        <v>1</v>
      </c>
      <c r="B4" s="4">
        <v>0.38</v>
      </c>
      <c r="C4" s="45">
        <f t="shared" ref="C4:C7" si="0">(B4*B$8)</f>
        <v>1959888000</v>
      </c>
      <c r="D4" s="5">
        <f t="shared" ref="D4:D7" si="1">(C4*B$9)</f>
        <v>25439346240</v>
      </c>
      <c r="E4" s="11">
        <f>(C4*B$10)</f>
        <v>228307353120</v>
      </c>
      <c r="F4" s="17">
        <f>B11*C4</f>
        <v>431175360000</v>
      </c>
      <c r="G4" s="1"/>
    </row>
    <row r="5" spans="1:7" x14ac:dyDescent="0.3">
      <c r="A5" s="16" t="s">
        <v>2</v>
      </c>
      <c r="B5" s="4">
        <v>0.31</v>
      </c>
      <c r="C5" s="45">
        <f t="shared" si="0"/>
        <v>1598856000</v>
      </c>
      <c r="D5" s="5">
        <f t="shared" si="1"/>
        <v>20753150880</v>
      </c>
      <c r="E5" s="11">
        <f>(C5*B$10)</f>
        <v>186250735440</v>
      </c>
      <c r="F5" s="17">
        <f>B11*C5</f>
        <v>351748320000</v>
      </c>
      <c r="G5" s="1"/>
    </row>
    <row r="6" spans="1:7" ht="15" thickBot="1" x14ac:dyDescent="0.35">
      <c r="A6" s="18" t="s">
        <v>3</v>
      </c>
      <c r="B6" s="41">
        <v>0.15</v>
      </c>
      <c r="C6" s="45">
        <f t="shared" si="0"/>
        <v>773640000</v>
      </c>
      <c r="D6" s="5">
        <f t="shared" si="1"/>
        <v>10041847200</v>
      </c>
      <c r="E6" s="11">
        <f>(C6*B$10)</f>
        <v>90121323600</v>
      </c>
      <c r="F6" s="17">
        <f>C6*B11</f>
        <v>170200800000</v>
      </c>
      <c r="G6" s="1"/>
    </row>
    <row r="7" spans="1:7" x14ac:dyDescent="0.3">
      <c r="A7" s="19" t="s">
        <v>4</v>
      </c>
      <c r="B7" s="4">
        <v>0.1</v>
      </c>
      <c r="C7" s="45">
        <f t="shared" si="0"/>
        <v>515760000</v>
      </c>
      <c r="D7" s="5">
        <f t="shared" si="1"/>
        <v>6694564800</v>
      </c>
      <c r="E7" s="11">
        <f>(C7*B$10)</f>
        <v>60080882400</v>
      </c>
      <c r="F7" s="17">
        <f>B11*C7</f>
        <v>113467200000</v>
      </c>
      <c r="G7" s="5"/>
    </row>
    <row r="8" spans="1:7" ht="15" thickBot="1" x14ac:dyDescent="0.35">
      <c r="A8" s="52" t="s">
        <v>26</v>
      </c>
      <c r="B8" s="53">
        <v>5157600000</v>
      </c>
      <c r="C8" s="54" t="s">
        <v>9</v>
      </c>
      <c r="D8" s="20">
        <f>SUM(D3:D7)</f>
        <v>66945648000</v>
      </c>
      <c r="E8" s="21">
        <f>SUM(E3:E7)</f>
        <v>600808824000</v>
      </c>
      <c r="F8" s="22">
        <f>SUM(F3:F7)</f>
        <v>1134672000000</v>
      </c>
    </row>
    <row r="9" spans="1:7" x14ac:dyDescent="0.3">
      <c r="A9" s="49" t="s">
        <v>17</v>
      </c>
      <c r="B9" s="34">
        <v>12.98</v>
      </c>
      <c r="C9" s="50" t="s">
        <v>50</v>
      </c>
    </row>
    <row r="10" spans="1:7" x14ac:dyDescent="0.3">
      <c r="A10" s="30" t="s">
        <v>73</v>
      </c>
      <c r="B10" s="34">
        <f>(B9+B11)/2</f>
        <v>116.49</v>
      </c>
      <c r="C10" s="46" t="s">
        <v>50</v>
      </c>
    </row>
    <row r="11" spans="1:7" ht="13.8" customHeight="1" thickBot="1" x14ac:dyDescent="0.35">
      <c r="A11" s="55" t="s">
        <v>74</v>
      </c>
      <c r="B11" s="56">
        <v>220</v>
      </c>
      <c r="C11" s="48" t="s">
        <v>50</v>
      </c>
    </row>
    <row r="12" spans="1:7" x14ac:dyDescent="0.3">
      <c r="A12" s="57" t="s">
        <v>10</v>
      </c>
      <c r="B12" s="58"/>
      <c r="C12" s="59" t="s">
        <v>37</v>
      </c>
      <c r="D12" s="32" t="s">
        <v>6</v>
      </c>
      <c r="E12" s="32" t="s">
        <v>8</v>
      </c>
      <c r="F12" s="33" t="s">
        <v>7</v>
      </c>
    </row>
    <row r="13" spans="1:7" x14ac:dyDescent="0.3">
      <c r="A13" s="19" t="s">
        <v>3</v>
      </c>
      <c r="B13" s="4">
        <v>0.28000000000000003</v>
      </c>
      <c r="C13" s="45">
        <f>(B13*B$19)</f>
        <v>197120000.00000003</v>
      </c>
      <c r="D13" s="5">
        <f>(C13*B$20)</f>
        <v>7490560000.000001</v>
      </c>
      <c r="E13" s="5">
        <f>(B$21*C13)</f>
        <v>827706880000.00012</v>
      </c>
      <c r="F13" s="23">
        <f>(B$22*C13)</f>
        <v>1647923200000.0002</v>
      </c>
    </row>
    <row r="14" spans="1:7" x14ac:dyDescent="0.3">
      <c r="A14" s="16" t="s">
        <v>11</v>
      </c>
      <c r="B14" s="4">
        <v>0.1</v>
      </c>
      <c r="C14" s="45">
        <f t="shared" ref="C14:C17" si="2">(B14*B$19)</f>
        <v>70400000</v>
      </c>
      <c r="D14" s="5">
        <f t="shared" ref="D14:D18" si="3">(C14*B$20)</f>
        <v>2675200000</v>
      </c>
      <c r="E14" s="5">
        <f t="shared" ref="E14:E18" si="4">(B$21*C14)</f>
        <v>295609600000</v>
      </c>
      <c r="F14" s="23">
        <f t="shared" ref="F14:F18" si="5">(B$22*C14)</f>
        <v>588544000000</v>
      </c>
    </row>
    <row r="15" spans="1:7" x14ac:dyDescent="0.3">
      <c r="A15" s="16" t="s">
        <v>13</v>
      </c>
      <c r="B15" s="4">
        <v>0.08</v>
      </c>
      <c r="C15" s="45">
        <f t="shared" si="2"/>
        <v>56320000</v>
      </c>
      <c r="D15" s="5">
        <f t="shared" si="3"/>
        <v>2140160000</v>
      </c>
      <c r="E15" s="5">
        <f t="shared" si="4"/>
        <v>236487680000</v>
      </c>
      <c r="F15" s="23">
        <f t="shared" si="5"/>
        <v>470835200000</v>
      </c>
    </row>
    <row r="16" spans="1:7" x14ac:dyDescent="0.3">
      <c r="A16" s="16" t="s">
        <v>14</v>
      </c>
      <c r="B16" s="4">
        <v>0.26</v>
      </c>
      <c r="C16" s="45">
        <f t="shared" si="2"/>
        <v>183040000</v>
      </c>
      <c r="D16" s="5">
        <f t="shared" si="3"/>
        <v>6955520000</v>
      </c>
      <c r="E16" s="5">
        <f t="shared" si="4"/>
        <v>768584960000</v>
      </c>
      <c r="F16" s="23">
        <f t="shared" si="5"/>
        <v>1530214400000</v>
      </c>
    </row>
    <row r="17" spans="1:6" x14ac:dyDescent="0.3">
      <c r="A17" s="16" t="s">
        <v>15</v>
      </c>
      <c r="B17" s="4">
        <v>0.18</v>
      </c>
      <c r="C17" s="45">
        <f t="shared" si="2"/>
        <v>126720000</v>
      </c>
      <c r="D17" s="5">
        <f t="shared" si="3"/>
        <v>4815360000</v>
      </c>
      <c r="E17" s="5">
        <f t="shared" si="4"/>
        <v>532097280000</v>
      </c>
      <c r="F17" s="23">
        <f t="shared" si="5"/>
        <v>1059379200000</v>
      </c>
    </row>
    <row r="18" spans="1:6" x14ac:dyDescent="0.3">
      <c r="A18" s="16" t="s">
        <v>16</v>
      </c>
      <c r="B18" s="4">
        <v>0.1</v>
      </c>
      <c r="C18" s="45">
        <f>(B18*B$19)</f>
        <v>70400000</v>
      </c>
      <c r="D18" s="5">
        <f t="shared" si="3"/>
        <v>2675200000</v>
      </c>
      <c r="E18" s="5">
        <f t="shared" si="4"/>
        <v>295609600000</v>
      </c>
      <c r="F18" s="23">
        <f t="shared" si="5"/>
        <v>588544000000</v>
      </c>
    </row>
    <row r="19" spans="1:6" ht="15" thickBot="1" x14ac:dyDescent="0.35">
      <c r="A19" s="31" t="s">
        <v>25</v>
      </c>
      <c r="B19" s="24">
        <f>(704 * 1000000)</f>
        <v>704000000</v>
      </c>
      <c r="C19" s="54" t="s">
        <v>9</v>
      </c>
      <c r="D19" s="25">
        <f>SUM(D13:D18)</f>
        <v>26752000000</v>
      </c>
      <c r="E19" s="25">
        <f>SUM(E13:E18)</f>
        <v>2956096000000</v>
      </c>
      <c r="F19" s="26">
        <f>SUM(F13:F18)</f>
        <v>5885440000000</v>
      </c>
    </row>
    <row r="20" spans="1:6" x14ac:dyDescent="0.3">
      <c r="A20" s="12" t="s">
        <v>17</v>
      </c>
      <c r="B20" s="42">
        <v>38</v>
      </c>
      <c r="C20" s="60" t="s">
        <v>50</v>
      </c>
      <c r="D20" s="27"/>
    </row>
    <row r="21" spans="1:6" x14ac:dyDescent="0.3">
      <c r="A21" s="16" t="s">
        <v>75</v>
      </c>
      <c r="B21" s="43">
        <f>(B20+B22)/2</f>
        <v>4199</v>
      </c>
      <c r="C21" s="61" t="s">
        <v>50</v>
      </c>
    </row>
    <row r="22" spans="1:6" ht="15" thickBot="1" x14ac:dyDescent="0.35">
      <c r="A22" s="16" t="s">
        <v>7</v>
      </c>
      <c r="B22" s="43">
        <f>B11*38</f>
        <v>8360</v>
      </c>
      <c r="C22" s="63" t="s">
        <v>50</v>
      </c>
    </row>
    <row r="23" spans="1:6" x14ac:dyDescent="0.3">
      <c r="A23" s="57" t="s">
        <v>21</v>
      </c>
      <c r="B23" s="58"/>
      <c r="C23" s="64" t="s">
        <v>38</v>
      </c>
      <c r="D23" s="65" t="s">
        <v>6</v>
      </c>
      <c r="E23" s="65" t="s">
        <v>8</v>
      </c>
      <c r="F23" s="66" t="s">
        <v>7</v>
      </c>
    </row>
    <row r="24" spans="1:6" x14ac:dyDescent="0.3">
      <c r="A24" s="16" t="s">
        <v>2</v>
      </c>
      <c r="B24" s="4">
        <v>0.05</v>
      </c>
      <c r="C24" s="47">
        <f>(B24*B$30)</f>
        <v>20475000</v>
      </c>
      <c r="D24" s="5">
        <f>(B$31*C24)</f>
        <v>325347750</v>
      </c>
      <c r="E24" s="10">
        <f>(B$32*C24)</f>
        <v>671333173875</v>
      </c>
      <c r="F24" s="23">
        <f>(B$33*C24)</f>
        <v>1342341000000</v>
      </c>
    </row>
    <row r="25" spans="1:6" x14ac:dyDescent="0.3">
      <c r="A25" s="16" t="s">
        <v>13</v>
      </c>
      <c r="B25" s="4">
        <v>0.04</v>
      </c>
      <c r="C25" s="47">
        <f t="shared" ref="C25:C29" si="6">(B25*B$30)</f>
        <v>16380000</v>
      </c>
      <c r="D25" s="5">
        <f t="shared" ref="D25:D29" si="7">(B$31*C25)</f>
        <v>260278200</v>
      </c>
      <c r="E25" s="10">
        <f t="shared" ref="E25:E29" si="8">(B$32*C25)</f>
        <v>537066539100</v>
      </c>
      <c r="F25" s="23">
        <f t="shared" ref="F25:F29" si="9">(B$33*C25)</f>
        <v>1073872800000</v>
      </c>
    </row>
    <row r="26" spans="1:6" x14ac:dyDescent="0.3">
      <c r="A26" s="16" t="s">
        <v>22</v>
      </c>
      <c r="B26" s="4">
        <v>0.06</v>
      </c>
      <c r="C26" s="47">
        <f t="shared" si="6"/>
        <v>24570000</v>
      </c>
      <c r="D26" s="5">
        <f t="shared" si="7"/>
        <v>390417300</v>
      </c>
      <c r="E26" s="10">
        <f t="shared" si="8"/>
        <v>805599808650</v>
      </c>
      <c r="F26" s="23">
        <f t="shared" si="9"/>
        <v>1610809200000</v>
      </c>
    </row>
    <row r="27" spans="1:6" x14ac:dyDescent="0.3">
      <c r="A27" s="16" t="s">
        <v>23</v>
      </c>
      <c r="B27" s="4">
        <v>0.05</v>
      </c>
      <c r="C27" s="47">
        <f t="shared" si="6"/>
        <v>20475000</v>
      </c>
      <c r="D27" s="5">
        <f t="shared" si="7"/>
        <v>325347750</v>
      </c>
      <c r="E27" s="10">
        <f t="shared" si="8"/>
        <v>671333173875</v>
      </c>
      <c r="F27" s="23">
        <f t="shared" si="9"/>
        <v>1342341000000</v>
      </c>
    </row>
    <row r="28" spans="1:6" x14ac:dyDescent="0.3">
      <c r="A28" s="16" t="s">
        <v>24</v>
      </c>
      <c r="B28" s="4">
        <v>0.75</v>
      </c>
      <c r="C28" s="47">
        <f t="shared" si="6"/>
        <v>307125000</v>
      </c>
      <c r="D28" s="5">
        <f t="shared" si="7"/>
        <v>4880216250</v>
      </c>
      <c r="E28" s="10">
        <f t="shared" si="8"/>
        <v>10069997608125</v>
      </c>
      <c r="F28" s="23">
        <f t="shared" si="9"/>
        <v>20135115000000</v>
      </c>
    </row>
    <row r="29" spans="1:6" x14ac:dyDescent="0.3">
      <c r="A29" s="16" t="s">
        <v>16</v>
      </c>
      <c r="B29" s="4">
        <v>0.05</v>
      </c>
      <c r="C29" s="47">
        <f t="shared" si="6"/>
        <v>20475000</v>
      </c>
      <c r="D29" s="5">
        <f t="shared" si="7"/>
        <v>325347750</v>
      </c>
      <c r="E29" s="10">
        <f t="shared" si="8"/>
        <v>671333173875</v>
      </c>
      <c r="F29" s="23">
        <f t="shared" si="9"/>
        <v>1342341000000</v>
      </c>
    </row>
    <row r="30" spans="1:6" ht="15" thickBot="1" x14ac:dyDescent="0.35">
      <c r="A30" s="31" t="s">
        <v>27</v>
      </c>
      <c r="B30" s="24">
        <f>(409.5*1000000)</f>
        <v>409500000</v>
      </c>
      <c r="C30" s="54" t="s">
        <v>9</v>
      </c>
      <c r="D30" s="67">
        <f>SUM(D24:D29)</f>
        <v>6506955000</v>
      </c>
      <c r="E30" s="68">
        <f>SUM(E24:E29)</f>
        <v>13426663477500</v>
      </c>
      <c r="F30" s="69">
        <f>SUM(F24:F29)</f>
        <v>26846820000000</v>
      </c>
    </row>
    <row r="31" spans="1:6" x14ac:dyDescent="0.3">
      <c r="A31" s="12" t="s">
        <v>17</v>
      </c>
      <c r="B31" s="42">
        <v>15.89</v>
      </c>
      <c r="C31" s="60" t="s">
        <v>50</v>
      </c>
    </row>
    <row r="32" spans="1:6" x14ac:dyDescent="0.3">
      <c r="A32" s="16" t="s">
        <v>19</v>
      </c>
      <c r="B32" s="43">
        <f>(B33+B31)/2</f>
        <v>32787.945</v>
      </c>
      <c r="C32" s="70" t="s">
        <v>50</v>
      </c>
    </row>
    <row r="33" spans="1:6" ht="15" thickBot="1" x14ac:dyDescent="0.35">
      <c r="A33" s="28" t="s">
        <v>18</v>
      </c>
      <c r="B33" s="44">
        <f>B11*298</f>
        <v>65560</v>
      </c>
      <c r="C33" s="62" t="s">
        <v>50</v>
      </c>
    </row>
    <row r="34" spans="1:6" ht="15" thickBot="1" x14ac:dyDescent="0.35">
      <c r="A34" s="29"/>
      <c r="B34" s="29"/>
      <c r="C34" s="71"/>
      <c r="D34" s="3"/>
      <c r="E34" s="3"/>
    </row>
    <row r="35" spans="1:6" x14ac:dyDescent="0.3">
      <c r="C35" s="72" t="s">
        <v>53</v>
      </c>
      <c r="D35" s="32" t="s">
        <v>31</v>
      </c>
      <c r="E35" s="32" t="s">
        <v>32</v>
      </c>
      <c r="F35" s="33" t="s">
        <v>33</v>
      </c>
    </row>
    <row r="36" spans="1:6" x14ac:dyDescent="0.3">
      <c r="B36" s="2"/>
      <c r="C36" s="105" t="s">
        <v>28</v>
      </c>
      <c r="D36" s="8">
        <f>D8</f>
        <v>66945648000</v>
      </c>
      <c r="E36" s="9">
        <f>E8</f>
        <v>600808824000</v>
      </c>
      <c r="F36" s="73">
        <f>F7</f>
        <v>113467200000</v>
      </c>
    </row>
    <row r="37" spans="1:6" x14ac:dyDescent="0.3">
      <c r="C37" s="105" t="s">
        <v>29</v>
      </c>
      <c r="D37" s="9">
        <f>D18</f>
        <v>2675200000</v>
      </c>
      <c r="E37" s="9">
        <f>F19</f>
        <v>5885440000000</v>
      </c>
      <c r="F37" s="73">
        <f>E19</f>
        <v>2956096000000</v>
      </c>
    </row>
    <row r="38" spans="1:6" x14ac:dyDescent="0.3">
      <c r="A38" s="3"/>
      <c r="C38" s="105" t="s">
        <v>30</v>
      </c>
      <c r="D38" s="9">
        <f>D30</f>
        <v>6506955000</v>
      </c>
      <c r="E38" s="9">
        <f>E30</f>
        <v>13426663477500</v>
      </c>
      <c r="F38" s="73">
        <f>F30</f>
        <v>26846820000000</v>
      </c>
    </row>
    <row r="39" spans="1:6" ht="15" thickBot="1" x14ac:dyDescent="0.35">
      <c r="B39" s="36"/>
      <c r="C39" s="75" t="s">
        <v>9</v>
      </c>
      <c r="D39" s="9">
        <f>SUM(D36:D38)</f>
        <v>76127803000</v>
      </c>
      <c r="E39" s="9">
        <f>SUM(E36:E38)</f>
        <v>19912912301500</v>
      </c>
      <c r="F39" s="73">
        <f>SUM(F36:F38)</f>
        <v>29916383200000</v>
      </c>
    </row>
    <row r="40" spans="1:6" x14ac:dyDescent="0.3">
      <c r="B40" s="12" t="s">
        <v>44</v>
      </c>
      <c r="C40" s="76" t="s">
        <v>36</v>
      </c>
      <c r="D40" s="32" t="s">
        <v>56</v>
      </c>
      <c r="E40" s="32" t="s">
        <v>56</v>
      </c>
      <c r="F40" s="33" t="s">
        <v>56</v>
      </c>
    </row>
    <row r="41" spans="1:6" x14ac:dyDescent="0.3">
      <c r="B41" s="16" t="s">
        <v>34</v>
      </c>
      <c r="C41" s="45">
        <v>763</v>
      </c>
      <c r="D41" s="100">
        <f>D39/(C$41*F1)</f>
        <v>9.9774315858453477E-2</v>
      </c>
      <c r="E41" s="100">
        <f>E39/(C41*F1)</f>
        <v>26.098181260157276</v>
      </c>
      <c r="F41" s="101">
        <f>F39/(C41*F1)</f>
        <v>39.20889017038008</v>
      </c>
    </row>
    <row r="42" spans="1:6" ht="15" thickBot="1" x14ac:dyDescent="0.35">
      <c r="A42" s="3"/>
      <c r="B42" s="28" t="s">
        <v>35</v>
      </c>
      <c r="C42" s="78">
        <v>234</v>
      </c>
      <c r="D42" s="102">
        <f>D39/(C42*F1)</f>
        <v>0.32533249145299148</v>
      </c>
      <c r="E42" s="102">
        <f>E39/(C42*F1)</f>
        <v>85.097915818376066</v>
      </c>
      <c r="F42" s="103">
        <f>F39/(C42*F1)</f>
        <v>127.84779145299146</v>
      </c>
    </row>
    <row r="43" spans="1:6" ht="15" thickBot="1" x14ac:dyDescent="0.35">
      <c r="B43" s="16"/>
      <c r="C43" s="71"/>
      <c r="D43" s="4"/>
      <c r="E43" s="4"/>
      <c r="F43" s="77"/>
    </row>
    <row r="44" spans="1:6" x14ac:dyDescent="0.3">
      <c r="B44" s="12"/>
      <c r="C44" s="76" t="s">
        <v>55</v>
      </c>
      <c r="D44" s="79" t="s">
        <v>76</v>
      </c>
      <c r="E44" s="79" t="s">
        <v>76</v>
      </c>
      <c r="F44" s="80" t="s">
        <v>76</v>
      </c>
    </row>
    <row r="45" spans="1:6" ht="15" thickBot="1" x14ac:dyDescent="0.35">
      <c r="B45" s="16" t="s">
        <v>54</v>
      </c>
      <c r="C45" s="81">
        <f>242*F1</f>
        <v>242000000000</v>
      </c>
      <c r="D45" s="104">
        <f>((C45-D39)/C45)*0.33</f>
        <v>0.22618935954545455</v>
      </c>
      <c r="E45" s="100">
        <f>((C45-E39)/C45)*0.33</f>
        <v>-26.823971320227276</v>
      </c>
      <c r="F45" s="101">
        <f>((C45-F39)/C45)*0.33</f>
        <v>-40.465068000000002</v>
      </c>
    </row>
    <row r="46" spans="1:6" ht="15" thickBot="1" x14ac:dyDescent="0.35">
      <c r="A46" s="12" t="s">
        <v>42</v>
      </c>
      <c r="B46" s="82">
        <f>120160*D1</f>
        <v>120160000000</v>
      </c>
      <c r="C46" s="76" t="s">
        <v>45</v>
      </c>
      <c r="D46" s="35" t="s">
        <v>20</v>
      </c>
      <c r="E46" s="35"/>
      <c r="F46" s="83"/>
    </row>
    <row r="47" spans="1:6" x14ac:dyDescent="0.3">
      <c r="A47" s="16" t="s">
        <v>43</v>
      </c>
      <c r="B47" s="3">
        <f>42668*D1</f>
        <v>42668000000</v>
      </c>
      <c r="C47" s="94" t="s">
        <v>45</v>
      </c>
      <c r="D47" s="95" t="s">
        <v>47</v>
      </c>
      <c r="E47" s="96" t="s">
        <v>48</v>
      </c>
      <c r="F47" s="97" t="s">
        <v>49</v>
      </c>
    </row>
    <row r="48" spans="1:6" ht="15" thickBot="1" x14ac:dyDescent="0.35">
      <c r="A48" s="16" t="s">
        <v>39</v>
      </c>
      <c r="B48" s="38">
        <f>15088*D1</f>
        <v>15088000000</v>
      </c>
      <c r="C48" s="94" t="s">
        <v>45</v>
      </c>
      <c r="D48" s="98">
        <f>(D5+D24)/(B46+B47+B48+B49+B50)</f>
        <v>0.11779646043366492</v>
      </c>
      <c r="E48" s="92">
        <f>(D5+E24)/(B46+B47+B48+B49+B50)</f>
        <v>3.8677004848273162</v>
      </c>
      <c r="F48" s="99">
        <f>(D5+F24)/(B46+B47+B48+B49+B50)</f>
        <v>7.6176045092209677</v>
      </c>
    </row>
    <row r="49" spans="1:6" x14ac:dyDescent="0.3">
      <c r="A49" s="16" t="s">
        <v>40</v>
      </c>
      <c r="B49" s="39">
        <f>D1*1024</f>
        <v>1024000000</v>
      </c>
      <c r="C49" s="45" t="s">
        <v>45</v>
      </c>
      <c r="D49" s="3" t="s">
        <v>20</v>
      </c>
      <c r="E49" s="3"/>
      <c r="F49" s="84"/>
    </row>
    <row r="50" spans="1:6" ht="15" thickBot="1" x14ac:dyDescent="0.35">
      <c r="A50" s="28" t="s">
        <v>46</v>
      </c>
      <c r="B50" s="24"/>
      <c r="C50" s="78"/>
      <c r="D50" s="24" t="s">
        <v>20</v>
      </c>
      <c r="E50" s="24"/>
      <c r="F50" s="85"/>
    </row>
    <row r="51" spans="1:6" x14ac:dyDescent="0.3">
      <c r="A51" s="12"/>
      <c r="B51" s="35" t="s">
        <v>61</v>
      </c>
      <c r="C51" s="76" t="s">
        <v>62</v>
      </c>
      <c r="D51" s="35" t="s">
        <v>63</v>
      </c>
      <c r="E51" s="35" t="s">
        <v>63</v>
      </c>
      <c r="F51" s="83" t="s">
        <v>63</v>
      </c>
    </row>
    <row r="52" spans="1:6" x14ac:dyDescent="0.3">
      <c r="A52" s="16" t="s">
        <v>77</v>
      </c>
      <c r="B52" s="3">
        <f>118.8*D1</f>
        <v>118800000</v>
      </c>
      <c r="C52" s="45">
        <f>23.69*F1</f>
        <v>23690000000</v>
      </c>
      <c r="D52" s="5">
        <f>(B52*B20)</f>
        <v>4514400000</v>
      </c>
      <c r="E52" s="36">
        <f>B52*B21</f>
        <v>498841200000</v>
      </c>
      <c r="F52" s="17">
        <f>B52*B22</f>
        <v>993168000000</v>
      </c>
    </row>
    <row r="53" spans="1:6" ht="15" thickBot="1" x14ac:dyDescent="0.35">
      <c r="A53" s="28"/>
      <c r="B53" s="24"/>
      <c r="C53" s="86" t="s">
        <v>64</v>
      </c>
      <c r="D53" s="87">
        <f>(B52*B20)/C52</f>
        <v>0.19056141831996623</v>
      </c>
      <c r="E53" s="87">
        <f>(B52*B21/C52)</f>
        <v>21.057036724356269</v>
      </c>
      <c r="F53" s="88">
        <f>(B52*B22)/C52</f>
        <v>41.923512030392573</v>
      </c>
    </row>
    <row r="54" spans="1:6" x14ac:dyDescent="0.3">
      <c r="A54" s="12"/>
      <c r="B54" s="35" t="s">
        <v>65</v>
      </c>
      <c r="C54" s="76" t="s">
        <v>66</v>
      </c>
      <c r="D54" s="35"/>
      <c r="E54" s="35"/>
      <c r="F54" s="83"/>
    </row>
    <row r="55" spans="1:6" x14ac:dyDescent="0.3">
      <c r="A55" s="16" t="s">
        <v>78</v>
      </c>
      <c r="B55" s="3">
        <f>3*D1</f>
        <v>3000000</v>
      </c>
      <c r="C55" s="45">
        <f>23.69*F1</f>
        <v>23690000000</v>
      </c>
      <c r="D55" s="5">
        <f>(B55*B20)</f>
        <v>114000000</v>
      </c>
      <c r="E55" s="5">
        <f>(B55*B21)</f>
        <v>12597000000</v>
      </c>
      <c r="F55" s="23">
        <f>(B22*B55)</f>
        <v>25080000000</v>
      </c>
    </row>
    <row r="56" spans="1:6" x14ac:dyDescent="0.3">
      <c r="A56" s="16"/>
      <c r="B56" s="3" t="s">
        <v>67</v>
      </c>
      <c r="C56" s="45" t="s">
        <v>66</v>
      </c>
      <c r="D56" s="3">
        <f>(D55/C55)</f>
        <v>4.8121570282819758E-3</v>
      </c>
      <c r="E56" s="3">
        <f>(E55/C55)</f>
        <v>0.53174335162515829</v>
      </c>
      <c r="F56" s="84">
        <f>(F55/C55)</f>
        <v>1.0586745462220346</v>
      </c>
    </row>
    <row r="57" spans="1:6" x14ac:dyDescent="0.3">
      <c r="A57" s="16"/>
      <c r="B57" s="3">
        <f>7.7*D1</f>
        <v>7700000</v>
      </c>
      <c r="C57" s="45">
        <f>23.69*F1</f>
        <v>23690000000</v>
      </c>
      <c r="D57" s="36">
        <f>B31*B57</f>
        <v>122353000</v>
      </c>
      <c r="E57" s="5">
        <f>(B32*B57)</f>
        <v>252467176500</v>
      </c>
      <c r="F57" s="23">
        <f>(B33*B57)</f>
        <v>504812000000</v>
      </c>
    </row>
    <row r="58" spans="1:6" ht="15" thickBot="1" x14ac:dyDescent="0.35">
      <c r="A58" s="28"/>
      <c r="B58" s="24"/>
      <c r="C58" s="78"/>
      <c r="D58" s="24">
        <f>(D57/C57)</f>
        <v>5.1647530603630221E-3</v>
      </c>
      <c r="E58" s="24">
        <f>(E57/C57)</f>
        <v>10.657120156184044</v>
      </c>
      <c r="F58" s="85">
        <f>(F57/C57)</f>
        <v>21.309075559307725</v>
      </c>
    </row>
    <row r="59" spans="1:6" x14ac:dyDescent="0.3">
      <c r="C59" s="89" t="s">
        <v>9</v>
      </c>
      <c r="D59" s="32" t="s">
        <v>69</v>
      </c>
      <c r="E59" s="35" t="s">
        <v>70</v>
      </c>
      <c r="F59" s="83" t="s">
        <v>72</v>
      </c>
    </row>
    <row r="60" spans="1:6" x14ac:dyDescent="0.3">
      <c r="C60" s="90" t="s">
        <v>68</v>
      </c>
      <c r="D60" s="37">
        <f>D52+D55+D57</f>
        <v>4750753000</v>
      </c>
      <c r="E60" s="37">
        <f>(E52+E55+E57)</f>
        <v>763905376500</v>
      </c>
      <c r="F60" s="91">
        <f>(F52+F55+F57)</f>
        <v>1523060000000</v>
      </c>
    </row>
    <row r="61" spans="1:6" ht="15" thickBot="1" x14ac:dyDescent="0.35">
      <c r="C61" s="74" t="s">
        <v>71</v>
      </c>
      <c r="D61" s="92">
        <f>(D53+D56+D58)</f>
        <v>0.20053832840861122</v>
      </c>
      <c r="E61" s="92">
        <f>(E53+E56+E58)</f>
        <v>32.245900232165475</v>
      </c>
      <c r="F61" s="93">
        <f>(F53+F56+F58)</f>
        <v>64.291262135922338</v>
      </c>
    </row>
    <row r="62" spans="1:6" ht="15" thickBot="1" x14ac:dyDescent="0.35">
      <c r="C62" s="71"/>
    </row>
    <row r="63" spans="1:6" x14ac:dyDescent="0.3">
      <c r="A63" s="107" t="s">
        <v>82</v>
      </c>
      <c r="B63" s="108" t="s">
        <v>79</v>
      </c>
      <c r="C63" s="109" t="s">
        <v>80</v>
      </c>
      <c r="D63" s="120" t="s">
        <v>69</v>
      </c>
      <c r="E63" s="120" t="s">
        <v>70</v>
      </c>
      <c r="F63" s="121" t="s">
        <v>72</v>
      </c>
    </row>
    <row r="64" spans="1:6" x14ac:dyDescent="0.3">
      <c r="A64" s="110"/>
      <c r="B64" s="3">
        <f>41.6*D1</f>
        <v>41600000</v>
      </c>
      <c r="C64" s="45">
        <f>(15383*D1)/8.6</f>
        <v>1788720930.2325583</v>
      </c>
      <c r="D64" s="36">
        <f>B64*B20</f>
        <v>1580800000</v>
      </c>
      <c r="E64" s="36">
        <f>B64*B21</f>
        <v>174678400000</v>
      </c>
      <c r="F64" s="111">
        <f>B64*B22</f>
        <v>347776000000</v>
      </c>
    </row>
    <row r="65" spans="1:6" x14ac:dyDescent="0.3">
      <c r="A65" s="110"/>
      <c r="B65" s="3"/>
      <c r="C65" s="106" t="s">
        <v>81</v>
      </c>
      <c r="D65" s="36">
        <f>D64/C64</f>
        <v>0.88375999479945389</v>
      </c>
      <c r="E65" s="36">
        <f>E64/C64</f>
        <v>97.655479425339649</v>
      </c>
      <c r="F65" s="111">
        <f>F64/C64</f>
        <v>194.42719885587985</v>
      </c>
    </row>
    <row r="66" spans="1:6" x14ac:dyDescent="0.3">
      <c r="A66" s="110" t="s">
        <v>83</v>
      </c>
      <c r="B66" s="3">
        <f>31.8*D1</f>
        <v>31800000</v>
      </c>
      <c r="C66" s="45">
        <f>C64</f>
        <v>1788720930.2325583</v>
      </c>
      <c r="D66" s="36">
        <f>B20*B66</f>
        <v>1208400000</v>
      </c>
      <c r="E66" s="36">
        <f>B66*B21</f>
        <v>133528200000</v>
      </c>
      <c r="F66" s="111">
        <f>B66*B22</f>
        <v>265848000000</v>
      </c>
    </row>
    <row r="67" spans="1:6" x14ac:dyDescent="0.3">
      <c r="A67" s="110"/>
      <c r="B67" s="3"/>
      <c r="C67" s="106" t="s">
        <v>84</v>
      </c>
      <c r="D67" s="36">
        <f>D66/C66</f>
        <v>0.67556653448612103</v>
      </c>
      <c r="E67" s="36">
        <f>E66/C66</f>
        <v>74.650102060716364</v>
      </c>
      <c r="F67" s="111">
        <f>F66/C66</f>
        <v>148.62463758694662</v>
      </c>
    </row>
    <row r="68" spans="1:6" x14ac:dyDescent="0.3">
      <c r="A68" s="110"/>
      <c r="B68" s="3"/>
      <c r="D68" s="3"/>
      <c r="E68" s="3"/>
      <c r="F68" s="112"/>
    </row>
    <row r="69" spans="1:6" x14ac:dyDescent="0.3">
      <c r="A69" s="110"/>
      <c r="B69" s="3"/>
      <c r="C69" s="122" t="s">
        <v>68</v>
      </c>
      <c r="D69" s="113">
        <f>D64+D66</f>
        <v>2789200000</v>
      </c>
      <c r="E69" s="113">
        <f>E64+E66</f>
        <v>308206600000</v>
      </c>
      <c r="F69" s="114">
        <f>(F64+F66)</f>
        <v>613624000000</v>
      </c>
    </row>
    <row r="70" spans="1:6" x14ac:dyDescent="0.3">
      <c r="A70" s="110"/>
      <c r="B70" s="3"/>
      <c r="C70" s="122" t="s">
        <v>84</v>
      </c>
      <c r="D70" s="115">
        <f>(D65+D67)</f>
        <v>1.5593265292855749</v>
      </c>
      <c r="E70" s="115">
        <f>(E65+E67)</f>
        <v>172.30558148605601</v>
      </c>
      <c r="F70" s="114">
        <f>F65+F67</f>
        <v>343.05183644282647</v>
      </c>
    </row>
    <row r="71" spans="1:6" ht="15" thickBot="1" x14ac:dyDescent="0.35">
      <c r="A71" s="116"/>
      <c r="B71" s="117"/>
      <c r="C71" s="118"/>
      <c r="D71" s="117"/>
      <c r="E71" s="117"/>
      <c r="F71" s="119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felix_000</dc:creator>
  <cp:lastModifiedBy>felix_000</cp:lastModifiedBy>
  <dcterms:created xsi:type="dcterms:W3CDTF">2016-03-13T01:19:34Z</dcterms:created>
  <dcterms:modified xsi:type="dcterms:W3CDTF">2017-11-10T21:22:52Z</dcterms:modified>
</cp:coreProperties>
</file>