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34" documentId="8_{2DB71909-0449-42E5-BF73-2374B5A0D6C5}" xr6:coauthVersionLast="47" xr6:coauthVersionMax="47" xr10:uidLastSave="{0C1ACCA8-066D-43CA-A48D-EECAB27A4CD1}"/>
  <bookViews>
    <workbookView xWindow="-120" yWindow="-120" windowWidth="51840" windowHeight="21120" xr2:uid="{4654FA22-D488-41BB-B0A2-EB8573E57639}"/>
  </bookViews>
  <sheets>
    <sheet name="Case" sheetId="160" r:id="rId1"/>
    <sheet name="Destinations" sheetId="120" r:id="rId2"/>
    <sheet name="Families" sheetId="151" r:id="rId3"/>
    <sheet name="Distances" sheetId="152" r:id="rId4"/>
    <sheet name="Graded Answers" sheetId="169" state="hidden" r:id="rId5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4" i="160" l="1" a="1"/>
  <c r="G324" i="160" s="1"/>
  <c r="G325" i="160" a="1"/>
  <c r="G325" i="160" s="1"/>
  <c r="G326" i="160" a="1"/>
  <c r="G326" i="160" s="1"/>
  <c r="G327" i="160" a="1"/>
  <c r="G327" i="160" s="1"/>
  <c r="G328" i="160" a="1"/>
  <c r="G328" i="160"/>
  <c r="G329" i="160" a="1"/>
  <c r="G329" i="160" s="1"/>
  <c r="G330" i="160" a="1"/>
  <c r="G330" i="160" s="1"/>
  <c r="G331" i="160" a="1"/>
  <c r="G331" i="160" s="1"/>
  <c r="G332" i="160" a="1"/>
  <c r="G332" i="160" s="1"/>
  <c r="G333" i="160" a="1"/>
  <c r="G333" i="160" s="1"/>
  <c r="G334" i="160" a="1"/>
  <c r="G334" i="160" s="1"/>
  <c r="G335" i="160" a="1"/>
  <c r="G335" i="160" s="1"/>
  <c r="G336" i="160" a="1"/>
  <c r="G336" i="160" s="1"/>
  <c r="G337" i="160" a="1"/>
  <c r="G337" i="160" s="1"/>
  <c r="G338" i="160" a="1"/>
  <c r="G338" i="160" s="1"/>
  <c r="G339" i="160" a="1"/>
  <c r="G339" i="160" s="1"/>
  <c r="G340" i="160" a="1"/>
  <c r="G340" i="160" s="1"/>
  <c r="G341" i="160" a="1"/>
  <c r="G341" i="160" s="1"/>
  <c r="G342" i="160" a="1"/>
  <c r="G342" i="160" s="1"/>
  <c r="G323" i="160" a="1"/>
  <c r="G323" i="160"/>
  <c r="I258" i="160" a="1"/>
  <c r="I258" i="160" s="1"/>
  <c r="AT259" i="160" a="1"/>
  <c r="AT259" i="160" s="1"/>
  <c r="AT260" i="160" a="1"/>
  <c r="AT260" i="160" s="1"/>
  <c r="AT261" i="160" a="1"/>
  <c r="AT261" i="160" s="1"/>
  <c r="AT262" i="160" a="1"/>
  <c r="AT262" i="160"/>
  <c r="AT263" i="160" a="1"/>
  <c r="AT263" i="160"/>
  <c r="AT264" i="160" a="1"/>
  <c r="AT264" i="160"/>
  <c r="AT265" i="160" a="1"/>
  <c r="AT265" i="160"/>
  <c r="AT266" i="160" a="1"/>
  <c r="AT266" i="160" s="1"/>
  <c r="AT267" i="160" a="1"/>
  <c r="AT267" i="160" s="1"/>
  <c r="AT268" i="160" a="1"/>
  <c r="AT268" i="160" s="1"/>
  <c r="AT269" i="160" a="1"/>
  <c r="AT269" i="160"/>
  <c r="AT270" i="160" a="1"/>
  <c r="AT270" i="160" s="1"/>
  <c r="AT271" i="160" a="1"/>
  <c r="AT271" i="160" s="1"/>
  <c r="AT272" i="160" a="1"/>
  <c r="AT272" i="160" s="1"/>
  <c r="AT273" i="160" a="1"/>
  <c r="AT273" i="160" s="1"/>
  <c r="AT274" i="160" a="1"/>
  <c r="AT274" i="160" s="1"/>
  <c r="AT275" i="160" a="1"/>
  <c r="AT275" i="160" s="1"/>
  <c r="AT276" i="160" a="1"/>
  <c r="AT276" i="160" s="1"/>
  <c r="AT277" i="160" a="1"/>
  <c r="AT277" i="160" s="1"/>
  <c r="AT258" i="160" a="1"/>
  <c r="AT258" i="160" s="1"/>
  <c r="AT256" i="160" a="1"/>
  <c r="AT256" i="160" s="1"/>
  <c r="CZ302" i="160"/>
  <c r="CZ303" i="160"/>
  <c r="CZ304" i="160"/>
  <c r="CZ305" i="160"/>
  <c r="CZ306" i="160"/>
  <c r="CZ307" i="160"/>
  <c r="CZ308" i="160"/>
  <c r="CZ309" i="160"/>
  <c r="CZ310" i="160"/>
  <c r="CZ311" i="160"/>
  <c r="CZ312" i="160"/>
  <c r="CZ313" i="160"/>
  <c r="CZ314" i="160"/>
  <c r="CZ315" i="160"/>
  <c r="CZ316" i="160"/>
  <c r="CZ317" i="160"/>
  <c r="CZ318" i="160"/>
  <c r="CZ319" i="160"/>
  <c r="CZ320" i="160"/>
  <c r="AH301" i="160" a="1"/>
  <c r="AH301" i="160" s="1"/>
  <c r="AI301" i="160" a="1"/>
  <c r="AI301" i="160" s="1"/>
  <c r="AJ301" i="160" a="1"/>
  <c r="AJ301" i="160" s="1"/>
  <c r="AK301" i="160" a="1"/>
  <c r="AK301" i="160"/>
  <c r="AL301" i="160" a="1"/>
  <c r="AL301" i="160"/>
  <c r="AM301" i="160" a="1"/>
  <c r="AM301" i="160"/>
  <c r="AN301" i="160" a="1"/>
  <c r="AN301" i="160"/>
  <c r="AO301" i="160" a="1"/>
  <c r="AO301" i="160" s="1"/>
  <c r="AP301" i="160" a="1"/>
  <c r="AP301" i="160" s="1"/>
  <c r="AQ301" i="160" a="1"/>
  <c r="AQ301" i="160" s="1"/>
  <c r="AR301" i="160" a="1"/>
  <c r="AR301" i="160" s="1"/>
  <c r="AS301" i="160" a="1"/>
  <c r="AS301" i="160" s="1"/>
  <c r="AT301" i="160" a="1"/>
  <c r="AT301" i="160" s="1"/>
  <c r="AU301" i="160" a="1"/>
  <c r="AU301" i="160" s="1"/>
  <c r="AV301" i="160" a="1"/>
  <c r="AV301" i="160" s="1"/>
  <c r="AH302" i="160" a="1"/>
  <c r="AH302" i="160" s="1"/>
  <c r="AI302" i="160" a="1"/>
  <c r="AI302" i="160" s="1"/>
  <c r="AJ302" i="160" a="1"/>
  <c r="AJ302" i="160" s="1"/>
  <c r="AK302" i="160" a="1"/>
  <c r="AK302" i="160"/>
  <c r="AL302" i="160" a="1"/>
  <c r="AL302" i="160" s="1"/>
  <c r="AM302" i="160" a="1"/>
  <c r="AM302" i="160" s="1"/>
  <c r="AN302" i="160" a="1"/>
  <c r="AN302" i="160" s="1"/>
  <c r="AO302" i="160" a="1"/>
  <c r="AO302" i="160" s="1"/>
  <c r="AP302" i="160" a="1"/>
  <c r="AP302" i="160" s="1"/>
  <c r="AQ302" i="160" a="1"/>
  <c r="AQ302" i="160" s="1"/>
  <c r="AR302" i="160" a="1"/>
  <c r="AR302" i="160" s="1"/>
  <c r="AS302" i="160" a="1"/>
  <c r="AS302" i="160" s="1"/>
  <c r="AT302" i="160" a="1"/>
  <c r="AT302" i="160" s="1"/>
  <c r="AU302" i="160" a="1"/>
  <c r="AU302" i="160" s="1"/>
  <c r="AV302" i="160" a="1"/>
  <c r="AV302" i="160" s="1"/>
  <c r="AH303" i="160" a="1"/>
  <c r="AH303" i="160" s="1"/>
  <c r="AI303" i="160" a="1"/>
  <c r="AI303" i="160" s="1"/>
  <c r="AJ303" i="160" a="1"/>
  <c r="AJ303" i="160" s="1"/>
  <c r="AK303" i="160" a="1"/>
  <c r="AK303" i="160" s="1"/>
  <c r="AL303" i="160" a="1"/>
  <c r="AL303" i="160" s="1"/>
  <c r="AM303" i="160" a="1"/>
  <c r="AM303" i="160" s="1"/>
  <c r="AN303" i="160" a="1"/>
  <c r="AN303" i="160" s="1"/>
  <c r="AO303" i="160" a="1"/>
  <c r="AO303" i="160" s="1"/>
  <c r="AP303" i="160" a="1"/>
  <c r="AP303" i="160" s="1"/>
  <c r="AQ303" i="160" a="1"/>
  <c r="AQ303" i="160" s="1"/>
  <c r="AR303" i="160" a="1"/>
  <c r="AR303" i="160"/>
  <c r="AS303" i="160" a="1"/>
  <c r="AS303" i="160" s="1"/>
  <c r="AT303" i="160" a="1"/>
  <c r="AT303" i="160" s="1"/>
  <c r="AU303" i="160" a="1"/>
  <c r="AU303" i="160"/>
  <c r="AV303" i="160" a="1"/>
  <c r="AV303" i="160"/>
  <c r="AH304" i="160" a="1"/>
  <c r="AH304" i="160"/>
  <c r="AI304" i="160" a="1"/>
  <c r="AI304" i="160"/>
  <c r="AJ304" i="160" a="1"/>
  <c r="AJ304" i="160"/>
  <c r="AK304" i="160" a="1"/>
  <c r="AK304" i="160"/>
  <c r="AL304" i="160" a="1"/>
  <c r="AL304" i="160"/>
  <c r="AM304" i="160" a="1"/>
  <c r="AM304" i="160"/>
  <c r="AN304" i="160" a="1"/>
  <c r="AN304" i="160"/>
  <c r="AO304" i="160" a="1"/>
  <c r="AO304" i="160"/>
  <c r="AP304" i="160" a="1"/>
  <c r="AP304" i="160"/>
  <c r="AQ304" i="160" a="1"/>
  <c r="AQ304" i="160"/>
  <c r="AR304" i="160" a="1"/>
  <c r="AR304" i="160"/>
  <c r="AS304" i="160" a="1"/>
  <c r="AS304" i="160"/>
  <c r="AT304" i="160" a="1"/>
  <c r="AT304" i="160"/>
  <c r="AU304" i="160" a="1"/>
  <c r="AU304" i="160"/>
  <c r="AV304" i="160" a="1"/>
  <c r="AV304" i="160"/>
  <c r="AH305" i="160" a="1"/>
  <c r="AH305" i="160"/>
  <c r="AI305" i="160" a="1"/>
  <c r="AI305" i="160" s="1"/>
  <c r="AJ305" i="160" a="1"/>
  <c r="AJ305" i="160" s="1"/>
  <c r="AK305" i="160" a="1"/>
  <c r="AK305" i="160" s="1"/>
  <c r="AL305" i="160" a="1"/>
  <c r="AL305" i="160" s="1"/>
  <c r="AM305" i="160" a="1"/>
  <c r="AM305" i="160" s="1"/>
  <c r="AN305" i="160" a="1"/>
  <c r="AN305" i="160" s="1"/>
  <c r="AO305" i="160" a="1"/>
  <c r="AO305" i="160" s="1"/>
  <c r="AP305" i="160" a="1"/>
  <c r="AP305" i="160" s="1"/>
  <c r="AQ305" i="160" a="1"/>
  <c r="AQ305" i="160" s="1"/>
  <c r="AR305" i="160" a="1"/>
  <c r="AR305" i="160" s="1"/>
  <c r="AS305" i="160" a="1"/>
  <c r="AS305" i="160" s="1"/>
  <c r="AT305" i="160" a="1"/>
  <c r="AT305" i="160" s="1"/>
  <c r="AU305" i="160" a="1"/>
  <c r="AU305" i="160" s="1"/>
  <c r="AV305" i="160" a="1"/>
  <c r="AV305" i="160" s="1"/>
  <c r="AH306" i="160" a="1"/>
  <c r="AH306" i="160" s="1"/>
  <c r="AI306" i="160" a="1"/>
  <c r="AI306" i="160" s="1"/>
  <c r="AJ306" i="160" a="1"/>
  <c r="AJ306" i="160" s="1"/>
  <c r="AK306" i="160" a="1"/>
  <c r="AK306" i="160" s="1"/>
  <c r="AL306" i="160" a="1"/>
  <c r="AL306" i="160" s="1"/>
  <c r="AM306" i="160" a="1"/>
  <c r="AM306" i="160" s="1"/>
  <c r="AN306" i="160" a="1"/>
  <c r="AN306" i="160" s="1"/>
  <c r="AO306" i="160" a="1"/>
  <c r="AO306" i="160" s="1"/>
  <c r="AP306" i="160" a="1"/>
  <c r="AP306" i="160" s="1"/>
  <c r="AQ306" i="160" a="1"/>
  <c r="AQ306" i="160" s="1"/>
  <c r="AR306" i="160" a="1"/>
  <c r="AR306" i="160" s="1"/>
  <c r="AS306" i="160" a="1"/>
  <c r="AS306" i="160" s="1"/>
  <c r="AT306" i="160" a="1"/>
  <c r="AT306" i="160"/>
  <c r="AU306" i="160" a="1"/>
  <c r="AU306" i="160"/>
  <c r="AV306" i="160" a="1"/>
  <c r="AV306" i="160"/>
  <c r="AH307" i="160" a="1"/>
  <c r="AH307" i="160"/>
  <c r="AI307" i="160" a="1"/>
  <c r="AI307" i="160"/>
  <c r="AJ307" i="160" a="1"/>
  <c r="AJ307" i="160"/>
  <c r="AK307" i="160" a="1"/>
  <c r="AK307" i="160"/>
  <c r="AL307" i="160" a="1"/>
  <c r="AL307" i="160"/>
  <c r="AM307" i="160" a="1"/>
  <c r="AM307" i="160"/>
  <c r="AN307" i="160" a="1"/>
  <c r="AN307" i="160"/>
  <c r="AO307" i="160" a="1"/>
  <c r="AO307" i="160"/>
  <c r="AP307" i="160" a="1"/>
  <c r="AP307" i="160"/>
  <c r="AQ307" i="160" a="1"/>
  <c r="AQ307" i="160"/>
  <c r="AR307" i="160" a="1"/>
  <c r="AR307" i="160"/>
  <c r="AS307" i="160" a="1"/>
  <c r="AS307" i="160"/>
  <c r="AT307" i="160" a="1"/>
  <c r="AT307" i="160" s="1"/>
  <c r="AU307" i="160" a="1"/>
  <c r="AU307" i="160" s="1"/>
  <c r="AV307" i="160" a="1"/>
  <c r="AV307" i="160" s="1"/>
  <c r="AH308" i="160" a="1"/>
  <c r="AH308" i="160" s="1"/>
  <c r="AI308" i="160" a="1"/>
  <c r="AI308" i="160" s="1"/>
  <c r="AJ308" i="160" a="1"/>
  <c r="AJ308" i="160" s="1"/>
  <c r="AK308" i="160" a="1"/>
  <c r="AK308" i="160" s="1"/>
  <c r="AL308" i="160" a="1"/>
  <c r="AL308" i="160" s="1"/>
  <c r="AM308" i="160" a="1"/>
  <c r="AM308" i="160" s="1"/>
  <c r="AN308" i="160" a="1"/>
  <c r="AN308" i="160" s="1"/>
  <c r="AO308" i="160" a="1"/>
  <c r="AO308" i="160" s="1"/>
  <c r="AP308" i="160" a="1"/>
  <c r="AP308" i="160" s="1"/>
  <c r="AQ308" i="160" a="1"/>
  <c r="AQ308" i="160" s="1"/>
  <c r="AR308" i="160" a="1"/>
  <c r="AR308" i="160" s="1"/>
  <c r="AS308" i="160" a="1"/>
  <c r="AS308" i="160" s="1"/>
  <c r="AT308" i="160" a="1"/>
  <c r="AT308" i="160" s="1"/>
  <c r="AU308" i="160" a="1"/>
  <c r="AU308" i="160" s="1"/>
  <c r="AV308" i="160" a="1"/>
  <c r="AV308" i="160" s="1"/>
  <c r="AH309" i="160" a="1"/>
  <c r="AH309" i="160" s="1"/>
  <c r="AI309" i="160" a="1"/>
  <c r="AI309" i="160" s="1"/>
  <c r="AJ309" i="160" a="1"/>
  <c r="AJ309" i="160" s="1"/>
  <c r="AK309" i="160" a="1"/>
  <c r="AK309" i="160" s="1"/>
  <c r="AL309" i="160" a="1"/>
  <c r="AL309" i="160" s="1"/>
  <c r="AM309" i="160" a="1"/>
  <c r="AM309" i="160" s="1"/>
  <c r="AN309" i="160" a="1"/>
  <c r="AN309" i="160" s="1"/>
  <c r="AO309" i="160" a="1"/>
  <c r="AO309" i="160" s="1"/>
  <c r="AP309" i="160" a="1"/>
  <c r="AP309" i="160" s="1"/>
  <c r="AQ309" i="160" a="1"/>
  <c r="AQ309" i="160" s="1"/>
  <c r="AR309" i="160" a="1"/>
  <c r="AR309" i="160"/>
  <c r="AS309" i="160" a="1"/>
  <c r="AS309" i="160"/>
  <c r="AT309" i="160" a="1"/>
  <c r="AT309" i="160"/>
  <c r="AU309" i="160" a="1"/>
  <c r="AU309" i="160"/>
  <c r="AV309" i="160" a="1"/>
  <c r="AV309" i="160"/>
  <c r="AH310" i="160" a="1"/>
  <c r="AH310" i="160"/>
  <c r="AI310" i="160" a="1"/>
  <c r="AI310" i="160"/>
  <c r="AJ310" i="160" a="1"/>
  <c r="AJ310" i="160" s="1"/>
  <c r="AK310" i="160" a="1"/>
  <c r="AK310" i="160" s="1"/>
  <c r="AL310" i="160" a="1"/>
  <c r="AL310" i="160" s="1"/>
  <c r="AM310" i="160" a="1"/>
  <c r="AM310" i="160" s="1"/>
  <c r="AN310" i="160" a="1"/>
  <c r="AN310" i="160" s="1"/>
  <c r="AO310" i="160" a="1"/>
  <c r="AO310" i="160" s="1"/>
  <c r="AP310" i="160" a="1"/>
  <c r="AP310" i="160" s="1"/>
  <c r="AQ310" i="160" a="1"/>
  <c r="AQ310" i="160" s="1"/>
  <c r="AR310" i="160" a="1"/>
  <c r="AR310" i="160" s="1"/>
  <c r="AS310" i="160" a="1"/>
  <c r="AS310" i="160" s="1"/>
  <c r="AT310" i="160" a="1"/>
  <c r="AT310" i="160" s="1"/>
  <c r="AU310" i="160" a="1"/>
  <c r="AU310" i="160" s="1"/>
  <c r="AV310" i="160" a="1"/>
  <c r="AV310" i="160" s="1"/>
  <c r="AH311" i="160" a="1"/>
  <c r="AH311" i="160" s="1"/>
  <c r="AI311" i="160" a="1"/>
  <c r="AI311" i="160" s="1"/>
  <c r="AJ311" i="160" a="1"/>
  <c r="AJ311" i="160" s="1"/>
  <c r="AK311" i="160" a="1"/>
  <c r="AK311" i="160" s="1"/>
  <c r="AL311" i="160" a="1"/>
  <c r="AL311" i="160" s="1"/>
  <c r="AM311" i="160" a="1"/>
  <c r="AM311" i="160" s="1"/>
  <c r="AN311" i="160" a="1"/>
  <c r="AN311" i="160" s="1"/>
  <c r="AO311" i="160" a="1"/>
  <c r="AO311" i="160" s="1"/>
  <c r="AP311" i="160" a="1"/>
  <c r="AP311" i="160" s="1"/>
  <c r="AQ311" i="160" a="1"/>
  <c r="AQ311" i="160" s="1"/>
  <c r="AR311" i="160" a="1"/>
  <c r="AR311" i="160" s="1"/>
  <c r="AS311" i="160" a="1"/>
  <c r="AS311" i="160" s="1"/>
  <c r="AT311" i="160" a="1"/>
  <c r="AT311" i="160" s="1"/>
  <c r="AU311" i="160" a="1"/>
  <c r="AU311" i="160" s="1"/>
  <c r="AV311" i="160" a="1"/>
  <c r="AV311" i="160" s="1"/>
  <c r="AH312" i="160" a="1"/>
  <c r="AH312" i="160" s="1"/>
  <c r="AI312" i="160" a="1"/>
  <c r="AI312" i="160" s="1"/>
  <c r="AJ312" i="160" a="1"/>
  <c r="AJ312" i="160" s="1"/>
  <c r="AK312" i="160" a="1"/>
  <c r="AK312" i="160" s="1"/>
  <c r="AL312" i="160" a="1"/>
  <c r="AL312" i="160" s="1"/>
  <c r="AM312" i="160" a="1"/>
  <c r="AM312" i="160" s="1"/>
  <c r="AN312" i="160" a="1"/>
  <c r="AN312" i="160" s="1"/>
  <c r="AO312" i="160" a="1"/>
  <c r="AO312" i="160" s="1"/>
  <c r="AP312" i="160" a="1"/>
  <c r="AP312" i="160"/>
  <c r="AQ312" i="160" a="1"/>
  <c r="AQ312" i="160"/>
  <c r="AR312" i="160" a="1"/>
  <c r="AR312" i="160"/>
  <c r="AS312" i="160" a="1"/>
  <c r="AS312" i="160"/>
  <c r="AT312" i="160" a="1"/>
  <c r="AT312" i="160"/>
  <c r="AU312" i="160" a="1"/>
  <c r="AU312" i="160"/>
  <c r="AV312" i="160" a="1"/>
  <c r="AV312" i="160"/>
  <c r="AH313" i="160" a="1"/>
  <c r="AH313" i="160"/>
  <c r="AI313" i="160" a="1"/>
  <c r="AI313" i="160"/>
  <c r="AJ313" i="160" a="1"/>
  <c r="AJ313" i="160"/>
  <c r="AK313" i="160" a="1"/>
  <c r="AK313" i="160"/>
  <c r="AL313" i="160" a="1"/>
  <c r="AL313" i="160"/>
  <c r="AM313" i="160" a="1"/>
  <c r="AM313" i="160"/>
  <c r="AN313" i="160" a="1"/>
  <c r="AN313" i="160"/>
  <c r="AO313" i="160" a="1"/>
  <c r="AO313" i="160"/>
  <c r="AP313" i="160" a="1"/>
  <c r="AP313" i="160"/>
  <c r="AQ313" i="160" a="1"/>
  <c r="AQ313" i="160"/>
  <c r="AR313" i="160" a="1"/>
  <c r="AR313" i="160"/>
  <c r="AS313" i="160" a="1"/>
  <c r="AS313" i="160"/>
  <c r="AT313" i="160" a="1"/>
  <c r="AT313" i="160"/>
  <c r="AU313" i="160" a="1"/>
  <c r="AU313" i="160"/>
  <c r="AV313" i="160" a="1"/>
  <c r="AV313" i="160"/>
  <c r="AH314" i="160" a="1"/>
  <c r="AH314" i="160"/>
  <c r="AI314" i="160" a="1"/>
  <c r="AI314" i="160"/>
  <c r="AJ314" i="160" a="1"/>
  <c r="AJ314" i="160"/>
  <c r="AK314" i="160" a="1"/>
  <c r="AK314" i="160"/>
  <c r="AL314" i="160" a="1"/>
  <c r="AL314" i="160"/>
  <c r="AM314" i="160" a="1"/>
  <c r="AM314" i="160"/>
  <c r="AN314" i="160" a="1"/>
  <c r="AN314" i="160"/>
  <c r="AO314" i="160" a="1"/>
  <c r="AO314" i="160"/>
  <c r="AP314" i="160" a="1"/>
  <c r="AP314" i="160"/>
  <c r="AQ314" i="160" a="1"/>
  <c r="AQ314" i="160"/>
  <c r="AR314" i="160" a="1"/>
  <c r="AR314" i="160"/>
  <c r="AS314" i="160" a="1"/>
  <c r="AS314" i="160"/>
  <c r="AT314" i="160" a="1"/>
  <c r="AT314" i="160"/>
  <c r="AU314" i="160" a="1"/>
  <c r="AU314" i="160"/>
  <c r="AV314" i="160" a="1"/>
  <c r="AV314" i="160"/>
  <c r="AH315" i="160" a="1"/>
  <c r="AH315" i="160"/>
  <c r="AI315" i="160" a="1"/>
  <c r="AI315" i="160" s="1"/>
  <c r="AJ315" i="160" a="1"/>
  <c r="AJ315" i="160" s="1"/>
  <c r="AK315" i="160" a="1"/>
  <c r="AK315" i="160" s="1"/>
  <c r="AL315" i="160" a="1"/>
  <c r="AL315" i="160" s="1"/>
  <c r="AM315" i="160" a="1"/>
  <c r="AM315" i="160" s="1"/>
  <c r="AN315" i="160" a="1"/>
  <c r="AN315" i="160" s="1"/>
  <c r="AO315" i="160" a="1"/>
  <c r="AO315" i="160"/>
  <c r="AP315" i="160" a="1"/>
  <c r="AP315" i="160"/>
  <c r="AQ315" i="160" a="1"/>
  <c r="AQ315" i="160" s="1"/>
  <c r="AR315" i="160" a="1"/>
  <c r="AR315" i="160" s="1"/>
  <c r="AS315" i="160" a="1"/>
  <c r="AS315" i="160" s="1"/>
  <c r="AT315" i="160" a="1"/>
  <c r="AT315" i="160" s="1"/>
  <c r="AU315" i="160" a="1"/>
  <c r="AU315" i="160" s="1"/>
  <c r="AV315" i="160" a="1"/>
  <c r="AV315" i="160" s="1"/>
  <c r="AH316" i="160" a="1"/>
  <c r="AH316" i="160" s="1"/>
  <c r="AI316" i="160" a="1"/>
  <c r="AI316" i="160" s="1"/>
  <c r="AJ316" i="160" a="1"/>
  <c r="AJ316" i="160" s="1"/>
  <c r="AK316" i="160" a="1"/>
  <c r="AK316" i="160" s="1"/>
  <c r="AL316" i="160" a="1"/>
  <c r="AL316" i="160" s="1"/>
  <c r="AM316" i="160" a="1"/>
  <c r="AM316" i="160" s="1"/>
  <c r="AN316" i="160" a="1"/>
  <c r="AN316" i="160" s="1"/>
  <c r="AO316" i="160" a="1"/>
  <c r="AO316" i="160" s="1"/>
  <c r="AP316" i="160" a="1"/>
  <c r="AP316" i="160" s="1"/>
  <c r="AQ316" i="160" a="1"/>
  <c r="AQ316" i="160" s="1"/>
  <c r="AR316" i="160" a="1"/>
  <c r="AR316" i="160" s="1"/>
  <c r="AS316" i="160" a="1"/>
  <c r="AS316" i="160" s="1"/>
  <c r="AT316" i="160" a="1"/>
  <c r="AT316" i="160" s="1"/>
  <c r="AU316" i="160" a="1"/>
  <c r="AU316" i="160" s="1"/>
  <c r="AV316" i="160" a="1"/>
  <c r="AV316" i="160" s="1"/>
  <c r="AH317" i="160" a="1"/>
  <c r="AH317" i="160" s="1"/>
  <c r="AI317" i="160" a="1"/>
  <c r="AI317" i="160" s="1"/>
  <c r="AJ317" i="160" a="1"/>
  <c r="AJ317" i="160" s="1"/>
  <c r="AK317" i="160" a="1"/>
  <c r="AK317" i="160" s="1"/>
  <c r="AL317" i="160" a="1"/>
  <c r="AL317" i="160" s="1"/>
  <c r="AM317" i="160" a="1"/>
  <c r="AM317" i="160" s="1"/>
  <c r="AN317" i="160" a="1"/>
  <c r="AN317" i="160" s="1"/>
  <c r="AO317" i="160" a="1"/>
  <c r="AO317" i="160" s="1"/>
  <c r="AP317" i="160" a="1"/>
  <c r="AP317" i="160" s="1"/>
  <c r="AQ317" i="160" a="1"/>
  <c r="AQ317" i="160" s="1"/>
  <c r="AR317" i="160" a="1"/>
  <c r="AR317" i="160" s="1"/>
  <c r="AS317" i="160" a="1"/>
  <c r="AS317" i="160" s="1"/>
  <c r="AT317" i="160" a="1"/>
  <c r="AT317" i="160" s="1"/>
  <c r="AU317" i="160" a="1"/>
  <c r="AU317" i="160" s="1"/>
  <c r="AV317" i="160" a="1"/>
  <c r="AV317" i="160" s="1"/>
  <c r="AH318" i="160" a="1"/>
  <c r="AH318" i="160" s="1"/>
  <c r="AI318" i="160" a="1"/>
  <c r="AI318" i="160" s="1"/>
  <c r="AJ318" i="160" a="1"/>
  <c r="AJ318" i="160" s="1"/>
  <c r="AK318" i="160" a="1"/>
  <c r="AK318" i="160" s="1"/>
  <c r="AL318" i="160" a="1"/>
  <c r="AL318" i="160" s="1"/>
  <c r="AM318" i="160" a="1"/>
  <c r="AM318" i="160"/>
  <c r="AN318" i="160" a="1"/>
  <c r="AN318" i="160"/>
  <c r="AO318" i="160" a="1"/>
  <c r="AO318" i="160"/>
  <c r="AP318" i="160" a="1"/>
  <c r="AP318" i="160"/>
  <c r="AQ318" i="160" a="1"/>
  <c r="AQ318" i="160"/>
  <c r="AR318" i="160" a="1"/>
  <c r="AR318" i="160"/>
  <c r="AS318" i="160" a="1"/>
  <c r="AS318" i="160"/>
  <c r="AT318" i="160" a="1"/>
  <c r="AT318" i="160"/>
  <c r="AU318" i="160" a="1"/>
  <c r="AU318" i="160"/>
  <c r="AV318" i="160" a="1"/>
  <c r="AV318" i="160"/>
  <c r="AH319" i="160" a="1"/>
  <c r="AH319" i="160"/>
  <c r="AI319" i="160" a="1"/>
  <c r="AI319" i="160"/>
  <c r="AJ319" i="160" a="1"/>
  <c r="AJ319" i="160"/>
  <c r="AK319" i="160" a="1"/>
  <c r="AK319" i="160"/>
  <c r="AL319" i="160" a="1"/>
  <c r="AL319" i="160"/>
  <c r="AM319" i="160" a="1"/>
  <c r="AM319" i="160" s="1"/>
  <c r="AN319" i="160" a="1"/>
  <c r="AN319" i="160" s="1"/>
  <c r="AO319" i="160" a="1"/>
  <c r="AO319" i="160" s="1"/>
  <c r="AP319" i="160" a="1"/>
  <c r="AP319" i="160" s="1"/>
  <c r="AQ319" i="160" a="1"/>
  <c r="AQ319" i="160" s="1"/>
  <c r="AR319" i="160" a="1"/>
  <c r="AR319" i="160" s="1"/>
  <c r="AS319" i="160" a="1"/>
  <c r="AS319" i="160" s="1"/>
  <c r="AT319" i="160" a="1"/>
  <c r="AT319" i="160" s="1"/>
  <c r="AU319" i="160" a="1"/>
  <c r="AU319" i="160" s="1"/>
  <c r="AV319" i="160" a="1"/>
  <c r="AV319" i="160" s="1"/>
  <c r="AH320" i="160" a="1"/>
  <c r="AH320" i="160" s="1"/>
  <c r="AI320" i="160" a="1"/>
  <c r="AI320" i="160" s="1"/>
  <c r="AJ320" i="160" a="1"/>
  <c r="AJ320" i="160" s="1"/>
  <c r="AK320" i="160" a="1"/>
  <c r="AK320" i="160" s="1"/>
  <c r="AL320" i="160" a="1"/>
  <c r="AL320" i="160" s="1"/>
  <c r="AM320" i="160" a="1"/>
  <c r="AM320" i="160" s="1"/>
  <c r="AN320" i="160" a="1"/>
  <c r="AN320" i="160" s="1"/>
  <c r="AO320" i="160" a="1"/>
  <c r="AO320" i="160" s="1"/>
  <c r="AP320" i="160" a="1"/>
  <c r="AP320" i="160" s="1"/>
  <c r="AQ320" i="160" a="1"/>
  <c r="AQ320" i="160" s="1"/>
  <c r="AR320" i="160" a="1"/>
  <c r="AR320" i="160" s="1"/>
  <c r="AS320" i="160" a="1"/>
  <c r="AS320" i="160" s="1"/>
  <c r="AT320" i="160" a="1"/>
  <c r="AT320" i="160" s="1"/>
  <c r="AU320" i="160" a="1"/>
  <c r="AU320" i="160" s="1"/>
  <c r="AV320" i="160" a="1"/>
  <c r="AV320" i="160" s="1"/>
  <c r="M214" i="160" a="1"/>
  <c r="M214" i="160" s="1"/>
  <c r="S11" i="160" a="1"/>
  <c r="R12" i="160" a="1"/>
  <c r="AZ170" i="160" a="1"/>
  <c r="AZ170" i="160" s="1"/>
  <c r="M30" i="151" a="1"/>
  <c r="M30" i="151" s="1"/>
  <c r="K30" i="151" a="1"/>
  <c r="K30" i="151" s="1"/>
  <c r="J30" i="151" a="1"/>
  <c r="J30" i="151" s="1"/>
  <c r="O6" i="151" a="1"/>
  <c r="O6" i="151" s="1"/>
  <c r="N6" i="151" a="1"/>
  <c r="N6" i="151" s="1"/>
  <c r="D23" i="120"/>
  <c r="E23" i="120"/>
  <c r="F23" i="120"/>
  <c r="G23" i="120"/>
  <c r="H23" i="120"/>
  <c r="I23" i="120"/>
  <c r="J23" i="120"/>
  <c r="K23" i="120"/>
  <c r="L23" i="120"/>
  <c r="C23" i="120"/>
  <c r="E40" i="160"/>
  <c r="C3" i="169" s="1"/>
  <c r="J301" i="160" a="1"/>
  <c r="I6" i="151" a="1"/>
  <c r="N7" i="120"/>
  <c r="N8" i="120"/>
  <c r="N9" i="120"/>
  <c r="N10" i="120"/>
  <c r="N11" i="120"/>
  <c r="N12" i="120"/>
  <c r="N13" i="120"/>
  <c r="N14" i="120"/>
  <c r="N15" i="120"/>
  <c r="N16" i="120"/>
  <c r="N17" i="120"/>
  <c r="N18" i="120"/>
  <c r="N19" i="120"/>
  <c r="N20" i="120"/>
  <c r="N6" i="120"/>
  <c r="I301" i="160" a="1"/>
  <c r="I301" i="160" s="1"/>
  <c r="AV258" i="160" a="1"/>
  <c r="AV258" i="160" s="1"/>
  <c r="I299" i="160"/>
  <c r="J214" i="160" a="1"/>
  <c r="AV256" i="160"/>
  <c r="AY256" i="160" s="1" a="1"/>
  <c r="AY256" i="160" s="1"/>
  <c r="O320" i="160" a="1"/>
  <c r="O319" i="160" a="1"/>
  <c r="O318" i="160" a="1"/>
  <c r="O317" i="160" a="1"/>
  <c r="O316" i="160" a="1"/>
  <c r="O315" i="160" a="1"/>
  <c r="O314" i="160" a="1"/>
  <c r="O314" i="160" s="1"/>
  <c r="O313" i="160" a="1"/>
  <c r="O312" i="160" a="1"/>
  <c r="O311" i="160" a="1"/>
  <c r="O310" i="160" a="1"/>
  <c r="O309" i="160" a="1"/>
  <c r="O308" i="160" a="1"/>
  <c r="O307" i="160" a="1"/>
  <c r="O306" i="160" a="1"/>
  <c r="O305" i="160" a="1"/>
  <c r="O304" i="160" a="1"/>
  <c r="O303" i="160" a="1"/>
  <c r="O302" i="160" a="1"/>
  <c r="O301" i="160" a="1"/>
  <c r="O299" i="160" a="1"/>
  <c r="AH298" i="160" a="1"/>
  <c r="AH256" i="160" a="1"/>
  <c r="O256" i="160" a="1"/>
  <c r="AH277" i="160" a="1"/>
  <c r="O277" i="160" a="1"/>
  <c r="AH276" i="160" a="1"/>
  <c r="O276" i="160" a="1"/>
  <c r="AH275" i="160" a="1"/>
  <c r="O275" i="160" a="1"/>
  <c r="AH274" i="160" a="1"/>
  <c r="O274" i="160" a="1"/>
  <c r="AH273" i="160" a="1"/>
  <c r="O273" i="160" a="1"/>
  <c r="AH272" i="160" a="1"/>
  <c r="O272" i="160" a="1"/>
  <c r="AH271" i="160" a="1"/>
  <c r="O271" i="160" a="1"/>
  <c r="AH270" i="160" a="1"/>
  <c r="O270" i="160" a="1"/>
  <c r="AH269" i="160" a="1"/>
  <c r="O269" i="160" a="1"/>
  <c r="AH268" i="160" a="1"/>
  <c r="O268" i="160" a="1"/>
  <c r="AH267" i="160" a="1"/>
  <c r="O267" i="160" a="1"/>
  <c r="AH266" i="160" a="1"/>
  <c r="O266" i="160" a="1"/>
  <c r="AH265" i="160" a="1"/>
  <c r="O265" i="160" a="1"/>
  <c r="AH264" i="160" a="1"/>
  <c r="O264" i="160" a="1"/>
  <c r="AH263" i="160" a="1"/>
  <c r="O263" i="160" a="1"/>
  <c r="AH262" i="160" a="1"/>
  <c r="O262" i="160" a="1"/>
  <c r="AH261" i="160" a="1"/>
  <c r="O261" i="160" a="1"/>
  <c r="AH260" i="160" a="1"/>
  <c r="O260" i="160" a="1"/>
  <c r="AH259" i="160" a="1"/>
  <c r="O259" i="160" a="1"/>
  <c r="AH258" i="160" a="1"/>
  <c r="O258" i="160" a="1"/>
  <c r="M215" i="160" a="1"/>
  <c r="M215" i="160" s="1"/>
  <c r="M216" i="160" a="1"/>
  <c r="M216" i="160" s="1"/>
  <c r="M217" i="160" a="1"/>
  <c r="M217" i="160" s="1"/>
  <c r="M218" i="160" a="1"/>
  <c r="M218" i="160" s="1"/>
  <c r="M219" i="160" a="1"/>
  <c r="M219" i="160" s="1"/>
  <c r="M220" i="160" a="1"/>
  <c r="M220" i="160" s="1"/>
  <c r="M221" i="160" a="1"/>
  <c r="M221" i="160" s="1"/>
  <c r="M222" i="160" a="1"/>
  <c r="M222" i="160" s="1"/>
  <c r="M223" i="160" a="1"/>
  <c r="M223" i="160" s="1"/>
  <c r="M224" i="160" a="1"/>
  <c r="M224" i="160" s="1"/>
  <c r="M225" i="160" a="1"/>
  <c r="M225" i="160" s="1"/>
  <c r="M226" i="160" a="1"/>
  <c r="M226" i="160" s="1"/>
  <c r="M227" i="160" a="1"/>
  <c r="M227" i="160" s="1"/>
  <c r="M228" i="160" a="1"/>
  <c r="M228" i="160" s="1"/>
  <c r="M229" i="160" a="1"/>
  <c r="M229" i="160" s="1"/>
  <c r="M230" i="160" a="1"/>
  <c r="M230" i="160" s="1"/>
  <c r="M231" i="160" a="1"/>
  <c r="M231" i="160" s="1"/>
  <c r="M232" i="160" a="1"/>
  <c r="M232" i="160" s="1"/>
  <c r="M233" i="160" a="1"/>
  <c r="M233" i="160" s="1"/>
  <c r="N210" i="160" a="1"/>
  <c r="K214" i="160" a="1"/>
  <c r="K214" i="160" s="1"/>
  <c r="AH171" i="160" a="1"/>
  <c r="AH172" i="160" a="1"/>
  <c r="AH173" i="160" a="1"/>
  <c r="AH174" i="160" a="1"/>
  <c r="AH175" i="160" a="1"/>
  <c r="AH176" i="160" a="1"/>
  <c r="AH177" i="160" a="1"/>
  <c r="AH178" i="160" a="1"/>
  <c r="AH179" i="160" a="1"/>
  <c r="AH180" i="160" a="1"/>
  <c r="AH181" i="160" a="1"/>
  <c r="AH182" i="160" a="1"/>
  <c r="AH183" i="160" a="1"/>
  <c r="AH184" i="160" a="1"/>
  <c r="AH185" i="160" a="1"/>
  <c r="AH186" i="160" a="1"/>
  <c r="AH187" i="160" a="1"/>
  <c r="AH188" i="160" a="1"/>
  <c r="AH189" i="160" a="1"/>
  <c r="AH170" i="160" a="1"/>
  <c r="O171" i="160" a="1"/>
  <c r="O171" i="160"/>
  <c r="O172" i="160" a="1"/>
  <c r="O172" i="160" s="1"/>
  <c r="O173" i="160" a="1"/>
  <c r="O173" i="160" s="1"/>
  <c r="O174" i="160" a="1"/>
  <c r="O174" i="160" s="1"/>
  <c r="O175" i="160" a="1"/>
  <c r="O175" i="160" s="1"/>
  <c r="O176" i="160" a="1"/>
  <c r="O176" i="160" s="1"/>
  <c r="O177" i="160" a="1"/>
  <c r="O177" i="160" s="1"/>
  <c r="O178" i="160" a="1"/>
  <c r="O178" i="160" s="1"/>
  <c r="O179" i="160" a="1"/>
  <c r="O179" i="160" s="1"/>
  <c r="O180" i="160" a="1"/>
  <c r="O181" i="160" a="1"/>
  <c r="O182" i="160" a="1"/>
  <c r="O182" i="160" s="1"/>
  <c r="O183" i="160" a="1"/>
  <c r="O183" i="160"/>
  <c r="O184" i="160" a="1"/>
  <c r="O184" i="160" s="1"/>
  <c r="O185" i="160" a="1"/>
  <c r="O185" i="160" s="1"/>
  <c r="O186" i="160" a="1"/>
  <c r="O186" i="160" s="1"/>
  <c r="O187" i="160" a="1"/>
  <c r="O187" i="160" s="1"/>
  <c r="O188" i="160" a="1"/>
  <c r="O188" i="160" s="1"/>
  <c r="O189" i="160" a="1"/>
  <c r="O189" i="160" s="1"/>
  <c r="O170" i="160" a="1"/>
  <c r="E126" i="160" a="1"/>
  <c r="E98" i="160" a="1"/>
  <c r="E98" i="160" s="1"/>
  <c r="C19" i="169" s="1"/>
  <c r="E99" i="160" a="1"/>
  <c r="E99" i="160" s="1"/>
  <c r="C20" i="169" s="1"/>
  <c r="E100" i="160" a="1"/>
  <c r="E100" i="160" s="1"/>
  <c r="C21" i="169" s="1"/>
  <c r="E101" i="160" a="1"/>
  <c r="E101" i="160" s="1"/>
  <c r="C22" i="169" s="1"/>
  <c r="E102" i="160" a="1"/>
  <c r="E102" i="160" s="1"/>
  <c r="C23" i="169" s="1"/>
  <c r="E103" i="160" a="1"/>
  <c r="E103" i="160" s="1"/>
  <c r="C24" i="169" s="1"/>
  <c r="E104" i="160" a="1"/>
  <c r="E104" i="160" s="1"/>
  <c r="C25" i="169" s="1"/>
  <c r="E105" i="160" a="1"/>
  <c r="E105" i="160" s="1"/>
  <c r="C26" i="169" s="1"/>
  <c r="E106" i="160" a="1"/>
  <c r="E106" i="160" s="1"/>
  <c r="C27" i="169" s="1"/>
  <c r="E97" i="160" a="1"/>
  <c r="E97" i="160" s="1"/>
  <c r="C18" i="169" s="1"/>
  <c r="E66" i="160"/>
  <c r="C9" i="169" s="1"/>
  <c r="E67" i="160"/>
  <c r="C10" i="169" s="1"/>
  <c r="E68" i="160"/>
  <c r="C11" i="169" s="1"/>
  <c r="E69" i="160"/>
  <c r="C12" i="169" s="1"/>
  <c r="E70" i="160"/>
  <c r="C13" i="169" s="1"/>
  <c r="E71" i="160"/>
  <c r="C14" i="169" s="1"/>
  <c r="E72" i="160"/>
  <c r="C15" i="169" s="1"/>
  <c r="E73" i="160"/>
  <c r="C16" i="169" s="1"/>
  <c r="E74" i="160"/>
  <c r="C17" i="169" s="1"/>
  <c r="E65" i="160"/>
  <c r="C8" i="169" s="1"/>
  <c r="C6" i="169"/>
  <c r="C5" i="169"/>
  <c r="C4" i="169"/>
  <c r="B9" i="169"/>
  <c r="B10" i="169" s="1"/>
  <c r="B11" i="169" s="1"/>
  <c r="B12" i="169" s="1"/>
  <c r="B13" i="169" s="1"/>
  <c r="B14" i="169" s="1"/>
  <c r="B15" i="169" s="1"/>
  <c r="B16" i="169" s="1"/>
  <c r="B17" i="169" s="1"/>
  <c r="B18" i="169" s="1"/>
  <c r="B19" i="169" s="1"/>
  <c r="B20" i="169" s="1"/>
  <c r="B21" i="169" s="1"/>
  <c r="B22" i="169" s="1"/>
  <c r="B23" i="169" s="1"/>
  <c r="B24" i="169" s="1"/>
  <c r="B25" i="169" s="1"/>
  <c r="B26" i="169" s="1"/>
  <c r="B27" i="169" s="1"/>
  <c r="B28" i="169" s="1"/>
  <c r="B29" i="169" s="1"/>
  <c r="B30" i="169" s="1"/>
  <c r="B31" i="169" s="1"/>
  <c r="B32" i="169" s="1"/>
  <c r="B33" i="169" s="1"/>
  <c r="B34" i="169" s="1"/>
  <c r="B35" i="169" s="1"/>
  <c r="B36" i="169" s="1"/>
  <c r="B37" i="169" s="1"/>
  <c r="B38" i="169" s="1"/>
  <c r="B39" i="169" s="1"/>
  <c r="B40" i="169" s="1"/>
  <c r="B41" i="169" s="1"/>
  <c r="B42" i="169" s="1"/>
  <c r="B43" i="169" s="1"/>
  <c r="B44" i="169" s="1"/>
  <c r="B45" i="169" s="1"/>
  <c r="B46" i="169" s="1"/>
  <c r="B47" i="169" s="1"/>
  <c r="B48" i="169" s="1"/>
  <c r="B49" i="169" s="1"/>
  <c r="B50" i="169" s="1"/>
  <c r="B51" i="169" s="1"/>
  <c r="B52" i="169" s="1"/>
  <c r="B53" i="169" s="1"/>
  <c r="B54" i="169" s="1"/>
  <c r="B55" i="169" s="1"/>
  <c r="B56" i="169" s="1"/>
  <c r="B57" i="169" s="1"/>
  <c r="B58" i="169" s="1"/>
  <c r="B59" i="169" s="1"/>
  <c r="B60" i="169" s="1"/>
  <c r="B61" i="169" s="1"/>
  <c r="B62" i="169" s="1"/>
  <c r="B63" i="169" s="1"/>
  <c r="B64" i="169" s="1"/>
  <c r="B65" i="169" s="1"/>
  <c r="B66" i="169" s="1"/>
  <c r="B67" i="169" s="1"/>
  <c r="B68" i="169" s="1"/>
  <c r="B69" i="169" s="1"/>
  <c r="B70" i="169" s="1"/>
  <c r="B71" i="169" s="1"/>
  <c r="B72" i="169" s="1"/>
  <c r="B73" i="169" s="1"/>
  <c r="B74" i="169" s="1"/>
  <c r="B75" i="169" s="1"/>
  <c r="B76" i="169" s="1"/>
  <c r="B77" i="169" s="1"/>
  <c r="B78" i="169" s="1"/>
  <c r="B79" i="169" s="1"/>
  <c r="B80" i="169" s="1"/>
  <c r="B81" i="169" s="1"/>
  <c r="B82" i="169" s="1"/>
  <c r="B83" i="169" s="1"/>
  <c r="B84" i="169" s="1"/>
  <c r="B85" i="169" s="1"/>
  <c r="B86" i="169" s="1"/>
  <c r="B87" i="169" s="1"/>
  <c r="B88" i="169" s="1"/>
  <c r="B89" i="169" s="1"/>
  <c r="B90" i="169" s="1"/>
  <c r="B91" i="169" s="1"/>
  <c r="B92" i="169" s="1"/>
  <c r="B93" i="169" s="1"/>
  <c r="B94" i="169" s="1"/>
  <c r="B95" i="169" s="1"/>
  <c r="B96" i="169" s="1"/>
  <c r="B97" i="169" s="1"/>
  <c r="B98" i="169" s="1"/>
  <c r="B99" i="169" s="1"/>
  <c r="B100" i="169" s="1"/>
  <c r="B101" i="169" s="1"/>
  <c r="B102" i="169" s="1"/>
  <c r="B103" i="169" s="1"/>
  <c r="B104" i="169" s="1"/>
  <c r="B105" i="169" s="1"/>
  <c r="B106" i="169" s="1"/>
  <c r="B107" i="169" s="1"/>
  <c r="B108" i="169" s="1"/>
  <c r="B109" i="169" s="1"/>
  <c r="B110" i="169" s="1"/>
  <c r="B111" i="169" s="1"/>
  <c r="B112" i="169" s="1"/>
  <c r="B113" i="169" s="1"/>
  <c r="B114" i="169" s="1"/>
  <c r="B115" i="169" s="1"/>
  <c r="B116" i="169" s="1"/>
  <c r="B117" i="169" s="1"/>
  <c r="B118" i="169" s="1"/>
  <c r="B119" i="169" s="1"/>
  <c r="B120" i="169" s="1"/>
  <c r="B121" i="169" s="1"/>
  <c r="B122" i="169" s="1"/>
  <c r="B123" i="169" s="1"/>
  <c r="B124" i="169" s="1"/>
  <c r="B125" i="169" s="1"/>
  <c r="B126" i="169" s="1"/>
  <c r="B127" i="169" s="1"/>
  <c r="S11" i="160" l="1"/>
  <c r="S10" i="160" a="1"/>
  <c r="S10" i="160" s="1"/>
  <c r="R12" i="160"/>
  <c r="Q12" i="160" a="1"/>
  <c r="Q12" i="160" s="1"/>
  <c r="S12" i="160" s="1" a="1"/>
  <c r="N222" i="160" a="1"/>
  <c r="N233" i="160" a="1"/>
  <c r="N224" i="160" a="1"/>
  <c r="N230" i="160" a="1"/>
  <c r="N232" i="160" a="1"/>
  <c r="AH298" i="160"/>
  <c r="AX304" i="160" a="1"/>
  <c r="AX304" i="160" s="1"/>
  <c r="AX302" i="160" a="1"/>
  <c r="AX302" i="160" s="1"/>
  <c r="AX305" i="160" a="1"/>
  <c r="AX305" i="160" s="1"/>
  <c r="AX306" i="160" a="1"/>
  <c r="AX306" i="160" s="1"/>
  <c r="AX307" i="160" a="1"/>
  <c r="AX307" i="160" s="1"/>
  <c r="AX308" i="160" a="1"/>
  <c r="AX308" i="160" s="1"/>
  <c r="AX309" i="160" a="1"/>
  <c r="AX309" i="160" s="1"/>
  <c r="AX310" i="160" a="1"/>
  <c r="AX310" i="160" s="1"/>
  <c r="AX311" i="160" a="1"/>
  <c r="AX311" i="160" s="1"/>
  <c r="AX312" i="160" a="1"/>
  <c r="AX312" i="160" s="1"/>
  <c r="AX313" i="160" a="1"/>
  <c r="AX313" i="160" s="1"/>
  <c r="AX314" i="160" a="1"/>
  <c r="AX314" i="160" s="1"/>
  <c r="AX315" i="160" a="1"/>
  <c r="AX315" i="160" s="1"/>
  <c r="AX316" i="160" a="1"/>
  <c r="AX316" i="160" s="1"/>
  <c r="AX317" i="160" a="1"/>
  <c r="AX317" i="160" s="1"/>
  <c r="AX318" i="160" a="1"/>
  <c r="AX318" i="160" s="1"/>
  <c r="AX319" i="160" a="1"/>
  <c r="AX319" i="160" s="1"/>
  <c r="AX320" i="160" a="1"/>
  <c r="AX320" i="160" s="1"/>
  <c r="AX299" i="160" a="1"/>
  <c r="AX301" i="160" a="1"/>
  <c r="AX301" i="160" s="1"/>
  <c r="N210" i="160"/>
  <c r="N219" i="160" a="1"/>
  <c r="N214" i="160" a="1"/>
  <c r="N217" i="160" a="1"/>
  <c r="N215" i="160" a="1"/>
  <c r="N220" i="160" a="1"/>
  <c r="N225" i="160" a="1"/>
  <c r="N228" i="160" a="1"/>
  <c r="N216" i="160" a="1"/>
  <c r="N221" i="160" a="1"/>
  <c r="N226" i="160" a="1"/>
  <c r="N231" i="160" a="1"/>
  <c r="N223" i="160" a="1"/>
  <c r="N218" i="160" a="1"/>
  <c r="N227" i="160" a="1"/>
  <c r="N229" i="160" a="1"/>
  <c r="AH171" i="160"/>
  <c r="AH172" i="160"/>
  <c r="AH173" i="160"/>
  <c r="AH174" i="160"/>
  <c r="AH175" i="160"/>
  <c r="AH176" i="160"/>
  <c r="AH177" i="160"/>
  <c r="AH178" i="160"/>
  <c r="AH179" i="160"/>
  <c r="AH180" i="160"/>
  <c r="AH181" i="160"/>
  <c r="AH182" i="160"/>
  <c r="AH183" i="160"/>
  <c r="AH184" i="160"/>
  <c r="AH185" i="160"/>
  <c r="AH186" i="160"/>
  <c r="AH187" i="160"/>
  <c r="AH188" i="160"/>
  <c r="AH189" i="160"/>
  <c r="J301" i="160"/>
  <c r="J320" i="160" a="1"/>
  <c r="J319" i="160" a="1"/>
  <c r="J317" i="160" a="1"/>
  <c r="J316" i="160" a="1"/>
  <c r="J314" i="160" a="1"/>
  <c r="J313" i="160" a="1"/>
  <c r="J312" i="160" a="1"/>
  <c r="J311" i="160" a="1"/>
  <c r="J309" i="160" a="1"/>
  <c r="J308" i="160" a="1"/>
  <c r="J306" i="160" a="1"/>
  <c r="J305" i="160" a="1"/>
  <c r="J304" i="160" a="1"/>
  <c r="J302" i="160" a="1"/>
  <c r="J307" i="160" a="1"/>
  <c r="J310" i="160" a="1"/>
  <c r="J315" i="160" a="1"/>
  <c r="J318" i="160" a="1"/>
  <c r="J299" i="160" a="1"/>
  <c r="J256" i="160" a="1"/>
  <c r="J277" i="160" a="1"/>
  <c r="J276" i="160" a="1"/>
  <c r="J275" i="160" a="1"/>
  <c r="J274" i="160" a="1"/>
  <c r="J273" i="160" a="1"/>
  <c r="J272" i="160" a="1"/>
  <c r="J271" i="160" a="1"/>
  <c r="J270" i="160" a="1"/>
  <c r="J269" i="160" a="1"/>
  <c r="J268" i="160" a="1"/>
  <c r="J267" i="160" a="1"/>
  <c r="J266" i="160" a="1"/>
  <c r="J265" i="160" a="1"/>
  <c r="J264" i="160" a="1"/>
  <c r="J263" i="160" a="1"/>
  <c r="J262" i="160" a="1"/>
  <c r="J261" i="160" a="1"/>
  <c r="J260" i="160" a="1"/>
  <c r="J259" i="160" a="1"/>
  <c r="J171" i="160" a="1"/>
  <c r="J172" i="160" a="1"/>
  <c r="J173" i="160" a="1"/>
  <c r="J174" i="160" a="1"/>
  <c r="J175" i="160" a="1"/>
  <c r="J176" i="160" a="1"/>
  <c r="J177" i="160" a="1"/>
  <c r="J178" i="160" a="1"/>
  <c r="J179" i="160" a="1"/>
  <c r="J180" i="160" a="1"/>
  <c r="J181" i="160" a="1"/>
  <c r="J182" i="160" a="1"/>
  <c r="J183" i="160" a="1"/>
  <c r="J184" i="160" a="1"/>
  <c r="J185" i="160" a="1"/>
  <c r="J186" i="160" a="1"/>
  <c r="J187" i="160" a="1"/>
  <c r="J188" i="160" a="1"/>
  <c r="J189" i="160" a="1"/>
  <c r="J170" i="160" a="1"/>
  <c r="I6" i="151"/>
  <c r="J214" i="160"/>
  <c r="L214" i="160" s="1" a="1"/>
  <c r="AY258" i="160" a="1"/>
  <c r="O320" i="160"/>
  <c r="O319" i="160"/>
  <c r="O318" i="160"/>
  <c r="O317" i="160"/>
  <c r="O316" i="160"/>
  <c r="O315" i="160"/>
  <c r="O313" i="160"/>
  <c r="O312" i="160"/>
  <c r="O311" i="160"/>
  <c r="O310" i="160"/>
  <c r="O309" i="160"/>
  <c r="O308" i="160"/>
  <c r="O307" i="160"/>
  <c r="O306" i="160"/>
  <c r="O305" i="160"/>
  <c r="O304" i="160"/>
  <c r="O303" i="160"/>
  <c r="O302" i="160"/>
  <c r="O301" i="160"/>
  <c r="O299" i="160"/>
  <c r="AH256" i="160"/>
  <c r="O256" i="160"/>
  <c r="AH277" i="160"/>
  <c r="O277" i="160"/>
  <c r="AH276" i="160"/>
  <c r="O276" i="160"/>
  <c r="AH275" i="160"/>
  <c r="O275" i="160"/>
  <c r="AH274" i="160"/>
  <c r="O274" i="160"/>
  <c r="AH273" i="160"/>
  <c r="O273" i="160"/>
  <c r="AH272" i="160"/>
  <c r="O272" i="160"/>
  <c r="AH271" i="160"/>
  <c r="O271" i="160"/>
  <c r="AH270" i="160"/>
  <c r="O270" i="160"/>
  <c r="AH269" i="160"/>
  <c r="O269" i="160"/>
  <c r="AH268" i="160"/>
  <c r="O268" i="160"/>
  <c r="AH267" i="160"/>
  <c r="O267" i="160"/>
  <c r="AH266" i="160"/>
  <c r="O266" i="160"/>
  <c r="AH265" i="160"/>
  <c r="O265" i="160"/>
  <c r="AH264" i="160"/>
  <c r="O264" i="160"/>
  <c r="AH263" i="160"/>
  <c r="O263" i="160"/>
  <c r="AH262" i="160"/>
  <c r="O262" i="160"/>
  <c r="AH261" i="160"/>
  <c r="O261" i="160"/>
  <c r="AH260" i="160"/>
  <c r="O260" i="160"/>
  <c r="AH259" i="160"/>
  <c r="O259" i="160"/>
  <c r="AH258" i="160"/>
  <c r="O258" i="160"/>
  <c r="AH170" i="160"/>
  <c r="O180" i="160"/>
  <c r="O181" i="160"/>
  <c r="O170" i="160"/>
  <c r="E126" i="160"/>
  <c r="C28" i="169" s="1"/>
  <c r="C46" i="169"/>
  <c r="C45" i="169"/>
  <c r="C43" i="169"/>
  <c r="C40" i="169"/>
  <c r="C37" i="169"/>
  <c r="C34" i="169"/>
  <c r="C32" i="169"/>
  <c r="C47" i="169"/>
  <c r="C44" i="169"/>
  <c r="C42" i="169"/>
  <c r="C41" i="169"/>
  <c r="C39" i="169"/>
  <c r="C38" i="169"/>
  <c r="C36" i="169"/>
  <c r="C35" i="169"/>
  <c r="C33" i="169"/>
  <c r="C31" i="169"/>
  <c r="C30" i="169"/>
  <c r="C29" i="169"/>
  <c r="AX303" i="160" l="1" a="1"/>
  <c r="AX303" i="160" s="1"/>
  <c r="BQ301" i="160" s="1" a="1"/>
  <c r="BQ301" i="160" s="1"/>
  <c r="J320" i="160"/>
  <c r="AA320" i="160" s="1" a="1"/>
  <c r="J319" i="160"/>
  <c r="AA319" i="160" s="1" a="1"/>
  <c r="J317" i="160"/>
  <c r="AA317" i="160" s="1" a="1"/>
  <c r="J310" i="160"/>
  <c r="AA310" i="160" s="1" a="1"/>
  <c r="J318" i="160"/>
  <c r="S12" i="160"/>
  <c r="E44" i="160" s="1"/>
  <c r="C7" i="169" s="1"/>
  <c r="N222" i="160"/>
  <c r="R222" i="160" s="1"/>
  <c r="S222" i="160" s="1"/>
  <c r="T222" i="160" s="1" a="1"/>
  <c r="T222" i="160" s="1"/>
  <c r="N233" i="160"/>
  <c r="R233" i="160" s="1"/>
  <c r="S233" i="160" s="1"/>
  <c r="T233" i="160" s="1" a="1"/>
  <c r="T233" i="160" s="1"/>
  <c r="N224" i="160"/>
  <c r="R224" i="160"/>
  <c r="S224" i="160" s="1"/>
  <c r="T224" i="160" s="1" a="1"/>
  <c r="T224" i="160" s="1"/>
  <c r="N230" i="160"/>
  <c r="R230" i="160"/>
  <c r="S230" i="160" s="1"/>
  <c r="T230" i="160" s="1" a="1"/>
  <c r="T230" i="160" s="1"/>
  <c r="N232" i="160"/>
  <c r="R232" i="160" s="1"/>
  <c r="S232" i="160" s="1"/>
  <c r="T232" i="160" s="1" a="1"/>
  <c r="T232" i="160" s="1"/>
  <c r="J313" i="160"/>
  <c r="J315" i="160"/>
  <c r="AA313" i="160" a="1"/>
  <c r="AX299" i="160"/>
  <c r="BQ299" i="160" s="1" a="1"/>
  <c r="BQ299" i="160" s="1"/>
  <c r="N219" i="160"/>
  <c r="R219" i="160"/>
  <c r="S219" i="160" s="1"/>
  <c r="T219" i="160" s="1" a="1"/>
  <c r="T219" i="160" s="1"/>
  <c r="N214" i="160"/>
  <c r="R214" i="160"/>
  <c r="S214" i="160" s="1"/>
  <c r="T214" i="160" s="1" a="1"/>
  <c r="T214" i="160" s="1"/>
  <c r="N217" i="160"/>
  <c r="R217" i="160"/>
  <c r="S217" i="160" s="1"/>
  <c r="T217" i="160" s="1" a="1"/>
  <c r="T217" i="160" s="1"/>
  <c r="N215" i="160"/>
  <c r="R215" i="160" s="1"/>
  <c r="S215" i="160" s="1"/>
  <c r="T215" i="160" s="1" a="1"/>
  <c r="T215" i="160" s="1"/>
  <c r="N220" i="160"/>
  <c r="R220" i="160" s="1"/>
  <c r="S220" i="160" s="1"/>
  <c r="T220" i="160" s="1" a="1"/>
  <c r="T220" i="160" s="1"/>
  <c r="N225" i="160"/>
  <c r="R225" i="160" s="1"/>
  <c r="S225" i="160" s="1"/>
  <c r="T225" i="160" s="1" a="1"/>
  <c r="T225" i="160" s="1"/>
  <c r="N228" i="160"/>
  <c r="R228" i="160" s="1"/>
  <c r="S228" i="160" s="1"/>
  <c r="T228" i="160" s="1" a="1"/>
  <c r="T228" i="160" s="1"/>
  <c r="N216" i="160"/>
  <c r="R216" i="160" s="1"/>
  <c r="S216" i="160" s="1"/>
  <c r="T216" i="160" s="1" a="1"/>
  <c r="T216" i="160" s="1"/>
  <c r="N221" i="160"/>
  <c r="R221" i="160" s="1"/>
  <c r="S221" i="160" s="1"/>
  <c r="T221" i="160" s="1" a="1"/>
  <c r="T221" i="160" s="1"/>
  <c r="N226" i="160"/>
  <c r="R226" i="160" s="1"/>
  <c r="S226" i="160" s="1"/>
  <c r="T226" i="160" s="1" a="1"/>
  <c r="T226" i="160" s="1"/>
  <c r="N231" i="160"/>
  <c r="R231" i="160" s="1"/>
  <c r="S231" i="160" s="1"/>
  <c r="T231" i="160" s="1" a="1"/>
  <c r="T231" i="160" s="1"/>
  <c r="N223" i="160"/>
  <c r="R223" i="160" s="1"/>
  <c r="S223" i="160" s="1"/>
  <c r="T223" i="160" s="1" a="1"/>
  <c r="T223" i="160" s="1"/>
  <c r="N218" i="160"/>
  <c r="R218" i="160" s="1"/>
  <c r="S218" i="160" s="1"/>
  <c r="T218" i="160" s="1" a="1"/>
  <c r="T218" i="160" s="1"/>
  <c r="N227" i="160"/>
  <c r="R227" i="160" s="1"/>
  <c r="S227" i="160" s="1"/>
  <c r="T227" i="160" s="1" a="1"/>
  <c r="T227" i="160" s="1"/>
  <c r="N229" i="160"/>
  <c r="R229" i="160" s="1"/>
  <c r="S229" i="160" s="1"/>
  <c r="T229" i="160" s="1" a="1"/>
  <c r="T229" i="160" s="1"/>
  <c r="J311" i="160"/>
  <c r="AA311" i="160" s="1" a="1"/>
  <c r="J308" i="160"/>
  <c r="AA308" i="160" s="1" a="1"/>
  <c r="J306" i="160"/>
  <c r="AA306" i="160" s="1" a="1"/>
  <c r="J302" i="160"/>
  <c r="AA302" i="160" s="1" a="1"/>
  <c r="J307" i="160"/>
  <c r="AA307" i="160" a="1"/>
  <c r="AA315" i="160" a="1"/>
  <c r="AA318" i="160" a="1"/>
  <c r="J299" i="160"/>
  <c r="AA299" i="160" s="1" a="1"/>
  <c r="J277" i="160"/>
  <c r="AA277" i="160" s="1" a="1"/>
  <c r="J276" i="160"/>
  <c r="AA276" i="160" s="1" a="1"/>
  <c r="J275" i="160"/>
  <c r="AA275" i="160" s="1" a="1"/>
  <c r="J274" i="160"/>
  <c r="AA274" i="160" s="1" a="1"/>
  <c r="J273" i="160"/>
  <c r="AA273" i="160" s="1" a="1"/>
  <c r="J272" i="160"/>
  <c r="AA272" i="160" s="1" a="1"/>
  <c r="J271" i="160"/>
  <c r="AA271" i="160" s="1" a="1"/>
  <c r="J270" i="160"/>
  <c r="AA270" i="160" s="1" a="1"/>
  <c r="J269" i="160"/>
  <c r="AA269" i="160" s="1" a="1"/>
  <c r="J268" i="160"/>
  <c r="AA268" i="160" s="1" a="1"/>
  <c r="J267" i="160"/>
  <c r="AA267" i="160" s="1" a="1"/>
  <c r="J266" i="160"/>
  <c r="AA266" i="160" s="1" a="1"/>
  <c r="J265" i="160"/>
  <c r="AA265" i="160" s="1" a="1"/>
  <c r="J264" i="160"/>
  <c r="AA264" i="160" s="1" a="1"/>
  <c r="J263" i="160"/>
  <c r="AA263" i="160" s="1" a="1"/>
  <c r="J262" i="160"/>
  <c r="AA262" i="160" s="1" a="1"/>
  <c r="J261" i="160"/>
  <c r="AA261" i="160" s="1" a="1"/>
  <c r="J260" i="160"/>
  <c r="AA260" i="160" s="1" a="1"/>
  <c r="J259" i="160"/>
  <c r="AA259" i="160" s="1" a="1"/>
  <c r="J180" i="160"/>
  <c r="AA180" i="160" s="1" a="1"/>
  <c r="J181" i="160"/>
  <c r="AA181" i="160" s="1" a="1"/>
  <c r="J182" i="160"/>
  <c r="AA182" i="160" s="1" a="1"/>
  <c r="J183" i="160"/>
  <c r="AA183" i="160" s="1" a="1"/>
  <c r="J184" i="160"/>
  <c r="AA184" i="160" s="1" a="1"/>
  <c r="J185" i="160"/>
  <c r="AA185" i="160" s="1" a="1"/>
  <c r="J186" i="160"/>
  <c r="AA186" i="160" s="1" a="1"/>
  <c r="J187" i="160"/>
  <c r="AA187" i="160" s="1" a="1"/>
  <c r="J188" i="160"/>
  <c r="AA188" i="160" s="1" a="1"/>
  <c r="J189" i="160"/>
  <c r="AA189" i="160" s="1" a="1"/>
  <c r="J170" i="160"/>
  <c r="AA170" i="160" s="1" a="1"/>
  <c r="J316" i="160"/>
  <c r="AA316" i="160" a="1"/>
  <c r="J314" i="160"/>
  <c r="AA314" i="160" a="1"/>
  <c r="J312" i="160"/>
  <c r="AA312" i="160" a="1"/>
  <c r="J309" i="160"/>
  <c r="AA309" i="160" s="1" a="1"/>
  <c r="J305" i="160"/>
  <c r="AA305" i="160" s="1" a="1"/>
  <c r="J304" i="160"/>
  <c r="AA304" i="160" s="1" a="1"/>
  <c r="AA301" i="160" a="1"/>
  <c r="J256" i="160"/>
  <c r="AA256" i="160" s="1" a="1"/>
  <c r="J171" i="160"/>
  <c r="AA171" i="160" a="1"/>
  <c r="J172" i="160"/>
  <c r="AA172" i="160" s="1" a="1"/>
  <c r="J173" i="160"/>
  <c r="AA173" i="160" s="1" a="1"/>
  <c r="J174" i="160"/>
  <c r="AA174" i="160" a="1"/>
  <c r="J175" i="160"/>
  <c r="AA175" i="160" a="1"/>
  <c r="J176" i="160"/>
  <c r="AA176" i="160" s="1" a="1"/>
  <c r="J177" i="160"/>
  <c r="AA177" i="160" a="1"/>
  <c r="J178" i="160"/>
  <c r="AA178" i="160" a="1"/>
  <c r="J179" i="160"/>
  <c r="AA179" i="160" s="1" a="1"/>
  <c r="J258" i="160" a="1"/>
  <c r="J303" i="160" a="1"/>
  <c r="L214" i="160"/>
  <c r="E214" i="160" s="1" a="1"/>
  <c r="E214" i="160" s="1"/>
  <c r="AY258" i="160"/>
  <c r="AL299" i="160" l="1" a="1"/>
  <c r="AL299" i="160" s="1"/>
  <c r="AJ299" i="160" a="1"/>
  <c r="AJ299" i="160" s="1"/>
  <c r="AT299" i="160" a="1"/>
  <c r="AT299" i="160" s="1"/>
  <c r="AR299" i="160" a="1"/>
  <c r="AR299" i="160" s="1"/>
  <c r="AP299" i="160" a="1"/>
  <c r="AP299" i="160" s="1"/>
  <c r="AN299" i="160" a="1"/>
  <c r="AN299" i="160" s="1"/>
  <c r="AU299" i="160" a="1"/>
  <c r="AU299" i="160" s="1"/>
  <c r="AS299" i="160" a="1"/>
  <c r="AS299" i="160" s="1"/>
  <c r="AQ299" i="160" a="1"/>
  <c r="AQ299" i="160" s="1"/>
  <c r="AO299" i="160" a="1"/>
  <c r="AO299" i="160" s="1"/>
  <c r="AM299" i="160" a="1"/>
  <c r="AM299" i="160" s="1"/>
  <c r="AK299" i="160" a="1"/>
  <c r="AK299" i="160" s="1"/>
  <c r="AH299" i="160" a="1"/>
  <c r="AH299" i="160" s="1"/>
  <c r="AI299" i="160" a="1"/>
  <c r="AI299" i="160" s="1"/>
  <c r="AV299" i="160" a="1"/>
  <c r="AV299" i="160" s="1"/>
  <c r="AA317" i="160"/>
  <c r="AA316" i="160"/>
  <c r="AA314" i="160"/>
  <c r="AA312" i="160"/>
  <c r="AA308" i="160"/>
  <c r="AA306" i="160"/>
  <c r="AA302" i="160"/>
  <c r="AA320" i="160"/>
  <c r="AA313" i="160"/>
  <c r="AA319" i="160"/>
  <c r="AA311" i="160"/>
  <c r="AA310" i="160"/>
  <c r="AA315" i="160"/>
  <c r="AA181" i="160"/>
  <c r="AT181" i="160" a="1"/>
  <c r="AT181" i="160" s="1"/>
  <c r="E181" i="160" s="1"/>
  <c r="C59" i="169" s="1"/>
  <c r="AA171" i="160"/>
  <c r="AT171" i="160" s="1" a="1"/>
  <c r="AT171" i="160" s="1"/>
  <c r="E171" i="160" s="1"/>
  <c r="C49" i="169" s="1"/>
  <c r="AA172" i="160"/>
  <c r="AT172" i="160" s="1" a="1"/>
  <c r="AT172" i="160" s="1"/>
  <c r="E172" i="160" s="1"/>
  <c r="C50" i="169" s="1"/>
  <c r="AA173" i="160"/>
  <c r="AT173" i="160" s="1" a="1"/>
  <c r="AT173" i="160" s="1"/>
  <c r="E173" i="160" s="1"/>
  <c r="C51" i="169" s="1"/>
  <c r="AA174" i="160"/>
  <c r="AT174" i="160" s="1" a="1"/>
  <c r="AT174" i="160" s="1"/>
  <c r="E174" i="160" s="1"/>
  <c r="C52" i="169" s="1"/>
  <c r="AA175" i="160"/>
  <c r="AT175" i="160" s="1" a="1"/>
  <c r="AT175" i="160" s="1"/>
  <c r="E175" i="160" s="1"/>
  <c r="C53" i="169" s="1"/>
  <c r="AA176" i="160"/>
  <c r="AT176" i="160" s="1" a="1"/>
  <c r="AT176" i="160" s="1"/>
  <c r="E176" i="160" s="1"/>
  <c r="C54" i="169" s="1"/>
  <c r="AA177" i="160"/>
  <c r="AT177" i="160" s="1" a="1"/>
  <c r="AT177" i="160" s="1"/>
  <c r="E177" i="160" s="1"/>
  <c r="C55" i="169" s="1"/>
  <c r="AA178" i="160"/>
  <c r="AT178" i="160" s="1" a="1"/>
  <c r="AT178" i="160" s="1"/>
  <c r="E178" i="160" s="1"/>
  <c r="C56" i="169" s="1"/>
  <c r="AA179" i="160"/>
  <c r="AT179" i="160" s="1" a="1"/>
  <c r="AT179" i="160" s="1"/>
  <c r="E179" i="160" s="1"/>
  <c r="C57" i="169" s="1"/>
  <c r="J258" i="160"/>
  <c r="AA258" i="160" s="1" a="1"/>
  <c r="J303" i="160"/>
  <c r="AA303" i="160" s="1" a="1"/>
  <c r="AA307" i="160"/>
  <c r="AA318" i="160"/>
  <c r="AA299" i="160"/>
  <c r="AA277" i="160"/>
  <c r="AA276" i="160"/>
  <c r="AA275" i="160"/>
  <c r="AA274" i="160"/>
  <c r="AA273" i="160"/>
  <c r="AA272" i="160"/>
  <c r="AA271" i="160"/>
  <c r="AA270" i="160"/>
  <c r="AA269" i="160"/>
  <c r="AA268" i="160"/>
  <c r="AA267" i="160"/>
  <c r="AA266" i="160"/>
  <c r="AA265" i="160"/>
  <c r="AA264" i="160"/>
  <c r="AA263" i="160"/>
  <c r="AA262" i="160"/>
  <c r="AA261" i="160"/>
  <c r="AA260" i="160"/>
  <c r="AA259" i="160"/>
  <c r="AA180" i="160"/>
  <c r="AT180" i="160" s="1" a="1"/>
  <c r="AT180" i="160" s="1"/>
  <c r="E180" i="160" s="1"/>
  <c r="C58" i="169" s="1"/>
  <c r="AA182" i="160"/>
  <c r="AT182" i="160" s="1" a="1"/>
  <c r="AT182" i="160" s="1"/>
  <c r="E182" i="160" s="1"/>
  <c r="C60" i="169" s="1"/>
  <c r="AA183" i="160"/>
  <c r="AT183" i="160" s="1" a="1"/>
  <c r="AT183" i="160" s="1"/>
  <c r="E183" i="160" s="1"/>
  <c r="C61" i="169" s="1"/>
  <c r="AA184" i="160"/>
  <c r="AT184" i="160" s="1" a="1"/>
  <c r="AT184" i="160" s="1"/>
  <c r="E184" i="160" s="1"/>
  <c r="C62" i="169" s="1"/>
  <c r="AA185" i="160"/>
  <c r="AT185" i="160" s="1" a="1"/>
  <c r="AT185" i="160" s="1"/>
  <c r="E185" i="160" s="1"/>
  <c r="C63" i="169" s="1"/>
  <c r="AA186" i="160"/>
  <c r="AT186" i="160" s="1" a="1"/>
  <c r="AT186" i="160" s="1"/>
  <c r="E186" i="160" s="1"/>
  <c r="C64" i="169" s="1"/>
  <c r="AA187" i="160"/>
  <c r="AT187" i="160" s="1" a="1"/>
  <c r="AT187" i="160" s="1"/>
  <c r="E187" i="160" s="1"/>
  <c r="C65" i="169" s="1"/>
  <c r="AA188" i="160"/>
  <c r="AT188" i="160" s="1" a="1"/>
  <c r="AT188" i="160" s="1"/>
  <c r="E188" i="160" s="1"/>
  <c r="C66" i="169" s="1"/>
  <c r="AA189" i="160"/>
  <c r="AT189" i="160" s="1" a="1"/>
  <c r="AT189" i="160" s="1"/>
  <c r="E189" i="160" s="1"/>
  <c r="C67" i="169" s="1"/>
  <c r="AA170" i="160"/>
  <c r="AT170" i="160" a="1"/>
  <c r="AT170" i="160" s="1"/>
  <c r="E170" i="160" s="1"/>
  <c r="C48" i="169" s="1"/>
  <c r="AA309" i="160"/>
  <c r="AA305" i="160"/>
  <c r="AA304" i="160"/>
  <c r="AA301" i="160"/>
  <c r="AA256" i="160"/>
  <c r="W214" i="160" a="1"/>
  <c r="W214" i="160" s="1"/>
  <c r="AS323" i="160" l="1"/>
  <c r="AO323" i="160"/>
  <c r="AP323" i="160"/>
  <c r="AQ323" i="160"/>
  <c r="AR323" i="160"/>
  <c r="CG299" i="160" a="1"/>
  <c r="CG299" i="160" s="1"/>
  <c r="AN323" i="160"/>
  <c r="AL323" i="160"/>
  <c r="AJ323" i="160"/>
  <c r="AI323" i="160"/>
  <c r="AM323" i="160"/>
  <c r="AV323" i="160"/>
  <c r="AK323" i="160"/>
  <c r="AU323" i="160"/>
  <c r="AT323" i="160"/>
  <c r="AA258" i="160"/>
  <c r="AA303" i="160"/>
  <c r="C68" i="169"/>
  <c r="C79" i="169"/>
  <c r="C85" i="169"/>
  <c r="C72" i="169"/>
  <c r="C69" i="169"/>
  <c r="C87" i="169"/>
  <c r="C84" i="169"/>
  <c r="C83" i="169"/>
  <c r="C80" i="169"/>
  <c r="C78" i="169"/>
  <c r="C77" i="169"/>
  <c r="C76" i="169"/>
  <c r="C75" i="169"/>
  <c r="C74" i="169"/>
  <c r="C73" i="169"/>
  <c r="C71" i="169"/>
  <c r="C70" i="169"/>
  <c r="C86" i="169"/>
  <c r="C82" i="169"/>
  <c r="C81" i="169"/>
  <c r="CG301" i="160" l="1" a="1"/>
  <c r="AH323" i="160"/>
  <c r="CX299" i="160"/>
  <c r="C88" i="169"/>
  <c r="C92" i="169"/>
  <c r="C93" i="169"/>
  <c r="C94" i="169"/>
  <c r="C95" i="169"/>
  <c r="C96" i="169"/>
  <c r="C97" i="169"/>
  <c r="C98" i="169"/>
  <c r="C99" i="169"/>
  <c r="C100" i="169"/>
  <c r="C101" i="169"/>
  <c r="C102" i="169"/>
  <c r="C103" i="169"/>
  <c r="C104" i="169"/>
  <c r="C105" i="169"/>
  <c r="C107" i="169"/>
  <c r="C106" i="169"/>
  <c r="C89" i="169"/>
  <c r="C90" i="169"/>
  <c r="C91" i="169"/>
  <c r="CW302" i="160" l="1"/>
  <c r="DA302" i="160" s="1" a="1"/>
  <c r="DA302" i="160" s="1"/>
  <c r="CW303" i="160"/>
  <c r="DA303" i="160" s="1" a="1"/>
  <c r="DA303" i="160" s="1"/>
  <c r="CW304" i="160"/>
  <c r="DA304" i="160" s="1" a="1"/>
  <c r="DA304" i="160" s="1"/>
  <c r="CW305" i="160"/>
  <c r="DA305" i="160" s="1" a="1"/>
  <c r="DA305" i="160" s="1"/>
  <c r="CW306" i="160"/>
  <c r="DA306" i="160" s="1" a="1"/>
  <c r="DA306" i="160" s="1"/>
  <c r="CW307" i="160"/>
  <c r="DA307" i="160" s="1" a="1"/>
  <c r="DA307" i="160" s="1"/>
  <c r="CW308" i="160"/>
  <c r="DA308" i="160" s="1" a="1"/>
  <c r="DA308" i="160" s="1"/>
  <c r="CW309" i="160"/>
  <c r="DA309" i="160" s="1" a="1"/>
  <c r="DA309" i="160" s="1"/>
  <c r="CW310" i="160"/>
  <c r="DA310" i="160" s="1" a="1"/>
  <c r="DA310" i="160" s="1"/>
  <c r="CW311" i="160"/>
  <c r="DA311" i="160" s="1" a="1"/>
  <c r="DA311" i="160" s="1"/>
  <c r="CW312" i="160"/>
  <c r="DA312" i="160" s="1" a="1"/>
  <c r="DA312" i="160" s="1"/>
  <c r="CW313" i="160"/>
  <c r="DA313" i="160" s="1" a="1"/>
  <c r="DA313" i="160" s="1"/>
  <c r="CW314" i="160"/>
  <c r="DA314" i="160" s="1" a="1"/>
  <c r="DA314" i="160" s="1"/>
  <c r="CW315" i="160"/>
  <c r="DA315" i="160" s="1" a="1"/>
  <c r="DA315" i="160" s="1"/>
  <c r="CW316" i="160"/>
  <c r="DA316" i="160" s="1" a="1"/>
  <c r="DA316" i="160" s="1"/>
  <c r="CW317" i="160"/>
  <c r="DA317" i="160" s="1" a="1"/>
  <c r="DA317" i="160" s="1"/>
  <c r="CW318" i="160"/>
  <c r="DA318" i="160" s="1" a="1"/>
  <c r="DA318" i="160" s="1"/>
  <c r="CW319" i="160"/>
  <c r="DA319" i="160" s="1" a="1"/>
  <c r="DA319" i="160" s="1"/>
  <c r="CW320" i="160"/>
  <c r="DA320" i="160" s="1" a="1"/>
  <c r="DA320" i="160" s="1"/>
  <c r="CG301" i="160"/>
  <c r="CW301" i="160" s="1"/>
  <c r="C109" i="169"/>
  <c r="C112" i="169"/>
  <c r="C114" i="169"/>
  <c r="C115" i="169"/>
  <c r="C117" i="169"/>
  <c r="C118" i="169"/>
  <c r="C119" i="169"/>
  <c r="C120" i="169"/>
  <c r="C121" i="169"/>
  <c r="C110" i="169"/>
  <c r="C111" i="169"/>
  <c r="C122" i="169"/>
  <c r="C123" i="169"/>
  <c r="C124" i="169"/>
  <c r="C125" i="169"/>
  <c r="C126" i="169"/>
  <c r="C127" i="169"/>
  <c r="C116" i="169"/>
  <c r="C113" i="169"/>
  <c r="DA301" i="160" l="1" a="1"/>
  <c r="DA301" i="160" s="1"/>
  <c r="CZ301" i="160"/>
  <c r="C108" i="169"/>
  <c r="CX301" i="16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<sst xmlns="http://schemas.openxmlformats.org/spreadsheetml/2006/main" count="706" uniqueCount="228">
  <si>
    <t>Microsoft Excel Collegiate Challenge 2025</t>
  </si>
  <si>
    <t>Kiwi Holiday -  Varsity Edition</t>
  </si>
  <si>
    <t>Original Case Author</t>
  </si>
  <si>
    <t>Nick Boberg</t>
  </si>
  <si>
    <t>Case Design Team</t>
  </si>
  <si>
    <t>Chris McNeil</t>
  </si>
  <si>
    <t>David Brown</t>
  </si>
  <si>
    <t>Fritz Burkhardt</t>
  </si>
  <si>
    <t>Gina Nicolosi</t>
  </si>
  <si>
    <t>Instructions</t>
  </si>
  <si>
    <t xml:space="preserve">A plane full of families is on its way to New Zealand for a family holiday, but the families can't decide where to go once they land! Each family has a preferred list of Attributes which should make it easier to pair </t>
  </si>
  <si>
    <t xml:space="preserve">each of them with the most suitable Destination. But these families are sick of travelling! The attractiveness of a destination diminishes the longer it takes to get there from their Point of Entry. </t>
  </si>
  <si>
    <t xml:space="preserve">Can you help these families enjoy their Kiwi Holiday? 
</t>
  </si>
  <si>
    <t>Total Attribute Score</t>
  </si>
  <si>
    <t xml:space="preserve">The Total Attribute Score for a Destination for a given Family can be calculated as follows: 
</t>
  </si>
  <si>
    <t xml:space="preserve">= 1st Favourite Attribute Score x 100% 
</t>
  </si>
  <si>
    <t xml:space="preserve">       + 2nd Favourite Attribute Score x 90% 
</t>
  </si>
  <si>
    <t xml:space="preserve">       + 3rd Favourite Attribute Score x 80%
</t>
  </si>
  <si>
    <t xml:space="preserve">       + 4th Favourite Attribute Score x 70%
</t>
  </si>
  <si>
    <t xml:space="preserve">       + All Other Attribute Scores x 40%</t>
  </si>
  <si>
    <t xml:space="preserve">Travel Duration
</t>
  </si>
  <si>
    <t>Customs are mandatory and take 2 hours upon arrival in New Zealand. Driving speed is at 80 km/h. Distances are listed in the Distances sheet and also listed within this worksheet for some Levels.</t>
  </si>
  <si>
    <t xml:space="preserve">Crossing between the North and South Islands requires a ferry, which adds 3.5 hours. Distances between locations, and the associated driving times, already account for getting to and from a ferry port when traveling </t>
  </si>
  <si>
    <t>between the North and South islands.</t>
  </si>
  <si>
    <t xml:space="preserve">Score Adjustment (Levels 6-7)
</t>
  </si>
  <si>
    <t>The Total Attribute Score for a Destination will diminish based on the time it takes to reach this Destination from the Point of Entry. For every minute it takes to reach a destination, reduce its Total Attribute Score by 0.01.</t>
  </si>
  <si>
    <t>Bonus Questions</t>
  </si>
  <si>
    <t>To make the game more exciting, we have created 5 bonus questions for you.</t>
  </si>
  <si>
    <t>Game #</t>
  </si>
  <si>
    <t>Relates to Level #</t>
  </si>
  <si>
    <t>Points</t>
  </si>
  <si>
    <t>Your Answer</t>
  </si>
  <si>
    <t>Question</t>
  </si>
  <si>
    <t>Bonus 1</t>
  </si>
  <si>
    <t>N/A</t>
  </si>
  <si>
    <t>What is the maximum Distance in kilometers between Destinations listed in the Distances tab?</t>
  </si>
  <si>
    <t>Bonus 2</t>
  </si>
  <si>
    <t>Using the data in the Destinations tab, which Attribute has the greatest Attribute Score across all Destinations? Enter the Attribute's name.</t>
  </si>
  <si>
    <t>Bonus 3</t>
  </si>
  <si>
    <t>Using the data in the Families tab, how many times does the most frequent Attribute appear among the favorite attributes listed by the families?</t>
  </si>
  <si>
    <t>Bonus 4</t>
  </si>
  <si>
    <t>Which family would enjoy Wellington the most? Use Level 4 rules for this question.</t>
  </si>
  <si>
    <t>Bonus 5</t>
  </si>
  <si>
    <t>What is the greatest time in minutes to travel between any two Destinations? Include customs and ferry rides. Round to the nearest minute.</t>
  </si>
  <si>
    <t>Levels</t>
  </si>
  <si>
    <t>Level 1</t>
  </si>
  <si>
    <t>Easy</t>
  </si>
  <si>
    <t>What is the greatest Attribute Score for each Destination?</t>
  </si>
  <si>
    <t>For ease of computation, Attribute Scores for the select Destinations are provided for each Game.</t>
  </si>
  <si>
    <r>
      <t xml:space="preserve">Example1: </t>
    </r>
    <r>
      <rPr>
        <sz val="12"/>
        <rFont val="Roboto"/>
      </rPr>
      <t>For Destination Whangarei, the largest Attribute Score is 9 for Climate.</t>
    </r>
  </si>
  <si>
    <t>Answer Hints:</t>
  </si>
  <si>
    <t>For Game 1, the answer is between 7 and 10.</t>
  </si>
  <si>
    <t>For Game 2, the answer is between 6 and 9.</t>
  </si>
  <si>
    <t>For Game 3, the answer is between 7 and 10.</t>
  </si>
  <si>
    <t>Attribute</t>
  </si>
  <si>
    <t>Level</t>
  </si>
  <si>
    <t>Answer</t>
  </si>
  <si>
    <t>Destination</t>
  </si>
  <si>
    <t>Attractions</t>
  </si>
  <si>
    <t>Climate</t>
  </si>
  <si>
    <t>Culture</t>
  </si>
  <si>
    <t>Scenery</t>
  </si>
  <si>
    <t>Safety</t>
  </si>
  <si>
    <t>Nightlife</t>
  </si>
  <si>
    <t>History</t>
  </si>
  <si>
    <t>Events</t>
  </si>
  <si>
    <t>Hospitality</t>
  </si>
  <si>
    <t>Affordability</t>
  </si>
  <si>
    <t>Example1</t>
  </si>
  <si>
    <t>Whangarei</t>
  </si>
  <si>
    <t>Auckland</t>
  </si>
  <si>
    <t>Tauranga</t>
  </si>
  <si>
    <t>Hamilton</t>
  </si>
  <si>
    <t>Rotorua</t>
  </si>
  <si>
    <t>Gisborne</t>
  </si>
  <si>
    <t>New Plymouth</t>
  </si>
  <si>
    <t>Napier</t>
  </si>
  <si>
    <t>Palmerston North</t>
  </si>
  <si>
    <t>Wellington</t>
  </si>
  <si>
    <t>Nelson</t>
  </si>
  <si>
    <t>Level 2</t>
  </si>
  <si>
    <r>
      <t xml:space="preserve">What is the average drive time in minutes from the Start City to the each of the listed Destinations (including the Start City), </t>
    </r>
    <r>
      <rPr>
        <b/>
        <u/>
        <sz val="12"/>
        <rFont val="Roboto"/>
      </rPr>
      <t>ignoring ferry rides and customs</t>
    </r>
    <r>
      <rPr>
        <b/>
        <sz val="12"/>
        <rFont val="Roboto"/>
      </rPr>
      <t xml:space="preserve">? </t>
    </r>
    <r>
      <rPr>
        <b/>
        <u/>
        <sz val="12"/>
        <rFont val="Roboto"/>
      </rPr>
      <t>Round your answer to the nearest integer.</t>
    </r>
  </si>
  <si>
    <t>Ignore return drive time and compute drive time for each Destination beginning from the Start City.</t>
  </si>
  <si>
    <t>For ease of computation, kilometers (KM) between the Start and the select Destinations are provided next to each Game.</t>
  </si>
  <si>
    <t>Recall that your constant assumed driving speed is 80 KM per hour.</t>
  </si>
  <si>
    <r>
      <t xml:space="preserve">Example2: </t>
    </r>
    <r>
      <rPr>
        <sz val="12"/>
        <rFont val="Roboto"/>
      </rPr>
      <t>For Start City Whangarei, the average KM = (0+170+376+297+404+675+539+593+698+819)/10 = 457.10</t>
    </r>
    <r>
      <rPr>
        <b/>
        <sz val="12"/>
        <rFont val="Roboto"/>
      </rPr>
      <t>.</t>
    </r>
  </si>
  <si>
    <t>Drive time = 457.10/80 = 5.71 hours. Minutes = 5.71 * 60 = 342.83. Answer is 343 minutes after rounding to nearest integer.</t>
  </si>
  <si>
    <t>Game 11, the answer is between 240 and 250.</t>
  </si>
  <si>
    <t>Game 12, the answer is between 190 and 200.</t>
  </si>
  <si>
    <t>Game 13, the answer is between 180 and 190.</t>
  </si>
  <si>
    <t>Kilometers from Start City</t>
  </si>
  <si>
    <t>Start City</t>
  </si>
  <si>
    <t>Example2</t>
  </si>
  <si>
    <t>Level 3</t>
  </si>
  <si>
    <t>Medium-Easy</t>
  </si>
  <si>
    <t>What are the Attribute Scores for the following Attributes and Destinations?</t>
  </si>
  <si>
    <t>See the Destinations tab for Attribute Scores by Destination and Attribute.</t>
  </si>
  <si>
    <r>
      <rPr>
        <b/>
        <sz val="12"/>
        <rFont val="Roboto"/>
      </rPr>
      <t>Example3:</t>
    </r>
    <r>
      <rPr>
        <sz val="12"/>
        <rFont val="Roboto"/>
      </rPr>
      <t xml:space="preserve"> Attractions score for Nelson is located in cell C16 in the Destinations tab.</t>
    </r>
  </si>
  <si>
    <t>Attribute scores for all destinations can be found on the "Destinations" sheet.</t>
  </si>
  <si>
    <t>Game 21, answer is between 4 and 6.</t>
  </si>
  <si>
    <t>Game 22, answer is between 1 and 3.</t>
  </si>
  <si>
    <t>Game 23, answer is between 7 and 9.</t>
  </si>
  <si>
    <t>Example3</t>
  </si>
  <si>
    <t>Queenstown</t>
  </si>
  <si>
    <t>Level 4</t>
  </si>
  <si>
    <t>Medium</t>
  </si>
  <si>
    <t>You've been provided with a list of Destinations and Families that want to go there.</t>
  </si>
  <si>
    <r>
      <t xml:space="preserve">What is the Total Attribute Score for the respective Families and their Destinations? </t>
    </r>
    <r>
      <rPr>
        <b/>
        <u/>
        <sz val="12"/>
        <rFont val="Roboto"/>
      </rPr>
      <t>Round your answer to the nearest integer.</t>
    </r>
  </si>
  <si>
    <t>Use the Attribute Scores on the Destination tab and the Family favorite attributes on the Families tab.</t>
  </si>
  <si>
    <t>Recall that Total Attribute Score for a Destination and Family combination = 1st Favorite Attribute Score * 100% +</t>
  </si>
  <si>
    <t>2nd Favorite Attribute Score * 90% + 3rd Favorite Attribute Score * 80% + 4th Favorite Attribute Score * 70% + all other Attribute Scores * 40%.</t>
  </si>
  <si>
    <r>
      <rPr>
        <b/>
        <sz val="12"/>
        <rFont val="Roboto"/>
      </rPr>
      <t>Example4:</t>
    </r>
    <r>
      <rPr>
        <sz val="12"/>
        <rFont val="Roboto"/>
      </rPr>
      <t xml:space="preserve"> The Batten family's Top 4 Attributes are: Attractions, Safety, Affordability and Climate.</t>
    </r>
  </si>
  <si>
    <t>Auckland scores: 6, 3, 1 and 6 for those, and 3, 5, 7, 5, 8, 5 for the rest.</t>
  </si>
  <si>
    <t>The Total Attribute Score for Auckland for the Batten family is: 100%*6 + 90%*3 + 80%*1 + 70%*6 + 40%*(3+5+7+5+8+5) = 26.9</t>
  </si>
  <si>
    <r>
      <t xml:space="preserve">When rounded, your answer is </t>
    </r>
    <r>
      <rPr>
        <u/>
        <sz val="12"/>
        <rFont val="Roboto"/>
      </rPr>
      <t>27</t>
    </r>
    <r>
      <rPr>
        <sz val="12"/>
        <rFont val="Roboto"/>
      </rPr>
      <t>.</t>
    </r>
  </si>
  <si>
    <t>Game 41, answer is between 34 and 36.</t>
  </si>
  <si>
    <t>Game 42, answer is between 28 and 30.</t>
  </si>
  <si>
    <t>Game 43, answer is between 25 and 27.</t>
  </si>
  <si>
    <t>Family</t>
  </si>
  <si>
    <t>Example4</t>
  </si>
  <si>
    <t>Batten</t>
  </si>
  <si>
    <t>Jones</t>
  </si>
  <si>
    <t>Crowe</t>
  </si>
  <si>
    <t>McCaw</t>
  </si>
  <si>
    <t>Ngata</t>
  </si>
  <si>
    <t>Umaga</t>
  </si>
  <si>
    <t>Hillary</t>
  </si>
  <si>
    <t>Jackson</t>
  </si>
  <si>
    <t>Heke</t>
  </si>
  <si>
    <t>Hadlee</t>
  </si>
  <si>
    <t>Carter</t>
  </si>
  <si>
    <t>Lawson</t>
  </si>
  <si>
    <t>Mahy</t>
  </si>
  <si>
    <t>Level 5</t>
  </si>
  <si>
    <t>During a Kiwi Holiday, families might want to visit multiple destinations.</t>
  </si>
  <si>
    <r>
      <t xml:space="preserve">How long in minutes does it take to travel from one destination to another, </t>
    </r>
    <r>
      <rPr>
        <b/>
        <u/>
        <sz val="12"/>
        <rFont val="Roboto"/>
      </rPr>
      <t>including ferry rides and ignoring customs</t>
    </r>
    <r>
      <rPr>
        <b/>
        <sz val="12"/>
        <rFont val="Roboto"/>
      </rPr>
      <t xml:space="preserve">? </t>
    </r>
    <r>
      <rPr>
        <b/>
        <u/>
        <sz val="12"/>
        <rFont val="Roboto"/>
      </rPr>
      <t>Round to the nearest minute.</t>
    </r>
  </si>
  <si>
    <t>The Distances tab shows kilometers between destinations and the island on which destinations are located.</t>
  </si>
  <si>
    <t>Ferry rides between islands take 3.5 hours.</t>
  </si>
  <si>
    <r>
      <rPr>
        <b/>
        <sz val="12"/>
        <rFont val="Roboto"/>
      </rPr>
      <t>Example5:</t>
    </r>
    <r>
      <rPr>
        <sz val="12"/>
        <rFont val="Roboto"/>
      </rPr>
      <t xml:space="preserve"> The distance between Auckland and Nelson is 845km.</t>
    </r>
  </si>
  <si>
    <t>Driving is at 80 km/h, so it takes 845 / 80 = 10.5625 hours to drive between the cities.</t>
  </si>
  <si>
    <t>Auckland is located on the North Island and Nelson is located on the South Island, so an extra 3.5 hours are spent on a ferry between islands.</t>
  </si>
  <si>
    <t>Driving time + Ferry time = 10.5625 + 3.5 = 14.0625 hours.  Minutes = 14.0625 * 60 = 843.75.</t>
  </si>
  <si>
    <r>
      <t xml:space="preserve">When rounded to the closest integer, the correct answer is </t>
    </r>
    <r>
      <rPr>
        <u/>
        <sz val="12"/>
        <rFont val="Roboto"/>
      </rPr>
      <t>844 minutes</t>
    </r>
    <r>
      <rPr>
        <sz val="12"/>
        <rFont val="Roboto"/>
      </rPr>
      <t>.</t>
    </r>
  </si>
  <si>
    <t>Game 61, answer is between 380 and 400.</t>
  </si>
  <si>
    <t>Game 62, answer is between 300 and 320.</t>
  </si>
  <si>
    <t>Game 63, answer is between 1420 and 1440.</t>
  </si>
  <si>
    <t>Destination 1</t>
  </si>
  <si>
    <t>Destination 2</t>
  </si>
  <si>
    <t>Example5</t>
  </si>
  <si>
    <t>Christchurch</t>
  </si>
  <si>
    <t>Invercargill</t>
  </si>
  <si>
    <t>Dunedin</t>
  </si>
  <si>
    <t>Level 6</t>
  </si>
  <si>
    <t>Medium-Hard</t>
  </si>
  <si>
    <t>Now the Total Attribute Score is also affected by how long it takes for a family to get to the destination after landing in New Zealand.</t>
  </si>
  <si>
    <t>For each minute spent traveling to the destination after landing, the Total Attribute Score is reduced by 0.01.</t>
  </si>
  <si>
    <t>All families land in Wellington and have to go through the customs, which takes 2 hours.</t>
  </si>
  <si>
    <r>
      <t xml:space="preserve">What are the Total Attribute Scores for the following Destinations and Families? </t>
    </r>
    <r>
      <rPr>
        <b/>
        <u/>
        <sz val="12"/>
        <rFont val="Roboto"/>
      </rPr>
      <t>Round your answer to the closest integer.</t>
    </r>
    <r>
      <rPr>
        <b/>
        <sz val="12"/>
        <rFont val="Roboto"/>
      </rPr>
      <t xml:space="preserve"> DO NOT round any interim calculations.</t>
    </r>
  </si>
  <si>
    <t>Travel time should include customs and any ferry ride.</t>
  </si>
  <si>
    <r>
      <rPr>
        <b/>
        <sz val="12"/>
        <rFont val="Roboto"/>
      </rPr>
      <t>Example6:</t>
    </r>
    <r>
      <rPr>
        <sz val="12"/>
        <rFont val="Roboto"/>
      </rPr>
      <t xml:space="preserve"> Christchurch's initial Total Attribute Score for the McCaw family is 28.8 (before the diminishing effect of travel).</t>
    </r>
  </si>
  <si>
    <t>It takes 656.25 minutes  to get from Wellington to Christchurch (don't forget to account for the time spent at customs).</t>
  </si>
  <si>
    <t>The new Total Attribute Score is now 28.8 - 656.25*0.01 = 22.2375.</t>
  </si>
  <si>
    <r>
      <t xml:space="preserve">When rounded to the closest integer, the correct answer is </t>
    </r>
    <r>
      <rPr>
        <u/>
        <sz val="12"/>
        <rFont val="Roboto"/>
      </rPr>
      <t>22</t>
    </r>
    <r>
      <rPr>
        <sz val="12"/>
        <rFont val="Roboto"/>
      </rPr>
      <t>.</t>
    </r>
  </si>
  <si>
    <t>Game 81, answer is between 28 and 31.</t>
  </si>
  <si>
    <t>Game 82, answer is between 24 and 27.</t>
  </si>
  <si>
    <t>Game 83, answer is between 20 and 23.</t>
  </si>
  <si>
    <t>Example6</t>
  </si>
  <si>
    <t>Williamson</t>
  </si>
  <si>
    <t>Key</t>
  </si>
  <si>
    <t>Sheppard</t>
  </si>
  <si>
    <t>Te Kanawa</t>
  </si>
  <si>
    <t>Mansfield</t>
  </si>
  <si>
    <t>Lomu</t>
  </si>
  <si>
    <t>Rutherford</t>
  </si>
  <si>
    <t>Level 7</t>
  </si>
  <si>
    <t>Hard</t>
  </si>
  <si>
    <t>There are 3 possible Ports of Entry at New Zealand, and the families can arrive at any of them.</t>
  </si>
  <si>
    <t>Each family will want to visit a destination with the highest Total Attribute Score (don't forget to include the time adjustment in your Total Attribute Score calculations).</t>
  </si>
  <si>
    <t>Given the Port of Entry, where should the Family go?</t>
  </si>
  <si>
    <t>Provide your answer in the form "[Destination]-[Total Attribute Score]", with the Total Attribute Score rounded to the nearest integer.</t>
  </si>
  <si>
    <r>
      <rPr>
        <b/>
        <sz val="12"/>
        <rFont val="Roboto"/>
      </rPr>
      <t>Example7:</t>
    </r>
    <r>
      <rPr>
        <sz val="12"/>
        <rFont val="Roboto"/>
      </rPr>
      <t xml:space="preserve"> The initial top Total Attribute Scores for the Rutherford family are Invercargill (34.20), New Plymouth (33.90) and Gisborne (33.70).</t>
    </r>
  </si>
  <si>
    <t>Travel time in minutes from Auckland are Invercargill (1554.75), New Plymouth (396.75) and Gisborne (498).</t>
  </si>
  <si>
    <t>After accounting for the time adjustments based on the Port of Entry being Auckland, the updated top Attribute Scores are New Plymouth (29.9325), Gisborne (28.72) and Whangarei (29.125).</t>
  </si>
  <si>
    <r>
      <t xml:space="preserve">Which makes New Plymouth the best choice, with a Total Attribute Score rounded to 30. The answer should be provided as </t>
    </r>
    <r>
      <rPr>
        <u/>
        <sz val="12"/>
        <rFont val="Roboto"/>
      </rPr>
      <t>New Plymouth-30</t>
    </r>
    <r>
      <rPr>
        <sz val="12"/>
        <rFont val="Roboto"/>
      </rPr>
      <t>.</t>
    </r>
  </si>
  <si>
    <t>Game 101 Hint: The correct answer starts with the letter N, and the score value is between 29 and 34.</t>
  </si>
  <si>
    <t>Game 102 Hint: The correct answer starts with the letter Q, and the score value is between 27 and 32.</t>
  </si>
  <si>
    <t>Game 103 Hint: The correct answer starts with the letter W, and the score value is between 30 and 35.</t>
  </si>
  <si>
    <t>Port of Entry</t>
  </si>
  <si>
    <t>Example7</t>
  </si>
  <si>
    <t>New Plymouth-30</t>
  </si>
  <si>
    <t>DESTINATIONS &amp; THEIR ATTRIBUTES</t>
  </si>
  <si>
    <t>Attribute Scores</t>
  </si>
  <si>
    <t>FAMILIES &amp; THEIR FAVORITE ATTRIBUTES</t>
  </si>
  <si>
    <t>Favorite Destination Attributes</t>
  </si>
  <si>
    <t>Families</t>
  </si>
  <si>
    <t>1st</t>
  </si>
  <si>
    <t>2nd</t>
  </si>
  <si>
    <t>3rd</t>
  </si>
  <si>
    <t>4th</t>
  </si>
  <si>
    <t>NEW ZEALAND MAP</t>
  </si>
  <si>
    <t>DISTANCES BETWEEN DESTINATIONS (KM)</t>
  </si>
  <si>
    <t>Possible Ports of Entry</t>
  </si>
  <si>
    <t>North Island</t>
  </si>
  <si>
    <t>South Island</t>
  </si>
  <si>
    <t>Your Answers</t>
  </si>
  <si>
    <t>Miasto</t>
  </si>
  <si>
    <t>island 2</t>
  </si>
  <si>
    <t>island 1</t>
  </si>
  <si>
    <t>same?</t>
  </si>
  <si>
    <t>min</t>
  </si>
  <si>
    <t>min miasto</t>
  </si>
  <si>
    <t>Rest</t>
  </si>
  <si>
    <t>Basic</t>
  </si>
  <si>
    <t>Total</t>
  </si>
  <si>
    <t>Napier-33</t>
  </si>
  <si>
    <t>Queenstown-30</t>
  </si>
  <si>
    <t>Whangarei-31</t>
  </si>
  <si>
    <t>Invercargill-29</t>
  </si>
  <si>
    <t>Napier-32</t>
  </si>
  <si>
    <t>Invercargill-30</t>
  </si>
  <si>
    <t>Queenstown-28</t>
  </si>
  <si>
    <t>Gisborne-29</t>
  </si>
  <si>
    <t>Hamilton-30</t>
  </si>
  <si>
    <t>Auckland-29</t>
  </si>
  <si>
    <t>Tauranga-30</t>
  </si>
  <si>
    <t>Napier-31</t>
  </si>
  <si>
    <t>New Plymouth-29</t>
  </si>
  <si>
    <t>Invercargill-32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</si>
</sst>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8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b/>
      <sz val="20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sz val="12"/>
      <name val="Roboto"/>
    </font>
    <font>
      <sz val="12"/>
      <color theme="1"/>
      <name val="Roboto"/>
    </font>
    <font>
      <sz val="16"/>
      <color theme="7" tint="-0.499984740745262"/>
      <name val="Roboto"/>
    </font>
    <font>
      <b/>
      <sz val="12"/>
      <color theme="0"/>
      <name val="Roboto"/>
    </font>
    <font>
      <b/>
      <sz val="12"/>
      <color theme="1"/>
      <name val="Roboto"/>
    </font>
    <font>
      <sz val="8"/>
      <name val="Calibri"/>
      <family val="2"/>
      <scheme val="minor"/>
    </font>
    <font>
      <sz val="14"/>
      <color theme="1"/>
      <name val="Roboto"/>
    </font>
    <font>
      <b/>
      <sz val="12"/>
      <name val="Roboto"/>
    </font>
    <font>
      <b/>
      <u/>
      <sz val="12"/>
      <name val="Roboto"/>
    </font>
    <font>
      <sz val="11"/>
      <color rgb="FFFF0000"/>
      <name val="Roboto"/>
    </font>
    <font>
      <u/>
      <sz val="12"/>
      <name val="Roboto"/>
    </font>
    <font>
      <b/>
      <sz val="26"/>
      <color theme="0"/>
      <name val="Futura"/>
    </font>
    <font>
      <b/>
      <sz val="26"/>
      <color theme="0"/>
      <name val="Roboto"/>
    </font>
    <font>
      <b/>
      <sz val="24"/>
      <color theme="0"/>
      <name val="Roboto"/>
    </font>
    <font>
      <sz val="18"/>
      <color theme="1"/>
      <name val="Roboto"/>
    </font>
    <font>
      <b/>
      <sz val="18"/>
      <color theme="0"/>
      <name val="Futura"/>
    </font>
    <font>
      <b/>
      <sz val="20"/>
      <color theme="0"/>
      <name val="Futura"/>
    </font>
    <font>
      <i/>
      <sz val="12"/>
      <color theme="1"/>
      <name val="Roboto"/>
    </font>
    <font>
      <sz val="20"/>
      <color theme="1"/>
      <name val="Aptos"/>
      <family val="2"/>
    </font>
    <font>
      <i/>
      <sz val="14"/>
      <color theme="1"/>
      <name val="Roboto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Roboto"/>
    </font>
    <font>
      <b/>
      <sz val="11"/>
      <color theme="0"/>
      <name val="Roboto"/>
    </font>
    <font>
      <sz val="12"/>
      <color rgb="FFFFFFFF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ED203F"/>
        <bgColor indexed="64"/>
      </patternFill>
    </fill>
    <fill>
      <patternFill patternType="solid">
        <fgColor rgb="FFBC1F36"/>
        <bgColor indexed="64"/>
      </patternFill>
    </fill>
    <fill>
      <patternFill patternType="solid">
        <fgColor rgb="FFED203F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C6CD"/>
        <bgColor indexed="64"/>
      </patternFill>
    </fill>
    <fill>
      <patternFill patternType="solid">
        <fgColor rgb="FFBF1F36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/>
    <xf numFmtId="0" fontId="31" fillId="0" borderId="0"/>
    <xf numFmtId="0" fontId="33" fillId="0" borderId="0"/>
    <xf numFmtId="0" fontId="34" fillId="0" borderId="0"/>
    <xf numFmtId="0" fontId="34" fillId="0" borderId="0"/>
  </cellStyleXfs>
  <cellXfs count="127">
    <xf numFmtId="0" fontId="0" fillId="0" borderId="0" xfId="0"/>
    <xf numFmtId="0" fontId="10" fillId="2" borderId="0" xfId="0" applyFont="1" applyFill="1"/>
    <xf numFmtId="0" fontId="11" fillId="4" borderId="15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/>
    <xf numFmtId="0" fontId="10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vertical="top" wrapText="1"/>
    </xf>
    <xf numFmtId="3" fontId="1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0" xfId="0" applyFont="1"/>
    <xf numFmtId="3" fontId="9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10" fillId="0" borderId="0" xfId="0" applyNumberFormat="1" applyFont="1"/>
    <xf numFmtId="0" fontId="10" fillId="0" borderId="0" xfId="0" applyFont="1" applyAlignment="1">
      <alignment horizontal="center"/>
    </xf>
    <xf numFmtId="0" fontId="13" fillId="0" borderId="0" xfId="0" applyFont="1"/>
    <xf numFmtId="3" fontId="4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4" fillId="3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1" fontId="4" fillId="3" borderId="2" xfId="0" applyNumberFormat="1" applyFont="1" applyFill="1" applyBorder="1" applyAlignment="1">
      <alignment horizontal="center" vertical="center"/>
    </xf>
    <xf numFmtId="0" fontId="24" fillId="5" borderId="14" xfId="0" applyFont="1" applyFill="1" applyBorder="1" applyAlignment="1">
      <alignment horizontal="centerContinuous" vertical="center"/>
    </xf>
    <xf numFmtId="0" fontId="25" fillId="5" borderId="14" xfId="0" applyFont="1" applyFill="1" applyBorder="1" applyAlignment="1">
      <alignment horizontal="centerContinuous" vertical="center"/>
    </xf>
    <xf numFmtId="0" fontId="24" fillId="6" borderId="0" xfId="0" applyFont="1" applyFill="1" applyAlignment="1">
      <alignment horizontal="centerContinuous" vertical="center" wrapText="1"/>
    </xf>
    <xf numFmtId="0" fontId="26" fillId="6" borderId="0" xfId="0" applyFont="1" applyFill="1" applyAlignment="1">
      <alignment horizontal="centerContinuous" vertical="center" wrapText="1"/>
    </xf>
    <xf numFmtId="0" fontId="4" fillId="7" borderId="14" xfId="0" applyFont="1" applyFill="1" applyBorder="1" applyAlignment="1">
      <alignment horizontal="centerContinuous" vertical="center"/>
    </xf>
    <xf numFmtId="0" fontId="27" fillId="0" borderId="14" xfId="0" applyFont="1" applyBorder="1" applyAlignment="1">
      <alignment horizontal="centerContinuous"/>
    </xf>
    <xf numFmtId="0" fontId="28" fillId="7" borderId="14" xfId="0" applyFont="1" applyFill="1" applyBorder="1" applyAlignment="1">
      <alignment horizontal="centerContinuous" vertical="center"/>
    </xf>
    <xf numFmtId="0" fontId="29" fillId="7" borderId="21" xfId="0" applyFont="1" applyFill="1" applyBorder="1" applyAlignment="1">
      <alignment horizontal="centerContinuous" vertical="center"/>
    </xf>
    <xf numFmtId="0" fontId="4" fillId="7" borderId="21" xfId="0" applyFont="1" applyFill="1" applyBorder="1" applyAlignment="1">
      <alignment horizontal="centerContinuous" vertical="center"/>
    </xf>
    <xf numFmtId="0" fontId="29" fillId="5" borderId="14" xfId="0" applyFont="1" applyFill="1" applyBorder="1" applyAlignment="1">
      <alignment horizontal="centerContinuous" vertical="center"/>
    </xf>
    <xf numFmtId="0" fontId="4" fillId="5" borderId="14" xfId="0" applyFont="1" applyFill="1" applyBorder="1" applyAlignment="1">
      <alignment horizontal="centerContinuous" vertical="center"/>
    </xf>
    <xf numFmtId="0" fontId="30" fillId="0" borderId="0" xfId="0" applyFont="1" applyAlignment="1">
      <alignment horizontal="left"/>
    </xf>
    <xf numFmtId="0" fontId="14" fillId="2" borderId="0" xfId="2" applyFont="1" applyFill="1" applyAlignment="1">
      <alignment horizontal="center" vertical="center"/>
    </xf>
    <xf numFmtId="0" fontId="16" fillId="7" borderId="15" xfId="2" applyFont="1" applyFill="1" applyBorder="1" applyAlignment="1">
      <alignment horizontal="centerContinuous" vertical="center"/>
    </xf>
    <xf numFmtId="0" fontId="16" fillId="7" borderId="15" xfId="2" applyFont="1" applyFill="1" applyBorder="1" applyAlignment="1">
      <alignment horizontal="centerContinuous" vertical="center" wrapText="1"/>
    </xf>
    <xf numFmtId="0" fontId="5" fillId="8" borderId="16" xfId="2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32" fillId="10" borderId="15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32" fillId="12" borderId="15" xfId="0" applyFont="1" applyFill="1" applyBorder="1" applyAlignment="1">
      <alignment horizontal="center" vertical="center"/>
    </xf>
    <xf numFmtId="0" fontId="28" fillId="5" borderId="14" xfId="0" applyFont="1" applyFill="1" applyBorder="1" applyAlignment="1">
      <alignment horizontal="centerContinuous" vertical="center"/>
    </xf>
    <xf numFmtId="0" fontId="13" fillId="0" borderId="5" xfId="0" applyFont="1" applyBorder="1" applyAlignment="1">
      <alignment vertical="top" wrapText="1"/>
    </xf>
    <xf numFmtId="0" fontId="13" fillId="0" borderId="4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20" fillId="0" borderId="9" xfId="0" applyFont="1" applyBorder="1" applyAlignment="1">
      <alignment vertical="top"/>
    </xf>
    <xf numFmtId="0" fontId="20" fillId="0" borderId="9" xfId="0" quotePrefix="1" applyFont="1" applyBorder="1" applyAlignment="1">
      <alignment vertical="top"/>
    </xf>
    <xf numFmtId="0" fontId="16" fillId="13" borderId="22" xfId="3" applyFont="1" applyFill="1" applyBorder="1" applyAlignment="1">
      <alignment horizontal="center" vertical="center"/>
    </xf>
    <xf numFmtId="0" fontId="16" fillId="13" borderId="22" xfId="3" applyFont="1" applyFill="1" applyBorder="1" applyAlignment="1">
      <alignment horizontal="centerContinuous" vertical="center"/>
    </xf>
    <xf numFmtId="0" fontId="16" fillId="13" borderId="15" xfId="3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6" fillId="13" borderId="30" xfId="3" applyFont="1" applyFill="1" applyBorder="1" applyAlignment="1">
      <alignment horizontal="centerContinuous" vertical="center"/>
    </xf>
    <xf numFmtId="0" fontId="16" fillId="13" borderId="31" xfId="3" applyFont="1" applyFill="1" applyBorder="1" applyAlignment="1">
      <alignment horizontal="centerContinuous" vertical="center"/>
    </xf>
    <xf numFmtId="0" fontId="16" fillId="13" borderId="30" xfId="3" applyFont="1" applyFill="1" applyBorder="1" applyAlignment="1">
      <alignment horizontal="center" vertical="center"/>
    </xf>
    <xf numFmtId="0" fontId="16" fillId="13" borderId="31" xfId="3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8" fillId="0" borderId="23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1" fillId="0" borderId="6" xfId="0" applyFont="1" applyBorder="1"/>
    <xf numFmtId="0" fontId="13" fillId="0" borderId="0" xfId="0" applyFont="1" applyAlignment="1">
      <alignment vertical="top" wrapText="1"/>
    </xf>
    <xf numFmtId="0" fontId="1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4" fillId="0" borderId="12" xfId="0" applyFont="1" applyBorder="1"/>
    <xf numFmtId="0" fontId="1" fillId="0" borderId="13" xfId="0" applyFont="1" applyBorder="1"/>
    <xf numFmtId="0" fontId="35" fillId="2" borderId="0" xfId="4" applyFont="1" applyFill="1"/>
    <xf numFmtId="3" fontId="1" fillId="2" borderId="0" xfId="4" applyNumberFormat="1" applyFont="1" applyFill="1"/>
    <xf numFmtId="0" fontId="1" fillId="2" borderId="0" xfId="4" applyFont="1" applyFill="1"/>
    <xf numFmtId="0" fontId="1" fillId="2" borderId="0" xfId="4" applyFont="1" applyFill="1" applyAlignment="1">
      <alignment vertical="top" wrapText="1"/>
    </xf>
    <xf numFmtId="0" fontId="10" fillId="2" borderId="0" xfId="4" applyFont="1" applyFill="1" applyAlignment="1">
      <alignment vertical="top" wrapText="1"/>
    </xf>
    <xf numFmtId="0" fontId="10" fillId="2" borderId="0" xfId="4" applyFont="1" applyFill="1"/>
    <xf numFmtId="0" fontId="36" fillId="14" borderId="15" xfId="4" applyFont="1" applyFill="1" applyBorder="1" applyAlignment="1">
      <alignment horizontal="center" vertical="center"/>
    </xf>
    <xf numFmtId="3" fontId="36" fillId="14" borderId="15" xfId="4" applyNumberFormat="1" applyFont="1" applyFill="1" applyBorder="1" applyAlignment="1">
      <alignment horizontal="center" vertical="center"/>
    </xf>
    <xf numFmtId="0" fontId="6" fillId="2" borderId="32" xfId="4" applyFont="1" applyFill="1" applyBorder="1" applyAlignment="1">
      <alignment horizontal="center" vertical="center" wrapText="1"/>
    </xf>
    <xf numFmtId="1" fontId="4" fillId="3" borderId="17" xfId="4" applyNumberFormat="1" applyFont="1" applyFill="1" applyBorder="1" applyAlignment="1">
      <alignment horizontal="center" vertical="center"/>
    </xf>
    <xf numFmtId="0" fontId="2" fillId="0" borderId="32" xfId="2" applyFont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1" fillId="2" borderId="0" xfId="4" applyFont="1" applyFill="1" applyAlignment="1">
      <alignment horizontal="center"/>
    </xf>
    <xf numFmtId="3" fontId="1" fillId="2" borderId="0" xfId="4" applyNumberFormat="1" applyFont="1" applyFill="1" applyAlignment="1">
      <alignment horizontal="center"/>
    </xf>
    <xf numFmtId="0" fontId="37" fillId="0" borderId="0" xfId="0" applyFont="1"/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1" fillId="15" borderId="0" xfId="0" applyFont="1" applyFill="1"/>
    <xf numFmtId="164" fontId="4" fillId="3" borderId="2" xfId="0" applyNumberFormat="1" applyFont="1" applyFill="1" applyBorder="1" applyAlignment="1">
      <alignment horizontal="center" vertical="center"/>
    </xf>
    <xf numFmtId="164" fontId="10" fillId="0" borderId="0" xfId="0" applyNumberFormat="1" applyFont="1"/>
  </cellXfs>
  <cellStyles count="6">
    <cellStyle name="Hyperlink 2" xfId="1" xr:uid="{C1B9BA85-4C62-429F-905A-EBA90D38020B}"/>
    <cellStyle name="Normal 2" xfId="2" xr:uid="{F75F40CE-D2FB-44E8-B267-087DFB6D58BC}"/>
    <cellStyle name="Normal 2 2" xfId="3" xr:uid="{A337EFB8-02F4-4A33-BCF4-C9212C15488E}"/>
    <cellStyle name="Normal 3" xfId="4" xr:uid="{E13D2107-13C2-4C6D-A681-C0A391E8DCFB}"/>
    <cellStyle name="Normal 3 2" xfId="5" xr:uid="{4F60479B-4FA8-4EC6-A049-0DF3FE2A1047}"/>
    <cellStyle name="Normalny" xfId="0" builtinId="0"/>
  </cellStyles>
  <dxfs count="0"/>
  <tableStyles count="1" defaultTableStyle="TableStyleMedium2" defaultPivotStyle="PivotStyleLight16">
    <tableStyle name="Invisible" pivot="0" table="0" count="0" xr9:uid="{D755451E-77E8-4C7C-8145-0C90059FFE95}"/>
  </tableStyles>
  <colors>
    <mruColors>
      <color rgb="FFFFC5C5"/>
      <color rgb="FF00F681"/>
      <color rgb="FF61FFB4"/>
      <color rgb="FF006837"/>
      <color rgb="FFFF7D7D"/>
      <color rgb="FF228AB8"/>
      <color rgb="FF996633"/>
      <color rgb="FF29B77A"/>
      <color rgb="FFCC33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0</xdr:colOff>
      <xdr:row>10</xdr:row>
      <xdr:rowOff>414122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DEA95D-5CA9-45DA-88D0-15FB59FDB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17714" y="1534886"/>
          <a:ext cx="10613572" cy="2961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40821</xdr:rowOff>
    </xdr:from>
    <xdr:to>
      <xdr:col>11</xdr:col>
      <xdr:colOff>382544</xdr:colOff>
      <xdr:row>40</xdr:row>
      <xdr:rowOff>3715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3F54C0-941E-6218-BDA4-5AE97CCAB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4464"/>
          <a:ext cx="6165580" cy="7065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53E3-5E6B-47FF-81A4-A4EA17CC3B52}">
  <sheetPr codeName="Sheet1">
    <tabColor theme="9" tint="0.59999389629810485"/>
  </sheetPr>
  <dimension ref="A2:XY1000"/>
  <sheetViews>
    <sheetView showGridLines="0" tabSelected="1" topLeftCell="A6" zoomScale="70" zoomScaleNormal="70" workbookViewId="0">
      <selection activeCell="G42" sqref="G42:M42"/>
    </sheetView>
  </sheetViews>
  <sheetFormatPr defaultColWidth="8.42578125" defaultRowHeight="15.75"/>
  <cols>
    <col min="1" max="1" width="3.140625" style="3" customWidth="1"/>
    <col min="2" max="3" width="12.85546875" style="7" customWidth="1"/>
    <col min="4" max="4" width="10" style="7" customWidth="1"/>
    <col min="5" max="5" width="34.140625" style="9" customWidth="1"/>
    <col min="6" max="6" width="4.85546875" style="7" customWidth="1"/>
    <col min="7" max="7" width="20" style="3" customWidth="1"/>
    <col min="8" max="8" width="20" style="25" customWidth="1"/>
    <col min="9" max="13" width="20" style="3" customWidth="1"/>
    <col min="14" max="18" width="20" style="5" customWidth="1"/>
    <col min="19" max="33" width="8.42578125" style="5"/>
    <col min="34" max="34" width="12.85546875" style="5" bestFit="1" customWidth="1"/>
    <col min="35" max="47" width="8.42578125" style="5"/>
    <col min="48" max="48" width="13.7109375" style="5" customWidth="1"/>
    <col min="49" max="49" width="8.42578125" style="5"/>
    <col min="50" max="50" width="10" style="5" bestFit="1" customWidth="1"/>
    <col min="51" max="52" width="8.42578125" style="5"/>
    <col min="53" max="53" width="14.28515625" style="5" customWidth="1"/>
    <col min="54" max="54" width="11" style="5" bestFit="1" customWidth="1"/>
    <col min="55" max="56" width="10" style="5" bestFit="1" customWidth="1"/>
    <col min="57" max="57" width="9.85546875" style="5" bestFit="1" customWidth="1"/>
    <col min="58" max="58" width="8.5703125" style="5" bestFit="1" customWidth="1"/>
    <col min="59" max="59" width="9.5703125" style="5" bestFit="1" customWidth="1"/>
    <col min="60" max="60" width="15" style="5" bestFit="1" customWidth="1"/>
    <col min="61" max="61" width="7.28515625" style="5" bestFit="1" customWidth="1"/>
    <col min="62" max="62" width="18.28515625" style="5" bestFit="1" customWidth="1"/>
    <col min="63" max="63" width="11.140625" style="5" bestFit="1" customWidth="1"/>
    <col min="64" max="64" width="7.85546875" style="5" bestFit="1" customWidth="1"/>
    <col min="65" max="65" width="13.28515625" style="5" bestFit="1" customWidth="1"/>
    <col min="66" max="66" width="13" style="5" bestFit="1" customWidth="1"/>
    <col min="67" max="67" width="9.140625" style="5" bestFit="1" customWidth="1"/>
    <col min="68" max="68" width="11.42578125" style="5" bestFit="1" customWidth="1"/>
    <col min="69" max="16384" width="8.42578125" style="5"/>
  </cols>
  <sheetData>
    <row r="2" spans="2:33" ht="33" customHeight="1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2:33" ht="15" customHeight="1">
      <c r="B3" s="3"/>
      <c r="C3" s="3"/>
      <c r="D3" s="3"/>
      <c r="E3" s="4"/>
      <c r="F3" s="3"/>
    </row>
    <row r="4" spans="2:33" ht="30" customHeight="1">
      <c r="B4" s="48" t="s">
        <v>1</v>
      </c>
      <c r="C4" s="49"/>
      <c r="D4" s="49"/>
      <c r="E4" s="49"/>
      <c r="F4" s="49"/>
      <c r="G4" s="49"/>
      <c r="H4" s="49"/>
      <c r="I4" s="49"/>
      <c r="J4" s="49"/>
      <c r="L4" s="50" t="s">
        <v>2</v>
      </c>
      <c r="M4" s="50"/>
    </row>
    <row r="5" spans="2:33" ht="33" customHeight="1">
      <c r="B5" s="3"/>
      <c r="C5" s="3"/>
      <c r="D5" s="3"/>
      <c r="E5" s="4"/>
      <c r="F5" s="3"/>
      <c r="L5" s="51" t="s">
        <v>3</v>
      </c>
      <c r="M5" s="51"/>
    </row>
    <row r="6" spans="2:33" ht="33" customHeight="1">
      <c r="B6" s="3"/>
      <c r="C6" s="3"/>
      <c r="D6" s="3"/>
      <c r="E6" s="4"/>
      <c r="F6" s="3"/>
      <c r="L6" s="25"/>
      <c r="M6" s="25"/>
    </row>
    <row r="7" spans="2:33" ht="33" customHeight="1">
      <c r="B7" s="3"/>
      <c r="C7" s="3"/>
      <c r="D7" s="3"/>
      <c r="E7" s="4"/>
      <c r="F7" s="3"/>
      <c r="L7" s="52" t="s">
        <v>4</v>
      </c>
      <c r="M7" s="52"/>
    </row>
    <row r="8" spans="2:33" ht="33" customHeight="1">
      <c r="B8" s="3"/>
      <c r="C8" s="3"/>
      <c r="D8" s="3"/>
      <c r="E8" s="4"/>
      <c r="F8" s="3"/>
      <c r="L8" s="51" t="s">
        <v>5</v>
      </c>
      <c r="M8" s="51"/>
    </row>
    <row r="9" spans="2:33" ht="33" customHeight="1">
      <c r="B9" s="3"/>
      <c r="C9" s="3"/>
      <c r="D9" s="3"/>
      <c r="E9" s="4"/>
      <c r="F9" s="3"/>
      <c r="L9" s="51" t="s">
        <v>6</v>
      </c>
      <c r="M9" s="51"/>
    </row>
    <row r="10" spans="2:33" ht="33" customHeight="1">
      <c r="B10" s="3"/>
      <c r="C10" s="3"/>
      <c r="D10" s="3"/>
      <c r="E10" s="4"/>
      <c r="F10" s="3"/>
      <c r="L10" s="51" t="s">
        <v>7</v>
      </c>
      <c r="M10" s="51"/>
      <c r="S10" s="5" t="str" cm="1">
        <f t="array" ref="S10:AG10">_xlfn.XLOOKUP(_xlfn.ANCHORARRAY(S11),Distances!N11:N20,Distances!M11:M20,"South Island",0,1)</f>
        <v>North Island</v>
      </c>
      <c r="T10" s="5" t="str">
        <v>North Island</v>
      </c>
      <c r="U10" s="5" t="str">
        <v>North Island</v>
      </c>
      <c r="V10" s="5" t="str">
        <v>North Island</v>
      </c>
      <c r="W10" s="5" t="str">
        <v>North Island</v>
      </c>
      <c r="X10" s="5" t="str">
        <v>North Island</v>
      </c>
      <c r="Y10" s="5" t="str">
        <v>North Island</v>
      </c>
      <c r="Z10" s="5" t="str">
        <v>North Island</v>
      </c>
      <c r="AA10" s="5" t="str">
        <v>North Island</v>
      </c>
      <c r="AB10" s="5" t="str">
        <v>North Island</v>
      </c>
      <c r="AC10" s="5" t="str">
        <v>South Island</v>
      </c>
      <c r="AD10" s="5" t="str">
        <v>South Island</v>
      </c>
      <c r="AE10" s="5" t="str">
        <v>South Island</v>
      </c>
      <c r="AF10" s="5" t="str">
        <v>South Island</v>
      </c>
      <c r="AG10" s="5" t="str">
        <v>South Island</v>
      </c>
    </row>
    <row r="11" spans="2:33" ht="33" customHeight="1">
      <c r="B11" s="3"/>
      <c r="C11" s="3"/>
      <c r="D11" s="3"/>
      <c r="E11" s="4"/>
      <c r="F11" s="3"/>
      <c r="L11" s="51" t="s">
        <v>8</v>
      </c>
      <c r="M11" s="51"/>
      <c r="S11" s="5" t="str" cm="1">
        <f t="array" ref="S11:AG11">TRANSPOSE(Destinations!B6:B20)</f>
        <v>Whangarei</v>
      </c>
      <c r="T11" s="5" t="str">
        <v>Auckland</v>
      </c>
      <c r="U11" s="5" t="str">
        <v>Tauranga</v>
      </c>
      <c r="V11" s="5" t="str">
        <v>Hamilton</v>
      </c>
      <c r="W11" s="5" t="str">
        <v>Rotorua</v>
      </c>
      <c r="X11" s="5" t="str">
        <v>Gisborne</v>
      </c>
      <c r="Y11" s="5" t="str">
        <v>New Plymouth</v>
      </c>
      <c r="Z11" s="5" t="str">
        <v>Napier</v>
      </c>
      <c r="AA11" s="5" t="str">
        <v>Palmerston North</v>
      </c>
      <c r="AB11" s="5" t="str">
        <v>Wellington</v>
      </c>
      <c r="AC11" s="5" t="str">
        <v>Nelson</v>
      </c>
      <c r="AD11" s="5" t="str">
        <v>Christchurch</v>
      </c>
      <c r="AE11" s="5" t="str">
        <v>Queenstown</v>
      </c>
      <c r="AF11" s="5" t="str">
        <v>Dunedin</v>
      </c>
      <c r="AG11" s="5" t="str">
        <v>Invercargill</v>
      </c>
    </row>
    <row r="12" spans="2:33" ht="18" customHeight="1">
      <c r="B12" s="3"/>
      <c r="C12" s="3"/>
      <c r="D12" s="3"/>
      <c r="E12" s="4"/>
      <c r="F12" s="3"/>
      <c r="Q12" s="5" t="str" cm="1">
        <f t="array" ref="Q12:Q26">_xlfn.XLOOKUP(_xlfn.ANCHORARRAY(R12),Distances!N11:N20,Distances!M11:M20,"South Island",0,1)</f>
        <v>North Island</v>
      </c>
      <c r="R12" s="5" t="str" cm="1">
        <f t="array" ref="R12:R26">Destinations!B6:B20</f>
        <v>Whangarei</v>
      </c>
      <c r="S12" s="5" cm="1">
        <f t="array" ref="S12:AG26">INDEX(Distances!Q5:AE19,MATCH(_xlfn.ANCHORARRAY(Case!$R$12),Distances!$P$5:$P$19,0),MATCH(_xlfn.ANCHORARRAY(Case!$S$11),Distances!$Q$4:$AE$4,0)) / 80 * 60 + IF(Q12:Q26&lt;&gt;S10:AG10, 3.5*60,0) + 120</f>
        <v>120</v>
      </c>
      <c r="T12" s="5">
        <v>247.5</v>
      </c>
      <c r="U12" s="5">
        <v>402</v>
      </c>
      <c r="V12" s="5">
        <v>342.75</v>
      </c>
      <c r="W12" s="5">
        <v>423</v>
      </c>
      <c r="X12" s="5">
        <v>626.25</v>
      </c>
      <c r="Y12" s="5">
        <v>524.25</v>
      </c>
      <c r="Z12" s="5">
        <v>564.75</v>
      </c>
      <c r="AA12" s="5">
        <v>643.5</v>
      </c>
      <c r="AB12" s="5">
        <v>734.25</v>
      </c>
      <c r="AC12" s="5">
        <v>1086</v>
      </c>
      <c r="AD12" s="5">
        <v>1257</v>
      </c>
      <c r="AE12" s="5">
        <v>1614.75</v>
      </c>
      <c r="AF12" s="5">
        <v>1523.25</v>
      </c>
      <c r="AG12" s="5">
        <v>1677</v>
      </c>
    </row>
    <row r="13" spans="2:33" ht="30" customHeight="1">
      <c r="B13" s="53" t="s">
        <v>9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Q13" s="5" t="str">
        <v>North Island</v>
      </c>
      <c r="R13" s="5" t="str">
        <v>Auckland</v>
      </c>
      <c r="S13" s="5">
        <v>247.5</v>
      </c>
      <c r="T13" s="5">
        <v>120</v>
      </c>
      <c r="U13" s="5">
        <v>274.5</v>
      </c>
      <c r="V13" s="5">
        <v>213.75</v>
      </c>
      <c r="W13" s="5">
        <v>295.5</v>
      </c>
      <c r="X13" s="5">
        <v>498</v>
      </c>
      <c r="Y13" s="5">
        <v>396.75</v>
      </c>
      <c r="Z13" s="5">
        <v>437.25</v>
      </c>
      <c r="AA13" s="5">
        <v>516</v>
      </c>
      <c r="AB13" s="5">
        <v>615</v>
      </c>
      <c r="AC13" s="5">
        <v>963.75</v>
      </c>
      <c r="AD13" s="5">
        <v>1134.75</v>
      </c>
      <c r="AE13" s="5">
        <v>1492.5</v>
      </c>
      <c r="AF13" s="5">
        <v>1400.25</v>
      </c>
      <c r="AG13" s="5">
        <v>1554.75</v>
      </c>
    </row>
    <row r="14" spans="2:33" ht="18" customHeight="1">
      <c r="B14" s="69" t="s">
        <v>10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92"/>
      <c r="Q14" s="5" t="str">
        <v>North Island</v>
      </c>
      <c r="R14" s="5" t="str">
        <v>Tauranga</v>
      </c>
      <c r="S14" s="5">
        <v>402</v>
      </c>
      <c r="T14" s="5">
        <v>274.5</v>
      </c>
      <c r="U14" s="5">
        <v>120</v>
      </c>
      <c r="V14" s="5">
        <v>199.5</v>
      </c>
      <c r="W14" s="5">
        <v>168</v>
      </c>
      <c r="X14" s="5">
        <v>327</v>
      </c>
      <c r="Y14" s="5">
        <v>351.75</v>
      </c>
      <c r="Z14" s="5">
        <v>330</v>
      </c>
      <c r="AA14" s="5">
        <v>417.75</v>
      </c>
      <c r="AB14" s="5">
        <v>514.5</v>
      </c>
      <c r="AC14" s="5">
        <v>876</v>
      </c>
      <c r="AD14" s="5">
        <v>1047</v>
      </c>
      <c r="AE14" s="5">
        <v>1404.75</v>
      </c>
      <c r="AF14" s="5">
        <v>1312.5</v>
      </c>
      <c r="AG14" s="5">
        <v>1467</v>
      </c>
    </row>
    <row r="15" spans="2:33" ht="18" customHeight="1">
      <c r="B15" s="70" t="s">
        <v>11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4"/>
      <c r="O15" s="126"/>
      <c r="Q15" s="5" t="str">
        <v>North Island</v>
      </c>
      <c r="R15" s="5" t="str">
        <v>Hamilton</v>
      </c>
      <c r="S15" s="5">
        <v>342.75</v>
      </c>
      <c r="T15" s="5">
        <v>213.75</v>
      </c>
      <c r="U15" s="5">
        <v>199.5</v>
      </c>
      <c r="V15" s="5">
        <v>120</v>
      </c>
      <c r="W15" s="5">
        <v>200.25</v>
      </c>
      <c r="X15" s="5">
        <v>402</v>
      </c>
      <c r="Y15" s="5">
        <v>300</v>
      </c>
      <c r="Z15" s="5">
        <v>345.75</v>
      </c>
      <c r="AA15" s="5">
        <v>414</v>
      </c>
      <c r="AB15" s="5">
        <v>510</v>
      </c>
      <c r="AC15" s="5">
        <v>870.75</v>
      </c>
      <c r="AD15" s="5">
        <v>1042.5</v>
      </c>
      <c r="AE15" s="5">
        <v>1400.25</v>
      </c>
      <c r="AF15" s="5">
        <v>1308.75</v>
      </c>
      <c r="AG15" s="5">
        <v>1461.75</v>
      </c>
    </row>
    <row r="16" spans="2:33" ht="18" customHeight="1">
      <c r="B16" s="70" t="s">
        <v>12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4"/>
      <c r="Q16" s="5" t="str">
        <v>North Island</v>
      </c>
      <c r="R16" s="5" t="str">
        <v>Rotorua</v>
      </c>
      <c r="S16" s="5">
        <v>423</v>
      </c>
      <c r="T16" s="5">
        <v>295.5</v>
      </c>
      <c r="U16" s="5">
        <v>168</v>
      </c>
      <c r="V16" s="5">
        <v>200.25</v>
      </c>
      <c r="W16" s="5">
        <v>120</v>
      </c>
      <c r="X16" s="5">
        <v>325.5</v>
      </c>
      <c r="Y16" s="5">
        <v>340.5</v>
      </c>
      <c r="Z16" s="5">
        <v>285</v>
      </c>
      <c r="AA16" s="5">
        <v>363</v>
      </c>
      <c r="AB16" s="5">
        <v>459.75</v>
      </c>
      <c r="AC16" s="5">
        <v>821.25</v>
      </c>
      <c r="AD16" s="5">
        <v>992.25</v>
      </c>
      <c r="AE16" s="5">
        <v>1350</v>
      </c>
      <c r="AF16" s="5">
        <v>1257.75</v>
      </c>
      <c r="AG16" s="5">
        <v>1412.25</v>
      </c>
    </row>
    <row r="17" spans="2:33">
      <c r="B17" s="95"/>
      <c r="M17" s="94"/>
      <c r="Q17" s="5" t="str">
        <v>North Island</v>
      </c>
      <c r="R17" s="5" t="str">
        <v>Gisborne</v>
      </c>
      <c r="S17" s="5">
        <v>626.25</v>
      </c>
      <c r="T17" s="5">
        <v>498</v>
      </c>
      <c r="U17" s="5">
        <v>327</v>
      </c>
      <c r="V17" s="5">
        <v>402</v>
      </c>
      <c r="W17" s="5">
        <v>325.5</v>
      </c>
      <c r="X17" s="5">
        <v>120</v>
      </c>
      <c r="Y17" s="5">
        <v>543</v>
      </c>
      <c r="Z17" s="5">
        <v>281.25</v>
      </c>
      <c r="AA17" s="5">
        <v>414</v>
      </c>
      <c r="AB17" s="5">
        <v>519.75</v>
      </c>
      <c r="AC17" s="5">
        <v>881.25</v>
      </c>
      <c r="AD17" s="5">
        <v>1052.25</v>
      </c>
      <c r="AE17" s="5">
        <v>1410</v>
      </c>
      <c r="AF17" s="5">
        <v>1317.75</v>
      </c>
      <c r="AG17" s="5">
        <v>1472.25</v>
      </c>
    </row>
    <row r="18" spans="2:33" ht="18" customHeight="1">
      <c r="B18" s="71" t="s">
        <v>13</v>
      </c>
      <c r="M18" s="94"/>
      <c r="Q18" s="5" t="str">
        <v>North Island</v>
      </c>
      <c r="R18" s="5" t="str">
        <v>New Plymouth</v>
      </c>
      <c r="S18" s="5">
        <v>524.25</v>
      </c>
      <c r="T18" s="5">
        <v>396.75</v>
      </c>
      <c r="U18" s="5">
        <v>351.75</v>
      </c>
      <c r="V18" s="5">
        <v>300</v>
      </c>
      <c r="W18" s="5">
        <v>340.5</v>
      </c>
      <c r="X18" s="5">
        <v>543</v>
      </c>
      <c r="Y18" s="5">
        <v>120</v>
      </c>
      <c r="Z18" s="5">
        <v>429.75</v>
      </c>
      <c r="AA18" s="5">
        <v>294</v>
      </c>
      <c r="AB18" s="5">
        <v>384.75</v>
      </c>
      <c r="AC18" s="5">
        <v>746.25</v>
      </c>
      <c r="AD18" s="5">
        <v>917.25</v>
      </c>
      <c r="AE18" s="5">
        <v>1275</v>
      </c>
      <c r="AF18" s="5">
        <v>1182.75</v>
      </c>
      <c r="AG18" s="5">
        <v>1337.25</v>
      </c>
    </row>
    <row r="19" spans="2:33" ht="18" customHeight="1">
      <c r="B19" s="70" t="s">
        <v>14</v>
      </c>
      <c r="M19" s="94"/>
      <c r="Q19" s="5" t="str">
        <v>North Island</v>
      </c>
      <c r="R19" s="5" t="str">
        <v>Napier</v>
      </c>
      <c r="S19" s="5">
        <v>564.75</v>
      </c>
      <c r="T19" s="5">
        <v>437.25</v>
      </c>
      <c r="U19" s="5">
        <v>330</v>
      </c>
      <c r="V19" s="5">
        <v>345.75</v>
      </c>
      <c r="W19" s="5">
        <v>285</v>
      </c>
      <c r="X19" s="5">
        <v>281.25</v>
      </c>
      <c r="Y19" s="5">
        <v>429.75</v>
      </c>
      <c r="Z19" s="5">
        <v>120</v>
      </c>
      <c r="AA19" s="5">
        <v>257.25</v>
      </c>
      <c r="AB19" s="5">
        <v>362.25</v>
      </c>
      <c r="AC19" s="5">
        <v>723.75</v>
      </c>
      <c r="AD19" s="5">
        <v>894.75</v>
      </c>
      <c r="AE19" s="5">
        <v>1252.5</v>
      </c>
      <c r="AF19" s="5">
        <v>1161</v>
      </c>
      <c r="AG19" s="5">
        <v>1314.75</v>
      </c>
    </row>
    <row r="20" spans="2:33" ht="18" customHeight="1">
      <c r="B20" s="72" t="s">
        <v>15</v>
      </c>
      <c r="M20" s="94"/>
      <c r="Q20" s="5" t="str">
        <v>North Island</v>
      </c>
      <c r="R20" s="5" t="str">
        <v>Palmerston North</v>
      </c>
      <c r="S20" s="5">
        <v>643.5</v>
      </c>
      <c r="T20" s="5">
        <v>516</v>
      </c>
      <c r="U20" s="5">
        <v>417.75</v>
      </c>
      <c r="V20" s="5">
        <v>414</v>
      </c>
      <c r="W20" s="5">
        <v>363</v>
      </c>
      <c r="X20" s="5">
        <v>414</v>
      </c>
      <c r="Y20" s="5">
        <v>294</v>
      </c>
      <c r="Z20" s="5">
        <v>257.25</v>
      </c>
      <c r="AA20" s="5">
        <v>120</v>
      </c>
      <c r="AB20" s="5">
        <v>226.5</v>
      </c>
      <c r="AC20" s="5">
        <v>588</v>
      </c>
      <c r="AD20" s="5">
        <v>759</v>
      </c>
      <c r="AE20" s="5">
        <v>1116.75</v>
      </c>
      <c r="AF20" s="5">
        <v>1024.5</v>
      </c>
      <c r="AG20" s="5">
        <v>1179</v>
      </c>
    </row>
    <row r="21" spans="2:33" ht="18" customHeight="1">
      <c r="B21" s="72" t="s">
        <v>16</v>
      </c>
      <c r="M21" s="94"/>
      <c r="Q21" s="5" t="str">
        <v>North Island</v>
      </c>
      <c r="R21" s="5" t="str">
        <v>Wellington</v>
      </c>
      <c r="S21" s="5">
        <v>734.25</v>
      </c>
      <c r="T21" s="5">
        <v>615</v>
      </c>
      <c r="U21" s="5">
        <v>514.5</v>
      </c>
      <c r="V21" s="5">
        <v>510</v>
      </c>
      <c r="W21" s="5">
        <v>459.75</v>
      </c>
      <c r="X21" s="5">
        <v>519.75</v>
      </c>
      <c r="Y21" s="5">
        <v>384.75</v>
      </c>
      <c r="Z21" s="5">
        <v>362.25</v>
      </c>
      <c r="AA21" s="5">
        <v>226.5</v>
      </c>
      <c r="AB21" s="5">
        <v>120</v>
      </c>
      <c r="AC21" s="5">
        <v>485.25</v>
      </c>
      <c r="AD21" s="5">
        <v>656.25</v>
      </c>
      <c r="AE21" s="5">
        <v>1014</v>
      </c>
      <c r="AF21" s="5">
        <v>922.5</v>
      </c>
      <c r="AG21" s="5">
        <v>1076.25</v>
      </c>
    </row>
    <row r="22" spans="2:33" ht="18" customHeight="1">
      <c r="B22" s="71" t="s">
        <v>17</v>
      </c>
      <c r="M22" s="94"/>
      <c r="Q22" s="5" t="str">
        <v>South Island</v>
      </c>
      <c r="R22" s="5" t="str">
        <v>Nelson</v>
      </c>
      <c r="S22" s="5">
        <v>1086</v>
      </c>
      <c r="T22" s="5">
        <v>963.75</v>
      </c>
      <c r="U22" s="5">
        <v>876</v>
      </c>
      <c r="V22" s="5">
        <v>870.75</v>
      </c>
      <c r="W22" s="5">
        <v>821.25</v>
      </c>
      <c r="X22" s="5">
        <v>881.25</v>
      </c>
      <c r="Y22" s="5">
        <v>746.25</v>
      </c>
      <c r="Z22" s="5">
        <v>723.75</v>
      </c>
      <c r="AA22" s="5">
        <v>588</v>
      </c>
      <c r="AB22" s="5">
        <v>485.25</v>
      </c>
      <c r="AC22" s="5">
        <v>120</v>
      </c>
      <c r="AD22" s="5">
        <v>430.5</v>
      </c>
      <c r="AE22" s="5">
        <v>728.25</v>
      </c>
      <c r="AF22" s="5">
        <v>696.75</v>
      </c>
      <c r="AG22" s="5">
        <v>849.75</v>
      </c>
    </row>
    <row r="23" spans="2:33" ht="18" customHeight="1">
      <c r="B23" s="71" t="s">
        <v>18</v>
      </c>
      <c r="M23" s="94"/>
      <c r="Q23" s="5" t="str">
        <v>South Island</v>
      </c>
      <c r="R23" s="5" t="str">
        <v>Christchurch</v>
      </c>
      <c r="S23" s="5">
        <v>1257</v>
      </c>
      <c r="T23" s="5">
        <v>1134.75</v>
      </c>
      <c r="U23" s="5">
        <v>1047</v>
      </c>
      <c r="V23" s="5">
        <v>1042.5</v>
      </c>
      <c r="W23" s="5">
        <v>992.25</v>
      </c>
      <c r="X23" s="5">
        <v>1052.25</v>
      </c>
      <c r="Y23" s="5">
        <v>917.25</v>
      </c>
      <c r="Z23" s="5">
        <v>894.75</v>
      </c>
      <c r="AA23" s="5">
        <v>759</v>
      </c>
      <c r="AB23" s="5">
        <v>656.25</v>
      </c>
      <c r="AC23" s="5">
        <v>430.5</v>
      </c>
      <c r="AD23" s="5">
        <v>120</v>
      </c>
      <c r="AE23" s="5">
        <v>481.5</v>
      </c>
      <c r="AF23" s="5">
        <v>390</v>
      </c>
      <c r="AG23" s="5">
        <v>543.75</v>
      </c>
    </row>
    <row r="24" spans="2:33" ht="18" customHeight="1">
      <c r="B24" s="71" t="s">
        <v>19</v>
      </c>
      <c r="M24" s="94"/>
      <c r="Q24" s="5" t="str">
        <v>South Island</v>
      </c>
      <c r="R24" s="5" t="str">
        <v>Queenstown</v>
      </c>
      <c r="S24" s="5">
        <v>1614.75</v>
      </c>
      <c r="T24" s="5">
        <v>1492.5</v>
      </c>
      <c r="U24" s="5">
        <v>1404.75</v>
      </c>
      <c r="V24" s="5">
        <v>1400.25</v>
      </c>
      <c r="W24" s="5">
        <v>1350</v>
      </c>
      <c r="X24" s="5">
        <v>1410</v>
      </c>
      <c r="Y24" s="5">
        <v>1275</v>
      </c>
      <c r="Z24" s="5">
        <v>1252.5</v>
      </c>
      <c r="AA24" s="5">
        <v>1116.75</v>
      </c>
      <c r="AB24" s="5">
        <v>1014</v>
      </c>
      <c r="AC24" s="5">
        <v>728.25</v>
      </c>
      <c r="AD24" s="5">
        <v>481.5</v>
      </c>
      <c r="AE24" s="5">
        <v>120</v>
      </c>
      <c r="AF24" s="5">
        <v>332.25</v>
      </c>
      <c r="AG24" s="5">
        <v>260.25</v>
      </c>
    </row>
    <row r="25" spans="2:33" ht="18" customHeight="1">
      <c r="B25" s="70"/>
      <c r="M25" s="94"/>
      <c r="Q25" s="5" t="str">
        <v>South Island</v>
      </c>
      <c r="R25" s="5" t="str">
        <v>Dunedin</v>
      </c>
      <c r="S25" s="5">
        <v>1523.25</v>
      </c>
      <c r="T25" s="5">
        <v>1400.25</v>
      </c>
      <c r="U25" s="5">
        <v>1312.5</v>
      </c>
      <c r="V25" s="5">
        <v>1308.75</v>
      </c>
      <c r="W25" s="5">
        <v>1257.75</v>
      </c>
      <c r="X25" s="5">
        <v>1317.75</v>
      </c>
      <c r="Y25" s="5">
        <v>1182.75</v>
      </c>
      <c r="Z25" s="5">
        <v>1161</v>
      </c>
      <c r="AA25" s="5">
        <v>1024.5</v>
      </c>
      <c r="AB25" s="5">
        <v>922.5</v>
      </c>
      <c r="AC25" s="5">
        <v>696.75</v>
      </c>
      <c r="AD25" s="5">
        <v>390</v>
      </c>
      <c r="AE25" s="5">
        <v>332.25</v>
      </c>
      <c r="AF25" s="5">
        <v>120</v>
      </c>
      <c r="AG25" s="5">
        <v>274.5</v>
      </c>
    </row>
    <row r="26" spans="2:33" ht="18" customHeight="1">
      <c r="B26" s="71" t="s">
        <v>20</v>
      </c>
      <c r="M26" s="94"/>
      <c r="Q26" s="5" t="str">
        <v>South Island</v>
      </c>
      <c r="R26" s="5" t="str">
        <v>Invercargill</v>
      </c>
      <c r="S26" s="5">
        <v>1677</v>
      </c>
      <c r="T26" s="5">
        <v>1554.75</v>
      </c>
      <c r="U26" s="5">
        <v>1467</v>
      </c>
      <c r="V26" s="5">
        <v>1461.75</v>
      </c>
      <c r="W26" s="5">
        <v>1412.25</v>
      </c>
      <c r="X26" s="5">
        <v>1472.25</v>
      </c>
      <c r="Y26" s="5">
        <v>1337.25</v>
      </c>
      <c r="Z26" s="5">
        <v>1314.75</v>
      </c>
      <c r="AA26" s="5">
        <v>1179</v>
      </c>
      <c r="AB26" s="5">
        <v>1076.25</v>
      </c>
      <c r="AC26" s="5">
        <v>849.75</v>
      </c>
      <c r="AD26" s="5">
        <v>543.75</v>
      </c>
      <c r="AE26" s="5">
        <v>260.25</v>
      </c>
      <c r="AF26" s="5">
        <v>274.5</v>
      </c>
      <c r="AG26" s="5">
        <v>120</v>
      </c>
    </row>
    <row r="27" spans="2:33" ht="18" customHeight="1">
      <c r="B27" s="70" t="s">
        <v>21</v>
      </c>
      <c r="M27" s="94"/>
    </row>
    <row r="28" spans="2:33" ht="18" customHeight="1">
      <c r="B28" s="70" t="s">
        <v>22</v>
      </c>
      <c r="M28" s="94"/>
    </row>
    <row r="29" spans="2:33" ht="18" customHeight="1">
      <c r="B29" s="70" t="s">
        <v>23</v>
      </c>
      <c r="M29" s="94"/>
    </row>
    <row r="30" spans="2:33" ht="18" customHeight="1">
      <c r="B30" s="70"/>
      <c r="M30" s="94"/>
    </row>
    <row r="31" spans="2:33" ht="18" customHeight="1">
      <c r="B31" s="71" t="s">
        <v>24</v>
      </c>
      <c r="M31" s="94"/>
    </row>
    <row r="32" spans="2:33" ht="18" customHeight="1">
      <c r="B32" s="70" t="s">
        <v>25</v>
      </c>
      <c r="M32" s="94"/>
    </row>
    <row r="33" spans="2:13">
      <c r="B33" s="96"/>
      <c r="C33" s="35"/>
      <c r="D33" s="35"/>
      <c r="E33" s="97"/>
      <c r="F33" s="35"/>
      <c r="G33" s="98"/>
      <c r="H33" s="99"/>
      <c r="I33" s="98"/>
      <c r="J33" s="98"/>
      <c r="K33" s="98"/>
      <c r="L33" s="98"/>
      <c r="M33" s="100"/>
    </row>
    <row r="35" spans="2:13" s="1" customFormat="1" ht="30" customHeight="1">
      <c r="B35" s="55" t="s">
        <v>26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</row>
    <row r="36" spans="2:13" ht="15" customHeight="1">
      <c r="D36" s="6"/>
      <c r="E36" s="8"/>
      <c r="F36" s="6"/>
      <c r="G36" s="6"/>
      <c r="H36" s="26"/>
      <c r="I36" s="6"/>
      <c r="J36" s="6"/>
      <c r="K36" s="6"/>
      <c r="L36" s="6"/>
      <c r="M36" s="6"/>
    </row>
    <row r="37" spans="2:13" ht="15" customHeight="1">
      <c r="B37" s="29" t="s">
        <v>27</v>
      </c>
    </row>
    <row r="38" spans="2:13" ht="15" customHeight="1" thickBot="1">
      <c r="D38" s="6"/>
      <c r="E38" s="8"/>
      <c r="F38" s="6"/>
      <c r="G38" s="6"/>
      <c r="H38" s="26"/>
      <c r="I38" s="6"/>
      <c r="J38" s="6"/>
      <c r="K38" s="6"/>
      <c r="L38" s="6"/>
      <c r="M38" s="6"/>
    </row>
    <row r="39" spans="2:13" ht="30.75" customHeight="1" thickBot="1">
      <c r="B39" s="59" t="s">
        <v>28</v>
      </c>
      <c r="C39" s="60" t="s">
        <v>29</v>
      </c>
      <c r="D39" s="59" t="s">
        <v>30</v>
      </c>
      <c r="E39" s="59" t="s">
        <v>31</v>
      </c>
      <c r="F39" s="58"/>
      <c r="G39" s="59" t="s">
        <v>32</v>
      </c>
      <c r="H39" s="59"/>
      <c r="I39" s="59"/>
      <c r="J39" s="59"/>
      <c r="K39" s="59"/>
      <c r="L39" s="59"/>
      <c r="M39" s="59"/>
    </row>
    <row r="40" spans="2:13" ht="33.75" customHeight="1">
      <c r="B40" s="10" t="s">
        <v>33</v>
      </c>
      <c r="C40" s="11" t="s">
        <v>34</v>
      </c>
      <c r="D40" s="12">
        <v>20</v>
      </c>
      <c r="E40" s="33">
        <f>MAX(Distances!Q5:AE19)</f>
        <v>1796</v>
      </c>
      <c r="F40" s="37"/>
      <c r="G40" s="121" t="s">
        <v>35</v>
      </c>
      <c r="H40" s="122"/>
      <c r="I40" s="122"/>
      <c r="J40" s="122"/>
      <c r="K40" s="122"/>
      <c r="L40" s="122"/>
      <c r="M40" s="123"/>
    </row>
    <row r="41" spans="2:13" ht="33.950000000000003" customHeight="1">
      <c r="B41" s="10" t="s">
        <v>36</v>
      </c>
      <c r="C41" s="11" t="s">
        <v>34</v>
      </c>
      <c r="D41" s="12">
        <v>30</v>
      </c>
      <c r="E41" s="34" t="s">
        <v>59</v>
      </c>
      <c r="F41" s="37"/>
      <c r="G41" s="118" t="s">
        <v>37</v>
      </c>
      <c r="H41" s="119"/>
      <c r="I41" s="119"/>
      <c r="J41" s="119"/>
      <c r="K41" s="119"/>
      <c r="L41" s="119"/>
      <c r="M41" s="120"/>
    </row>
    <row r="42" spans="2:13" ht="33.950000000000003" customHeight="1">
      <c r="B42" s="10" t="s">
        <v>38</v>
      </c>
      <c r="C42" s="11" t="s">
        <v>34</v>
      </c>
      <c r="D42" s="12">
        <v>50</v>
      </c>
      <c r="E42" s="34">
        <v>10</v>
      </c>
      <c r="F42" s="37"/>
      <c r="G42" s="118" t="s">
        <v>39</v>
      </c>
      <c r="H42" s="119"/>
      <c r="I42" s="119"/>
      <c r="J42" s="119"/>
      <c r="K42" s="119"/>
      <c r="L42" s="119"/>
      <c r="M42" s="120"/>
    </row>
    <row r="43" spans="2:13" ht="33.950000000000003" customHeight="1">
      <c r="B43" s="10" t="s">
        <v>40</v>
      </c>
      <c r="C43" s="11">
        <v>4</v>
      </c>
      <c r="D43" s="12">
        <v>70</v>
      </c>
      <c r="E43" s="34" t="s">
        <v>126</v>
      </c>
      <c r="F43" s="37"/>
      <c r="G43" s="118" t="s">
        <v>41</v>
      </c>
      <c r="H43" s="119"/>
      <c r="I43" s="119"/>
      <c r="J43" s="119"/>
      <c r="K43" s="119"/>
      <c r="L43" s="119"/>
      <c r="M43" s="120"/>
    </row>
    <row r="44" spans="2:13" ht="33.75" customHeight="1">
      <c r="B44" s="10" t="s">
        <v>42</v>
      </c>
      <c r="C44" s="36">
        <v>7</v>
      </c>
      <c r="D44" s="12">
        <v>80</v>
      </c>
      <c r="E44" s="125">
        <f>ROUND(MAX(_xlfn.ANCHORARRAY(S12)),0)</f>
        <v>1677</v>
      </c>
      <c r="F44" s="37"/>
      <c r="G44" s="118" t="s">
        <v>43</v>
      </c>
      <c r="H44" s="119"/>
      <c r="I44" s="119"/>
      <c r="J44" s="119"/>
      <c r="K44" s="119"/>
      <c r="L44" s="119"/>
      <c r="M44" s="120"/>
    </row>
    <row r="45" spans="2:13" ht="15" customHeight="1">
      <c r="B45" s="3"/>
      <c r="C45" s="3"/>
      <c r="D45" s="3"/>
      <c r="E45" s="4"/>
    </row>
    <row r="46" spans="2:13" ht="30" customHeight="1">
      <c r="B46" s="55" t="s">
        <v>44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</row>
    <row r="47" spans="2:13" ht="20.25" customHeight="1" thickBot="1">
      <c r="B47" s="13"/>
      <c r="C47" s="13"/>
      <c r="D47" s="13"/>
      <c r="E47" s="14"/>
      <c r="F47" s="13"/>
      <c r="G47" s="13"/>
      <c r="H47" s="27"/>
      <c r="I47" s="13"/>
      <c r="J47" s="13"/>
      <c r="K47" s="13"/>
      <c r="L47" s="13"/>
      <c r="M47" s="13"/>
    </row>
    <row r="48" spans="2:13" ht="22.5" customHeight="1" thickBot="1">
      <c r="B48" s="61" t="s">
        <v>45</v>
      </c>
      <c r="C48" s="2" t="s">
        <v>46</v>
      </c>
      <c r="D48" s="44"/>
      <c r="M48"/>
    </row>
    <row r="50" spans="2:17" ht="15" customHeight="1">
      <c r="B50" s="40" t="s">
        <v>47</v>
      </c>
      <c r="M50"/>
    </row>
    <row r="51" spans="2:17" ht="15" customHeight="1">
      <c r="B51" s="39" t="s">
        <v>48</v>
      </c>
      <c r="M51"/>
    </row>
    <row r="52" spans="2:17" ht="15" customHeight="1">
      <c r="B52" s="41"/>
      <c r="C52" s="30"/>
      <c r="M52"/>
    </row>
    <row r="53" spans="2:17" ht="15" customHeight="1">
      <c r="B53" s="40" t="s">
        <v>49</v>
      </c>
      <c r="C53" s="30"/>
    </row>
    <row r="54" spans="2:17" ht="15" customHeight="1">
      <c r="B54" s="42"/>
      <c r="G54" s="16"/>
      <c r="H54" s="28"/>
    </row>
    <row r="55" spans="2:17" ht="15" customHeight="1">
      <c r="B55" s="28" t="s">
        <v>50</v>
      </c>
      <c r="G55" s="16"/>
      <c r="H55" s="28"/>
    </row>
    <row r="56" spans="2:17" ht="15" customHeight="1">
      <c r="B56" s="39" t="s">
        <v>51</v>
      </c>
      <c r="G56" s="16"/>
      <c r="H56" s="28"/>
    </row>
    <row r="57" spans="2:17" ht="15" customHeight="1">
      <c r="B57" s="39" t="s">
        <v>52</v>
      </c>
      <c r="G57" s="16"/>
      <c r="H57" s="28"/>
    </row>
    <row r="58" spans="2:17" ht="15" customHeight="1">
      <c r="B58" s="39" t="s">
        <v>53</v>
      </c>
      <c r="G58" s="16"/>
      <c r="H58" s="28"/>
    </row>
    <row r="59" spans="2:17" ht="15" customHeight="1" thickBot="1">
      <c r="B59" s="31"/>
      <c r="G59" s="16"/>
      <c r="H59" s="28"/>
    </row>
    <row r="60" spans="2:17" ht="15" customHeight="1" thickBot="1">
      <c r="B60" s="31"/>
      <c r="G60" s="16"/>
      <c r="H60" s="59" t="s">
        <v>54</v>
      </c>
    </row>
    <row r="61" spans="2:17" ht="22.5" customHeight="1" thickBot="1">
      <c r="B61" s="59" t="s">
        <v>28</v>
      </c>
      <c r="C61" s="60" t="s">
        <v>55</v>
      </c>
      <c r="D61" s="59" t="s">
        <v>30</v>
      </c>
      <c r="E61" s="59" t="s">
        <v>56</v>
      </c>
      <c r="G61" s="59" t="s">
        <v>57</v>
      </c>
      <c r="H61" s="59" t="s">
        <v>58</v>
      </c>
      <c r="I61" s="59" t="s">
        <v>59</v>
      </c>
      <c r="J61" s="59" t="s">
        <v>60</v>
      </c>
      <c r="K61" s="59" t="s">
        <v>61</v>
      </c>
      <c r="L61" s="59" t="s">
        <v>62</v>
      </c>
      <c r="M61" s="59" t="s">
        <v>63</v>
      </c>
      <c r="N61" s="59" t="s">
        <v>64</v>
      </c>
      <c r="O61" s="59" t="s">
        <v>65</v>
      </c>
      <c r="P61" s="59" t="s">
        <v>66</v>
      </c>
      <c r="Q61" s="59" t="s">
        <v>67</v>
      </c>
    </row>
    <row r="62" spans="2:17" ht="15" customHeight="1">
      <c r="B62" s="3"/>
      <c r="C62" s="3"/>
      <c r="D62" s="3"/>
      <c r="E62" s="4"/>
      <c r="H62" s="3"/>
    </row>
    <row r="63" spans="2:17" ht="22.5" customHeight="1">
      <c r="B63" s="10" t="s">
        <v>68</v>
      </c>
      <c r="C63" s="11">
        <v>1</v>
      </c>
      <c r="D63" s="12">
        <v>0</v>
      </c>
      <c r="E63" s="34">
        <v>9</v>
      </c>
      <c r="F63" s="38"/>
      <c r="G63" s="17" t="s">
        <v>69</v>
      </c>
      <c r="H63" s="17">
        <v>5</v>
      </c>
      <c r="I63" s="17">
        <v>9</v>
      </c>
      <c r="J63" s="17">
        <v>4</v>
      </c>
      <c r="K63" s="17">
        <v>6</v>
      </c>
      <c r="L63" s="17">
        <v>6</v>
      </c>
      <c r="M63" s="17">
        <v>3</v>
      </c>
      <c r="N63" s="17">
        <v>4</v>
      </c>
      <c r="O63" s="17">
        <v>4</v>
      </c>
      <c r="P63" s="17">
        <v>5</v>
      </c>
      <c r="Q63" s="17">
        <v>8</v>
      </c>
    </row>
    <row r="65" spans="2:17" ht="22.5" customHeight="1">
      <c r="B65" s="11">
        <v>1</v>
      </c>
      <c r="C65" s="11">
        <v>1</v>
      </c>
      <c r="D65" s="18">
        <v>5</v>
      </c>
      <c r="E65" s="34">
        <f>MAX(H65:Q65)</f>
        <v>9</v>
      </c>
      <c r="F65" s="38"/>
      <c r="G65" s="17" t="s">
        <v>70</v>
      </c>
      <c r="H65" s="17">
        <v>5</v>
      </c>
      <c r="I65" s="17">
        <v>9</v>
      </c>
      <c r="J65" s="17">
        <v>4</v>
      </c>
      <c r="K65" s="17">
        <v>6</v>
      </c>
      <c r="L65" s="17">
        <v>6</v>
      </c>
      <c r="M65" s="17">
        <v>3</v>
      </c>
      <c r="N65" s="17">
        <v>4</v>
      </c>
      <c r="O65" s="17">
        <v>4</v>
      </c>
      <c r="P65" s="17">
        <v>5</v>
      </c>
      <c r="Q65" s="17">
        <v>8</v>
      </c>
    </row>
    <row r="66" spans="2:17" ht="22.5" customHeight="1">
      <c r="B66" s="11">
        <v>2</v>
      </c>
      <c r="C66" s="11">
        <v>1</v>
      </c>
      <c r="D66" s="18">
        <v>5</v>
      </c>
      <c r="E66" s="34">
        <f t="shared" ref="E66:E74" si="0">MAX(H66:Q66)</f>
        <v>8</v>
      </c>
      <c r="F66" s="38"/>
      <c r="G66" s="17" t="s">
        <v>71</v>
      </c>
      <c r="H66" s="17">
        <v>6</v>
      </c>
      <c r="I66" s="17">
        <v>6</v>
      </c>
      <c r="J66" s="17">
        <v>3</v>
      </c>
      <c r="K66" s="17">
        <v>5</v>
      </c>
      <c r="L66" s="17">
        <v>3</v>
      </c>
      <c r="M66" s="17">
        <v>7</v>
      </c>
      <c r="N66" s="17">
        <v>5</v>
      </c>
      <c r="O66" s="17">
        <v>8</v>
      </c>
      <c r="P66" s="17">
        <v>5</v>
      </c>
      <c r="Q66" s="17">
        <v>1</v>
      </c>
    </row>
    <row r="67" spans="2:17" ht="22.5" customHeight="1">
      <c r="B67" s="11">
        <v>3</v>
      </c>
      <c r="C67" s="11">
        <v>1</v>
      </c>
      <c r="D67" s="18">
        <v>5</v>
      </c>
      <c r="E67" s="34">
        <f t="shared" si="0"/>
        <v>10</v>
      </c>
      <c r="F67" s="38"/>
      <c r="G67" s="17" t="s">
        <v>72</v>
      </c>
      <c r="H67" s="17">
        <v>3</v>
      </c>
      <c r="I67" s="17">
        <v>10</v>
      </c>
      <c r="J67" s="17">
        <v>4</v>
      </c>
      <c r="K67" s="17">
        <v>4</v>
      </c>
      <c r="L67" s="17">
        <v>6</v>
      </c>
      <c r="M67" s="17">
        <v>8</v>
      </c>
      <c r="N67" s="17">
        <v>4</v>
      </c>
      <c r="O67" s="17">
        <v>5</v>
      </c>
      <c r="P67" s="17">
        <v>5</v>
      </c>
      <c r="Q67" s="17">
        <v>3</v>
      </c>
    </row>
    <row r="68" spans="2:17" ht="22.5" customHeight="1">
      <c r="B68" s="11">
        <v>4</v>
      </c>
      <c r="C68" s="11">
        <v>1</v>
      </c>
      <c r="D68" s="18">
        <v>5</v>
      </c>
      <c r="E68" s="34">
        <f t="shared" si="0"/>
        <v>7</v>
      </c>
      <c r="F68" s="38"/>
      <c r="G68" s="17" t="s">
        <v>73</v>
      </c>
      <c r="H68" s="17">
        <v>5</v>
      </c>
      <c r="I68" s="17">
        <v>7</v>
      </c>
      <c r="J68" s="17">
        <v>4</v>
      </c>
      <c r="K68" s="17">
        <v>5</v>
      </c>
      <c r="L68" s="17">
        <v>6</v>
      </c>
      <c r="M68" s="17">
        <v>5</v>
      </c>
      <c r="N68" s="17">
        <v>5</v>
      </c>
      <c r="O68" s="17">
        <v>4</v>
      </c>
      <c r="P68" s="17">
        <v>6</v>
      </c>
      <c r="Q68" s="17">
        <v>7</v>
      </c>
    </row>
    <row r="69" spans="2:17" ht="22.5" customHeight="1">
      <c r="B69" s="11">
        <v>5</v>
      </c>
      <c r="C69" s="11">
        <v>1</v>
      </c>
      <c r="D69" s="18">
        <v>5</v>
      </c>
      <c r="E69" s="34">
        <f t="shared" si="0"/>
        <v>10</v>
      </c>
      <c r="F69" s="38"/>
      <c r="G69" s="17" t="s">
        <v>74</v>
      </c>
      <c r="H69" s="17">
        <v>10</v>
      </c>
      <c r="I69" s="17">
        <v>4</v>
      </c>
      <c r="J69" s="17">
        <v>10</v>
      </c>
      <c r="K69" s="17">
        <v>4</v>
      </c>
      <c r="L69" s="17">
        <v>3</v>
      </c>
      <c r="M69" s="17">
        <v>3</v>
      </c>
      <c r="N69" s="17">
        <v>4</v>
      </c>
      <c r="O69" s="17">
        <v>5</v>
      </c>
      <c r="P69" s="17">
        <v>5</v>
      </c>
      <c r="Q69" s="17">
        <v>5</v>
      </c>
    </row>
    <row r="70" spans="2:17" ht="22.5" customHeight="1">
      <c r="B70" s="11">
        <v>6</v>
      </c>
      <c r="C70" s="11">
        <v>1</v>
      </c>
      <c r="D70" s="18">
        <v>5</v>
      </c>
      <c r="E70" s="34">
        <f t="shared" si="0"/>
        <v>10</v>
      </c>
      <c r="F70" s="38"/>
      <c r="G70" s="17" t="s">
        <v>75</v>
      </c>
      <c r="H70" s="17">
        <v>4</v>
      </c>
      <c r="I70" s="17">
        <v>9</v>
      </c>
      <c r="J70" s="17">
        <v>5</v>
      </c>
      <c r="K70" s="17">
        <v>8</v>
      </c>
      <c r="L70" s="17">
        <v>6</v>
      </c>
      <c r="M70" s="17">
        <v>3</v>
      </c>
      <c r="N70" s="17">
        <v>10</v>
      </c>
      <c r="O70" s="17">
        <v>3</v>
      </c>
      <c r="P70" s="17">
        <v>4</v>
      </c>
      <c r="Q70" s="17">
        <v>6</v>
      </c>
    </row>
    <row r="71" spans="2:17" ht="22.5" customHeight="1">
      <c r="B71" s="11">
        <v>7</v>
      </c>
      <c r="C71" s="11">
        <v>1</v>
      </c>
      <c r="D71" s="18">
        <v>5</v>
      </c>
      <c r="E71" s="34">
        <f t="shared" si="0"/>
        <v>8</v>
      </c>
      <c r="F71" s="38"/>
      <c r="G71" s="17" t="s">
        <v>76</v>
      </c>
      <c r="H71" s="17">
        <v>5</v>
      </c>
      <c r="I71" s="17">
        <v>5</v>
      </c>
      <c r="J71" s="17">
        <v>5</v>
      </c>
      <c r="K71" s="17">
        <v>8</v>
      </c>
      <c r="L71" s="17">
        <v>6</v>
      </c>
      <c r="M71" s="17">
        <v>4</v>
      </c>
      <c r="N71" s="17">
        <v>5</v>
      </c>
      <c r="O71" s="17">
        <v>4</v>
      </c>
      <c r="P71" s="17">
        <v>5</v>
      </c>
      <c r="Q71" s="17">
        <v>8</v>
      </c>
    </row>
    <row r="72" spans="2:17" ht="22.5" customHeight="1">
      <c r="B72" s="11">
        <v>8</v>
      </c>
      <c r="C72" s="11">
        <v>1</v>
      </c>
      <c r="D72" s="18">
        <v>5</v>
      </c>
      <c r="E72" s="34">
        <f t="shared" si="0"/>
        <v>10</v>
      </c>
      <c r="F72" s="38"/>
      <c r="G72" s="17" t="s">
        <v>77</v>
      </c>
      <c r="H72" s="17">
        <v>8</v>
      </c>
      <c r="I72" s="17">
        <v>8</v>
      </c>
      <c r="J72" s="17">
        <v>5</v>
      </c>
      <c r="K72" s="17">
        <v>6</v>
      </c>
      <c r="L72" s="17">
        <v>5</v>
      </c>
      <c r="M72" s="17">
        <v>2</v>
      </c>
      <c r="N72" s="17">
        <v>5</v>
      </c>
      <c r="O72" s="17">
        <v>3</v>
      </c>
      <c r="P72" s="17">
        <v>10</v>
      </c>
      <c r="Q72" s="17">
        <v>4</v>
      </c>
    </row>
    <row r="73" spans="2:17" ht="22.5" customHeight="1">
      <c r="B73" s="11">
        <v>9</v>
      </c>
      <c r="C73" s="11">
        <v>1</v>
      </c>
      <c r="D73" s="18">
        <v>5</v>
      </c>
      <c r="E73" s="34">
        <f t="shared" si="0"/>
        <v>9</v>
      </c>
      <c r="F73" s="38"/>
      <c r="G73" s="17" t="s">
        <v>78</v>
      </c>
      <c r="H73" s="17">
        <v>4</v>
      </c>
      <c r="I73" s="17">
        <v>8</v>
      </c>
      <c r="J73" s="17">
        <v>6</v>
      </c>
      <c r="K73" s="17">
        <v>5</v>
      </c>
      <c r="L73" s="17">
        <v>3</v>
      </c>
      <c r="M73" s="17">
        <v>4</v>
      </c>
      <c r="N73" s="17">
        <v>4</v>
      </c>
      <c r="O73" s="17">
        <v>3</v>
      </c>
      <c r="P73" s="17">
        <v>6</v>
      </c>
      <c r="Q73" s="17">
        <v>9</v>
      </c>
    </row>
    <row r="74" spans="2:17" ht="22.5" customHeight="1">
      <c r="B74" s="11">
        <v>10</v>
      </c>
      <c r="C74" s="11">
        <v>1</v>
      </c>
      <c r="D74" s="18">
        <v>5</v>
      </c>
      <c r="E74" s="34">
        <f t="shared" si="0"/>
        <v>7</v>
      </c>
      <c r="F74" s="38"/>
      <c r="G74" s="17" t="s">
        <v>79</v>
      </c>
      <c r="H74" s="17">
        <v>6</v>
      </c>
      <c r="I74" s="17">
        <v>5</v>
      </c>
      <c r="J74" s="17">
        <v>5</v>
      </c>
      <c r="K74" s="17">
        <v>4</v>
      </c>
      <c r="L74" s="17">
        <v>3</v>
      </c>
      <c r="M74" s="17">
        <v>7</v>
      </c>
      <c r="N74" s="17">
        <v>7</v>
      </c>
      <c r="O74" s="17">
        <v>5</v>
      </c>
      <c r="P74" s="17">
        <v>3</v>
      </c>
      <c r="Q74" s="17">
        <v>5</v>
      </c>
    </row>
    <row r="75" spans="2:17" ht="15" customHeight="1">
      <c r="B75" s="31"/>
      <c r="G75" s="16"/>
      <c r="H75" s="28"/>
    </row>
    <row r="76" spans="2:17" ht="15" customHeight="1" thickBot="1">
      <c r="B76" s="31"/>
      <c r="G76" s="16"/>
      <c r="H76" s="28"/>
    </row>
    <row r="77" spans="2:17" ht="22.5" customHeight="1" thickBot="1">
      <c r="B77" s="61" t="s">
        <v>80</v>
      </c>
      <c r="C77" s="2" t="s">
        <v>46</v>
      </c>
      <c r="D77" s="44"/>
      <c r="M77"/>
    </row>
    <row r="78" spans="2:17" ht="15" customHeight="1">
      <c r="M78"/>
    </row>
    <row r="79" spans="2:17" ht="15" customHeight="1">
      <c r="B79" s="40" t="s">
        <v>81</v>
      </c>
      <c r="M79"/>
    </row>
    <row r="80" spans="2:17" ht="15" customHeight="1">
      <c r="B80" s="23" t="s">
        <v>82</v>
      </c>
      <c r="M80"/>
    </row>
    <row r="81" spans="2:17" ht="15" customHeight="1">
      <c r="B81" s="39" t="s">
        <v>83</v>
      </c>
      <c r="M81"/>
    </row>
    <row r="82" spans="2:17" ht="15" customHeight="1">
      <c r="B82" s="57" t="s">
        <v>84</v>
      </c>
      <c r="M82"/>
    </row>
    <row r="83" spans="2:17" ht="15" customHeight="1">
      <c r="B83" s="41"/>
      <c r="C83" s="30"/>
      <c r="M83"/>
    </row>
    <row r="84" spans="2:17" ht="15" customHeight="1">
      <c r="B84" s="40" t="s">
        <v>85</v>
      </c>
      <c r="C84" s="30"/>
    </row>
    <row r="85" spans="2:17" ht="15" customHeight="1">
      <c r="B85" s="42" t="s">
        <v>86</v>
      </c>
      <c r="C85" s="30"/>
    </row>
    <row r="86" spans="2:17" ht="15" customHeight="1">
      <c r="B86" s="42"/>
      <c r="G86" s="16"/>
      <c r="H86" s="28"/>
    </row>
    <row r="87" spans="2:17" ht="15" customHeight="1">
      <c r="B87" s="28" t="s">
        <v>50</v>
      </c>
      <c r="G87" s="16"/>
      <c r="H87" s="28"/>
    </row>
    <row r="88" spans="2:17" ht="15" customHeight="1">
      <c r="B88" s="39" t="s">
        <v>87</v>
      </c>
      <c r="G88" s="16"/>
      <c r="H88" s="28"/>
    </row>
    <row r="89" spans="2:17" ht="15" customHeight="1">
      <c r="B89" s="39" t="s">
        <v>88</v>
      </c>
      <c r="G89" s="16"/>
      <c r="H89" s="28"/>
    </row>
    <row r="90" spans="2:17" ht="15" customHeight="1">
      <c r="B90" s="39" t="s">
        <v>89</v>
      </c>
      <c r="G90" s="16"/>
      <c r="H90" s="28"/>
    </row>
    <row r="91" spans="2:17" ht="15" customHeight="1" thickBot="1">
      <c r="B91" s="31"/>
      <c r="G91" s="16"/>
      <c r="H91" s="28"/>
    </row>
    <row r="92" spans="2:17" ht="22.5" customHeight="1" thickBot="1">
      <c r="B92" s="31"/>
      <c r="G92" s="16"/>
      <c r="H92" s="59" t="s">
        <v>90</v>
      </c>
      <c r="I92" s="59"/>
      <c r="J92" s="59"/>
      <c r="K92" s="59"/>
      <c r="L92" s="59"/>
      <c r="M92" s="59"/>
      <c r="N92" s="59"/>
      <c r="O92" s="59"/>
      <c r="P92" s="59"/>
      <c r="Q92" s="59"/>
    </row>
    <row r="93" spans="2:17" ht="22.5" customHeight="1" thickBot="1">
      <c r="B93" s="59" t="s">
        <v>28</v>
      </c>
      <c r="C93" s="60" t="s">
        <v>55</v>
      </c>
      <c r="D93" s="59" t="s">
        <v>30</v>
      </c>
      <c r="E93" s="59" t="s">
        <v>56</v>
      </c>
      <c r="G93" s="59" t="s">
        <v>91</v>
      </c>
      <c r="H93" s="59" t="s">
        <v>69</v>
      </c>
      <c r="I93" s="59" t="s">
        <v>70</v>
      </c>
      <c r="J93" s="59" t="s">
        <v>71</v>
      </c>
      <c r="K93" s="59" t="s">
        <v>72</v>
      </c>
      <c r="L93" s="59" t="s">
        <v>73</v>
      </c>
      <c r="M93" s="59" t="s">
        <v>74</v>
      </c>
      <c r="N93" s="59" t="s">
        <v>75</v>
      </c>
      <c r="O93" s="59" t="s">
        <v>76</v>
      </c>
      <c r="P93" s="59" t="s">
        <v>77</v>
      </c>
      <c r="Q93" s="59" t="s">
        <v>78</v>
      </c>
    </row>
    <row r="94" spans="2:17" ht="15" customHeight="1">
      <c r="B94" s="3"/>
      <c r="C94" s="3"/>
      <c r="D94" s="3"/>
      <c r="E94" s="4"/>
      <c r="H94" s="3"/>
    </row>
    <row r="95" spans="2:17" ht="22.5" customHeight="1">
      <c r="B95" s="10" t="s">
        <v>92</v>
      </c>
      <c r="C95" s="11">
        <v>2</v>
      </c>
      <c r="D95" s="12">
        <v>0</v>
      </c>
      <c r="E95" s="45">
        <v>343</v>
      </c>
      <c r="F95" s="38"/>
      <c r="G95" s="17" t="s">
        <v>69</v>
      </c>
      <c r="H95" s="17">
        <v>0</v>
      </c>
      <c r="I95" s="17">
        <v>170</v>
      </c>
      <c r="J95" s="17">
        <v>376</v>
      </c>
      <c r="K95" s="17">
        <v>297</v>
      </c>
      <c r="L95" s="17">
        <v>404</v>
      </c>
      <c r="M95" s="17">
        <v>675</v>
      </c>
      <c r="N95" s="17">
        <v>539</v>
      </c>
      <c r="O95" s="17">
        <v>593</v>
      </c>
      <c r="P95" s="17">
        <v>698</v>
      </c>
      <c r="Q95" s="17">
        <v>819</v>
      </c>
    </row>
    <row r="97" spans="2:17" ht="22.5" customHeight="1">
      <c r="B97" s="11">
        <v>11</v>
      </c>
      <c r="C97" s="11">
        <v>2</v>
      </c>
      <c r="D97" s="18">
        <v>5</v>
      </c>
      <c r="E97" s="45" cm="1">
        <f t="array" ref="E97">ROUND(AVERAGE(H97:Q97 / 80 * 60), 0)</f>
        <v>241</v>
      </c>
      <c r="F97" s="38"/>
      <c r="G97" s="17" t="s">
        <v>70</v>
      </c>
      <c r="H97" s="17">
        <v>170</v>
      </c>
      <c r="I97" s="17">
        <v>0</v>
      </c>
      <c r="J97" s="17">
        <v>206</v>
      </c>
      <c r="K97" s="17">
        <v>125</v>
      </c>
      <c r="L97" s="17">
        <v>234</v>
      </c>
      <c r="M97" s="17">
        <v>504</v>
      </c>
      <c r="N97" s="17">
        <v>369</v>
      </c>
      <c r="O97" s="17">
        <v>423</v>
      </c>
      <c r="P97" s="17">
        <v>528</v>
      </c>
      <c r="Q97" s="17">
        <v>660</v>
      </c>
    </row>
    <row r="98" spans="2:17" ht="22.5" customHeight="1">
      <c r="B98" s="11">
        <v>12</v>
      </c>
      <c r="C98" s="11">
        <v>2</v>
      </c>
      <c r="D98" s="18">
        <v>5</v>
      </c>
      <c r="E98" s="45" cm="1">
        <f t="array" ref="E98">ROUND(AVERAGE(H98:Q98 / 80 * 60), 0)</f>
        <v>191</v>
      </c>
      <c r="F98" s="38"/>
      <c r="G98" s="17" t="s">
        <v>71</v>
      </c>
      <c r="H98" s="17">
        <v>376</v>
      </c>
      <c r="I98" s="17">
        <v>206</v>
      </c>
      <c r="J98" s="17">
        <v>0</v>
      </c>
      <c r="K98" s="17">
        <v>106</v>
      </c>
      <c r="L98" s="17">
        <v>64</v>
      </c>
      <c r="M98" s="17">
        <v>276</v>
      </c>
      <c r="N98" s="17">
        <v>309</v>
      </c>
      <c r="O98" s="17">
        <v>280</v>
      </c>
      <c r="P98" s="17">
        <v>397</v>
      </c>
      <c r="Q98" s="17">
        <v>526</v>
      </c>
    </row>
    <row r="99" spans="2:17" ht="22.5" customHeight="1">
      <c r="B99" s="11">
        <v>13</v>
      </c>
      <c r="C99" s="11">
        <v>2</v>
      </c>
      <c r="D99" s="18">
        <v>5</v>
      </c>
      <c r="E99" s="45" cm="1">
        <f t="array" ref="E99">ROUND(AVERAGE(H99:Q99 / 80 * 60), 0)</f>
        <v>185</v>
      </c>
      <c r="F99" s="38"/>
      <c r="G99" s="17" t="s">
        <v>72</v>
      </c>
      <c r="H99" s="17">
        <v>297</v>
      </c>
      <c r="I99" s="17">
        <v>125</v>
      </c>
      <c r="J99" s="17">
        <v>106</v>
      </c>
      <c r="K99" s="17">
        <v>0</v>
      </c>
      <c r="L99" s="17">
        <v>107</v>
      </c>
      <c r="M99" s="17">
        <v>376</v>
      </c>
      <c r="N99" s="17">
        <v>240</v>
      </c>
      <c r="O99" s="17">
        <v>301</v>
      </c>
      <c r="P99" s="17">
        <v>392</v>
      </c>
      <c r="Q99" s="17">
        <v>520</v>
      </c>
    </row>
    <row r="100" spans="2:17" ht="22.5" customHeight="1">
      <c r="B100" s="11">
        <v>14</v>
      </c>
      <c r="C100" s="11">
        <v>2</v>
      </c>
      <c r="D100" s="18">
        <v>5</v>
      </c>
      <c r="E100" s="45" cm="1">
        <f t="array" ref="E100">ROUND(AVERAGE(H100:Q100 / 80 * 60), 0)</f>
        <v>178</v>
      </c>
      <c r="F100" s="38"/>
      <c r="G100" s="17" t="s">
        <v>73</v>
      </c>
      <c r="H100" s="17">
        <v>404</v>
      </c>
      <c r="I100" s="17">
        <v>234</v>
      </c>
      <c r="J100" s="17">
        <v>64</v>
      </c>
      <c r="K100" s="17">
        <v>107</v>
      </c>
      <c r="L100" s="17">
        <v>0</v>
      </c>
      <c r="M100" s="17">
        <v>274</v>
      </c>
      <c r="N100" s="17">
        <v>294</v>
      </c>
      <c r="O100" s="17">
        <v>220</v>
      </c>
      <c r="P100" s="17">
        <v>324</v>
      </c>
      <c r="Q100" s="17">
        <v>453</v>
      </c>
    </row>
    <row r="101" spans="2:17" ht="22.5" customHeight="1">
      <c r="B101" s="11">
        <v>15</v>
      </c>
      <c r="C101" s="11">
        <v>2</v>
      </c>
      <c r="D101" s="18">
        <v>5</v>
      </c>
      <c r="E101" s="45" cm="1">
        <f t="array" ref="E101">ROUND(AVERAGE(H101:Q101 / 80 * 60), 0)</f>
        <v>286</v>
      </c>
      <c r="F101" s="38"/>
      <c r="G101" s="17" t="s">
        <v>74</v>
      </c>
      <c r="H101" s="17">
        <v>675</v>
      </c>
      <c r="I101" s="17">
        <v>504</v>
      </c>
      <c r="J101" s="17">
        <v>276</v>
      </c>
      <c r="K101" s="17">
        <v>376</v>
      </c>
      <c r="L101" s="17">
        <v>274</v>
      </c>
      <c r="M101" s="17">
        <v>0</v>
      </c>
      <c r="N101" s="17">
        <v>564</v>
      </c>
      <c r="O101" s="17">
        <v>215</v>
      </c>
      <c r="P101" s="17">
        <v>392</v>
      </c>
      <c r="Q101" s="17">
        <v>533</v>
      </c>
    </row>
    <row r="102" spans="2:17" ht="22.5" customHeight="1">
      <c r="B102" s="11">
        <v>16</v>
      </c>
      <c r="C102" s="11">
        <v>2</v>
      </c>
      <c r="D102" s="18">
        <v>5</v>
      </c>
      <c r="E102" s="45" cm="1">
        <f t="array" ref="E102">ROUND(AVERAGE(H102:Q102 / 80 * 60), 0)</f>
        <v>248</v>
      </c>
      <c r="F102" s="38"/>
      <c r="G102" s="17" t="s">
        <v>75</v>
      </c>
      <c r="H102" s="17">
        <v>539</v>
      </c>
      <c r="I102" s="17">
        <v>369</v>
      </c>
      <c r="J102" s="17">
        <v>309</v>
      </c>
      <c r="K102" s="17">
        <v>240</v>
      </c>
      <c r="L102" s="17">
        <v>294</v>
      </c>
      <c r="M102" s="17">
        <v>564</v>
      </c>
      <c r="N102" s="17">
        <v>0</v>
      </c>
      <c r="O102" s="17">
        <v>413</v>
      </c>
      <c r="P102" s="17">
        <v>232</v>
      </c>
      <c r="Q102" s="17">
        <v>353</v>
      </c>
    </row>
    <row r="103" spans="2:17" ht="22.5" customHeight="1">
      <c r="B103" s="11">
        <v>17</v>
      </c>
      <c r="C103" s="11">
        <v>2</v>
      </c>
      <c r="D103" s="18">
        <v>5</v>
      </c>
      <c r="E103" s="45" cm="1">
        <f t="array" ref="E103">ROUND(AVERAGE(H103:Q103 / 80 * 60), 0)</f>
        <v>221</v>
      </c>
      <c r="F103" s="38"/>
      <c r="G103" s="17" t="s">
        <v>76</v>
      </c>
      <c r="H103" s="17">
        <v>593</v>
      </c>
      <c r="I103" s="17">
        <v>423</v>
      </c>
      <c r="J103" s="17">
        <v>280</v>
      </c>
      <c r="K103" s="17">
        <v>301</v>
      </c>
      <c r="L103" s="17">
        <v>220</v>
      </c>
      <c r="M103" s="17">
        <v>215</v>
      </c>
      <c r="N103" s="17">
        <v>413</v>
      </c>
      <c r="O103" s="17">
        <v>0</v>
      </c>
      <c r="P103" s="17">
        <v>183</v>
      </c>
      <c r="Q103" s="17">
        <v>323</v>
      </c>
    </row>
    <row r="104" spans="2:17" ht="22.5" customHeight="1">
      <c r="B104" s="11">
        <v>18</v>
      </c>
      <c r="C104" s="11">
        <v>2</v>
      </c>
      <c r="D104" s="18">
        <v>5</v>
      </c>
      <c r="E104" s="45" cm="1">
        <f t="array" ref="E104">ROUND(AVERAGE(H104:Q104 / 80 * 60), 0)</f>
        <v>247</v>
      </c>
      <c r="F104" s="38"/>
      <c r="G104" s="17" t="s">
        <v>77</v>
      </c>
      <c r="H104" s="17">
        <v>698</v>
      </c>
      <c r="I104" s="17">
        <v>528</v>
      </c>
      <c r="J104" s="17">
        <v>397</v>
      </c>
      <c r="K104" s="17">
        <v>392</v>
      </c>
      <c r="L104" s="17">
        <v>324</v>
      </c>
      <c r="M104" s="17">
        <v>392</v>
      </c>
      <c r="N104" s="17">
        <v>232</v>
      </c>
      <c r="O104" s="17">
        <v>183</v>
      </c>
      <c r="P104" s="17">
        <v>0</v>
      </c>
      <c r="Q104" s="17">
        <v>142</v>
      </c>
    </row>
    <row r="105" spans="2:17" ht="22.5" customHeight="1">
      <c r="B105" s="11">
        <v>19</v>
      </c>
      <c r="C105" s="11">
        <v>2</v>
      </c>
      <c r="D105" s="18">
        <v>5</v>
      </c>
      <c r="E105" s="45" cm="1">
        <f t="array" ref="E105">ROUND(AVERAGE(H105:Q105 / 80 * 60), 0)</f>
        <v>325</v>
      </c>
      <c r="F105" s="38"/>
      <c r="G105" s="17" t="s">
        <v>78</v>
      </c>
      <c r="H105" s="17">
        <v>819</v>
      </c>
      <c r="I105" s="17">
        <v>660</v>
      </c>
      <c r="J105" s="17">
        <v>526</v>
      </c>
      <c r="K105" s="17">
        <v>520</v>
      </c>
      <c r="L105" s="17">
        <v>453</v>
      </c>
      <c r="M105" s="17">
        <v>533</v>
      </c>
      <c r="N105" s="17">
        <v>353</v>
      </c>
      <c r="O105" s="17">
        <v>323</v>
      </c>
      <c r="P105" s="17">
        <v>142</v>
      </c>
      <c r="Q105" s="17">
        <v>0</v>
      </c>
    </row>
    <row r="106" spans="2:17" ht="22.5" customHeight="1">
      <c r="B106" s="11">
        <v>20</v>
      </c>
      <c r="C106" s="11">
        <v>2</v>
      </c>
      <c r="D106" s="18">
        <v>5</v>
      </c>
      <c r="E106" s="45" cm="1">
        <f t="array" ref="E106">ROUND(AVERAGE(H106:Q106 / 80 * 60), 0)</f>
        <v>474</v>
      </c>
      <c r="F106" s="38"/>
      <c r="G106" s="17" t="s">
        <v>79</v>
      </c>
      <c r="H106" s="17">
        <v>1008</v>
      </c>
      <c r="I106" s="17">
        <v>845</v>
      </c>
      <c r="J106" s="17">
        <v>728</v>
      </c>
      <c r="K106" s="17">
        <v>721</v>
      </c>
      <c r="L106" s="17">
        <v>655</v>
      </c>
      <c r="M106" s="17">
        <v>735</v>
      </c>
      <c r="N106" s="17">
        <v>555</v>
      </c>
      <c r="O106" s="17">
        <v>525</v>
      </c>
      <c r="P106" s="17">
        <v>344</v>
      </c>
      <c r="Q106" s="17">
        <v>207</v>
      </c>
    </row>
    <row r="107" spans="2:17" ht="15" customHeight="1">
      <c r="B107" s="31"/>
      <c r="G107"/>
      <c r="H107"/>
      <c r="I107"/>
      <c r="J107"/>
      <c r="K107"/>
      <c r="L107"/>
      <c r="M107"/>
      <c r="N107"/>
      <c r="O107"/>
      <c r="P107"/>
      <c r="Q107"/>
    </row>
    <row r="108" spans="2:17" ht="15" customHeight="1" thickBot="1">
      <c r="B108" s="31"/>
      <c r="G108" s="16"/>
      <c r="H108"/>
      <c r="I108"/>
      <c r="J108"/>
      <c r="K108"/>
      <c r="L108"/>
      <c r="M108"/>
      <c r="N108"/>
      <c r="O108"/>
      <c r="P108"/>
      <c r="Q108"/>
    </row>
    <row r="109" spans="2:17" customFormat="1" ht="22.5" customHeight="1" thickBot="1">
      <c r="B109" s="62" t="s">
        <v>93</v>
      </c>
      <c r="C109" s="63" t="s">
        <v>94</v>
      </c>
    </row>
    <row r="110" spans="2:17" ht="15" customHeight="1">
      <c r="G110" s="16"/>
      <c r="H110" s="28"/>
    </row>
    <row r="111" spans="2:17" ht="15" customHeight="1">
      <c r="B111" s="40" t="s">
        <v>95</v>
      </c>
      <c r="G111" s="16"/>
      <c r="H111" s="28"/>
    </row>
    <row r="112" spans="2:17" ht="15" customHeight="1">
      <c r="B112" s="39" t="s">
        <v>96</v>
      </c>
      <c r="G112" s="16"/>
      <c r="H112" s="28"/>
    </row>
    <row r="114" spans="2:8" ht="15" customHeight="1">
      <c r="B114" s="42" t="s">
        <v>97</v>
      </c>
      <c r="C114" s="30"/>
      <c r="G114" s="16"/>
      <c r="H114" s="28"/>
    </row>
    <row r="115" spans="2:8" ht="15" customHeight="1">
      <c r="B115" s="42" t="s">
        <v>98</v>
      </c>
      <c r="C115" s="30"/>
      <c r="G115" s="16"/>
      <c r="H115" s="28"/>
    </row>
    <row r="116" spans="2:8" ht="15" customHeight="1">
      <c r="B116" s="42"/>
      <c r="C116" s="30"/>
      <c r="G116" s="16"/>
      <c r="H116" s="28"/>
    </row>
    <row r="117" spans="2:8" ht="15" customHeight="1">
      <c r="B117" s="28" t="s">
        <v>50</v>
      </c>
      <c r="G117" s="16"/>
      <c r="H117" s="28"/>
    </row>
    <row r="118" spans="2:8" ht="15" customHeight="1">
      <c r="B118" s="39" t="s">
        <v>99</v>
      </c>
      <c r="C118" s="30"/>
      <c r="G118" s="16"/>
      <c r="H118" s="28"/>
    </row>
    <row r="119" spans="2:8" ht="15" customHeight="1">
      <c r="B119" s="39" t="s">
        <v>100</v>
      </c>
      <c r="C119" s="30"/>
      <c r="G119" s="16"/>
      <c r="H119" s="28"/>
    </row>
    <row r="120" spans="2:8" ht="15" customHeight="1">
      <c r="B120" s="39" t="s">
        <v>101</v>
      </c>
      <c r="C120" s="30"/>
      <c r="G120" s="16"/>
      <c r="H120" s="28"/>
    </row>
    <row r="121" spans="2:8" ht="15" customHeight="1" thickBot="1">
      <c r="B121" s="15"/>
      <c r="G121" s="16"/>
      <c r="H121" s="28"/>
    </row>
    <row r="122" spans="2:8" ht="22.5" customHeight="1" thickBot="1">
      <c r="B122" s="59" t="s">
        <v>28</v>
      </c>
      <c r="C122" s="59" t="s">
        <v>55</v>
      </c>
      <c r="D122" s="59" t="s">
        <v>30</v>
      </c>
      <c r="E122" s="59" t="s">
        <v>56</v>
      </c>
      <c r="G122" s="59" t="s">
        <v>57</v>
      </c>
      <c r="H122" s="59" t="s">
        <v>54</v>
      </c>
    </row>
    <row r="123" spans="2:8" ht="15" customHeight="1">
      <c r="B123" s="3"/>
      <c r="C123" s="3"/>
      <c r="D123" s="3"/>
      <c r="E123" s="4"/>
      <c r="H123" s="3"/>
    </row>
    <row r="124" spans="2:8" ht="22.5" customHeight="1">
      <c r="B124" s="10" t="s">
        <v>102</v>
      </c>
      <c r="C124" s="11">
        <v>2</v>
      </c>
      <c r="D124" s="12">
        <v>0</v>
      </c>
      <c r="E124" s="34">
        <v>6</v>
      </c>
      <c r="F124" s="38"/>
      <c r="G124" s="17" t="s">
        <v>79</v>
      </c>
      <c r="H124" s="17" t="s">
        <v>58</v>
      </c>
    </row>
    <row r="125" spans="2:8" ht="15" customHeight="1">
      <c r="B125" s="3"/>
      <c r="C125" s="3"/>
      <c r="D125" s="3"/>
      <c r="E125" s="4"/>
      <c r="F125" s="9"/>
      <c r="G125" s="32"/>
      <c r="H125" s="32"/>
    </row>
    <row r="126" spans="2:8" ht="22.5" customHeight="1">
      <c r="B126" s="11">
        <v>21</v>
      </c>
      <c r="C126" s="11">
        <v>2</v>
      </c>
      <c r="D126" s="18">
        <v>7</v>
      </c>
      <c r="E126" s="34" cm="1">
        <f t="array" ref="E126:E145">INDEX(Destinations!C6:L20, _xlfn.XMATCH(Case!G126:G145,Destinations!B6:B20, 0, 1), _xlfn.XMATCH(Case!H126:H145, Destinations!C5:L5, 0, 1))</f>
        <v>5</v>
      </c>
      <c r="F126" s="38"/>
      <c r="G126" s="17" t="s">
        <v>74</v>
      </c>
      <c r="H126" s="17" t="s">
        <v>60</v>
      </c>
    </row>
    <row r="127" spans="2:8" ht="22.5" customHeight="1">
      <c r="B127" s="11">
        <v>22</v>
      </c>
      <c r="C127" s="11">
        <v>2</v>
      </c>
      <c r="D127" s="18">
        <v>7</v>
      </c>
      <c r="E127" s="34">
        <v>3</v>
      </c>
      <c r="F127" s="38"/>
      <c r="G127" s="17" t="s">
        <v>73</v>
      </c>
      <c r="H127" s="17" t="s">
        <v>62</v>
      </c>
    </row>
    <row r="128" spans="2:8" ht="22.5" customHeight="1">
      <c r="B128" s="11">
        <v>23</v>
      </c>
      <c r="C128" s="11">
        <v>2</v>
      </c>
      <c r="D128" s="18">
        <v>7</v>
      </c>
      <c r="E128" s="34">
        <v>7</v>
      </c>
      <c r="F128" s="38"/>
      <c r="G128" s="17" t="s">
        <v>70</v>
      </c>
      <c r="H128" s="17" t="s">
        <v>63</v>
      </c>
    </row>
    <row r="129" spans="2:8" ht="22.5" customHeight="1">
      <c r="B129" s="11">
        <v>24</v>
      </c>
      <c r="C129" s="11">
        <v>2</v>
      </c>
      <c r="D129" s="18">
        <v>7</v>
      </c>
      <c r="E129" s="34">
        <v>4</v>
      </c>
      <c r="F129" s="38"/>
      <c r="G129" s="17" t="s">
        <v>69</v>
      </c>
      <c r="H129" s="17" t="s">
        <v>60</v>
      </c>
    </row>
    <row r="130" spans="2:8" ht="22.5" customHeight="1">
      <c r="B130" s="11">
        <v>25</v>
      </c>
      <c r="C130" s="11">
        <v>2</v>
      </c>
      <c r="D130" s="18">
        <v>7</v>
      </c>
      <c r="E130" s="34">
        <v>3</v>
      </c>
      <c r="F130" s="38"/>
      <c r="G130" s="17" t="s">
        <v>73</v>
      </c>
      <c r="H130" s="17" t="s">
        <v>63</v>
      </c>
    </row>
    <row r="131" spans="2:8" ht="22.5" customHeight="1">
      <c r="B131" s="11">
        <v>26</v>
      </c>
      <c r="C131" s="11">
        <v>2</v>
      </c>
      <c r="D131" s="18">
        <v>7</v>
      </c>
      <c r="E131" s="34">
        <v>4</v>
      </c>
      <c r="F131" s="38"/>
      <c r="G131" s="17" t="s">
        <v>74</v>
      </c>
      <c r="H131" s="17" t="s">
        <v>58</v>
      </c>
    </row>
    <row r="132" spans="2:8" ht="22.5" customHeight="1">
      <c r="B132" s="11">
        <v>27</v>
      </c>
      <c r="C132" s="11">
        <v>2</v>
      </c>
      <c r="D132" s="18">
        <v>7</v>
      </c>
      <c r="E132" s="34">
        <v>7</v>
      </c>
      <c r="F132" s="38"/>
      <c r="G132" s="17" t="s">
        <v>78</v>
      </c>
      <c r="H132" s="17" t="s">
        <v>63</v>
      </c>
    </row>
    <row r="133" spans="2:8" ht="22.5" customHeight="1">
      <c r="B133" s="11">
        <v>28</v>
      </c>
      <c r="C133" s="11">
        <v>2</v>
      </c>
      <c r="D133" s="18">
        <v>7</v>
      </c>
      <c r="E133" s="34">
        <v>5</v>
      </c>
      <c r="F133" s="38"/>
      <c r="G133" s="17" t="s">
        <v>103</v>
      </c>
      <c r="H133" s="17" t="s">
        <v>66</v>
      </c>
    </row>
    <row r="134" spans="2:8" ht="22.5" customHeight="1">
      <c r="B134" s="11">
        <v>29</v>
      </c>
      <c r="C134" s="11">
        <v>2</v>
      </c>
      <c r="D134" s="18">
        <v>7</v>
      </c>
      <c r="E134" s="34">
        <v>6</v>
      </c>
      <c r="F134" s="38"/>
      <c r="G134" s="17" t="s">
        <v>79</v>
      </c>
      <c r="H134" s="17" t="s">
        <v>62</v>
      </c>
    </row>
    <row r="135" spans="2:8" ht="22.5" customHeight="1">
      <c r="B135" s="11">
        <v>30</v>
      </c>
      <c r="C135" s="11">
        <v>2</v>
      </c>
      <c r="D135" s="18">
        <v>7</v>
      </c>
      <c r="E135" s="34">
        <v>4</v>
      </c>
      <c r="F135" s="38"/>
      <c r="G135" s="17" t="s">
        <v>77</v>
      </c>
      <c r="H135" s="17" t="s">
        <v>63</v>
      </c>
    </row>
    <row r="136" spans="2:8" ht="22.5" customHeight="1">
      <c r="B136" s="11">
        <v>31</v>
      </c>
      <c r="C136" s="11">
        <v>2</v>
      </c>
      <c r="D136" s="18">
        <v>7</v>
      </c>
      <c r="E136" s="34">
        <v>6</v>
      </c>
      <c r="F136" s="38"/>
      <c r="G136" s="17" t="s">
        <v>70</v>
      </c>
      <c r="H136" s="17" t="s">
        <v>59</v>
      </c>
    </row>
    <row r="137" spans="2:8" ht="22.5" customHeight="1">
      <c r="B137" s="11">
        <v>32</v>
      </c>
      <c r="C137" s="11">
        <v>2</v>
      </c>
      <c r="D137" s="18">
        <v>7</v>
      </c>
      <c r="E137" s="34">
        <v>4</v>
      </c>
      <c r="F137" s="38"/>
      <c r="G137" s="17" t="s">
        <v>76</v>
      </c>
      <c r="H137" s="17" t="s">
        <v>67</v>
      </c>
    </row>
    <row r="138" spans="2:8" ht="22.5" customHeight="1">
      <c r="B138" s="11">
        <v>33</v>
      </c>
      <c r="C138" s="11">
        <v>2</v>
      </c>
      <c r="D138" s="18">
        <v>7</v>
      </c>
      <c r="E138" s="34">
        <v>5</v>
      </c>
      <c r="F138" s="38"/>
      <c r="G138" s="17" t="s">
        <v>78</v>
      </c>
      <c r="H138" s="17" t="s">
        <v>65</v>
      </c>
    </row>
    <row r="139" spans="2:8" ht="22.5" customHeight="1">
      <c r="B139" s="11">
        <v>34</v>
      </c>
      <c r="C139" s="11">
        <v>2</v>
      </c>
      <c r="D139" s="18">
        <v>7</v>
      </c>
      <c r="E139" s="34">
        <v>8</v>
      </c>
      <c r="F139" s="38"/>
      <c r="G139" s="17" t="s">
        <v>74</v>
      </c>
      <c r="H139" s="17" t="s">
        <v>61</v>
      </c>
    </row>
    <row r="140" spans="2:8" ht="22.5" customHeight="1">
      <c r="B140" s="11">
        <v>35</v>
      </c>
      <c r="C140" s="11">
        <v>2</v>
      </c>
      <c r="D140" s="18">
        <v>7</v>
      </c>
      <c r="E140" s="34">
        <v>9</v>
      </c>
      <c r="F140" s="38"/>
      <c r="G140" s="17" t="s">
        <v>103</v>
      </c>
      <c r="H140" s="17" t="s">
        <v>61</v>
      </c>
    </row>
    <row r="141" spans="2:8" ht="22.5" customHeight="1">
      <c r="B141" s="11">
        <v>36</v>
      </c>
      <c r="C141" s="11">
        <v>2</v>
      </c>
      <c r="D141" s="18">
        <v>7</v>
      </c>
      <c r="E141" s="34">
        <v>10</v>
      </c>
      <c r="F141" s="38"/>
      <c r="G141" s="17" t="s">
        <v>76</v>
      </c>
      <c r="H141" s="17" t="s">
        <v>66</v>
      </c>
    </row>
    <row r="142" spans="2:8" ht="22.5" customHeight="1">
      <c r="B142" s="11">
        <v>37</v>
      </c>
      <c r="C142" s="11">
        <v>2</v>
      </c>
      <c r="D142" s="18">
        <v>7</v>
      </c>
      <c r="E142" s="34">
        <v>7</v>
      </c>
      <c r="F142" s="38"/>
      <c r="G142" s="17" t="s">
        <v>72</v>
      </c>
      <c r="H142" s="17" t="s">
        <v>59</v>
      </c>
    </row>
    <row r="143" spans="2:8" ht="22.5" customHeight="1">
      <c r="B143" s="11">
        <v>38</v>
      </c>
      <c r="C143" s="11">
        <v>2</v>
      </c>
      <c r="D143" s="18">
        <v>7</v>
      </c>
      <c r="E143" s="34">
        <v>6</v>
      </c>
      <c r="F143" s="38"/>
      <c r="G143" s="17" t="s">
        <v>75</v>
      </c>
      <c r="H143" s="17" t="s">
        <v>62</v>
      </c>
    </row>
    <row r="144" spans="2:8" ht="22.5" customHeight="1">
      <c r="B144" s="11">
        <v>39</v>
      </c>
      <c r="C144" s="11">
        <v>2</v>
      </c>
      <c r="D144" s="18">
        <v>7</v>
      </c>
      <c r="E144" s="34">
        <v>8</v>
      </c>
      <c r="F144" s="38"/>
      <c r="G144" s="17" t="s">
        <v>70</v>
      </c>
      <c r="H144" s="17" t="s">
        <v>65</v>
      </c>
    </row>
    <row r="145" spans="2:21" ht="22.5" customHeight="1">
      <c r="B145" s="11">
        <v>40</v>
      </c>
      <c r="C145" s="11">
        <v>2</v>
      </c>
      <c r="D145" s="18">
        <v>7</v>
      </c>
      <c r="E145" s="34">
        <v>5</v>
      </c>
      <c r="F145" s="38"/>
      <c r="G145" s="17" t="s">
        <v>72</v>
      </c>
      <c r="H145" s="17" t="s">
        <v>64</v>
      </c>
    </row>
    <row r="146" spans="2:21" ht="15" customHeight="1">
      <c r="B146" s="3"/>
      <c r="C146" s="3"/>
      <c r="D146" s="3"/>
      <c r="E146" s="4"/>
    </row>
    <row r="147" spans="2:21" ht="15" customHeight="1" thickBot="1">
      <c r="B147" s="3"/>
      <c r="C147" s="3"/>
      <c r="D147" s="3"/>
      <c r="E147" s="4"/>
    </row>
    <row r="148" spans="2:21" ht="22.5" customHeight="1" thickBot="1">
      <c r="B148" s="62" t="s">
        <v>104</v>
      </c>
      <c r="C148" s="64" t="s">
        <v>105</v>
      </c>
      <c r="D148" s="43"/>
    </row>
    <row r="149" spans="2:21" ht="15" customHeight="1">
      <c r="H149" s="3"/>
    </row>
    <row r="150" spans="2:21" ht="15" customHeight="1">
      <c r="B150" s="42" t="s">
        <v>106</v>
      </c>
      <c r="H150" s="3"/>
    </row>
    <row r="151" spans="2:21" ht="15" customHeight="1">
      <c r="B151" s="40" t="s">
        <v>107</v>
      </c>
      <c r="C151" s="30"/>
      <c r="H151" s="3"/>
    </row>
    <row r="152" spans="2:21" ht="15" customHeight="1">
      <c r="B152" s="42" t="s">
        <v>108</v>
      </c>
      <c r="C152" s="30"/>
      <c r="H152" s="3"/>
    </row>
    <row r="153" spans="2:21" ht="15" customHeight="1">
      <c r="B153" s="42" t="s">
        <v>109</v>
      </c>
      <c r="C153" s="30"/>
      <c r="H153" s="3"/>
    </row>
    <row r="154" spans="2:21" ht="15" customHeight="1">
      <c r="B154" s="42" t="s">
        <v>110</v>
      </c>
      <c r="C154" s="30"/>
      <c r="H154" s="3"/>
      <c r="L154" s="3">
        <v>1</v>
      </c>
      <c r="M154" s="3">
        <v>0.9</v>
      </c>
      <c r="N154" s="5">
        <v>0.8</v>
      </c>
      <c r="O154" s="5">
        <v>0.7</v>
      </c>
      <c r="P154" s="5">
        <v>0.4</v>
      </c>
      <c r="Q154" s="5">
        <v>0.4</v>
      </c>
      <c r="R154" s="5">
        <v>0.4</v>
      </c>
      <c r="S154" s="5">
        <v>0.4</v>
      </c>
      <c r="T154" s="5">
        <v>0.4</v>
      </c>
      <c r="U154" s="5">
        <v>0.4</v>
      </c>
    </row>
    <row r="155" spans="2:21" ht="15" customHeight="1">
      <c r="B155" s="42"/>
      <c r="C155" s="30"/>
      <c r="H155" s="3"/>
    </row>
    <row r="156" spans="2:21" ht="15" customHeight="1">
      <c r="B156" s="42" t="s">
        <v>111</v>
      </c>
      <c r="C156" s="30"/>
      <c r="H156" s="3"/>
    </row>
    <row r="157" spans="2:21" ht="15" customHeight="1">
      <c r="B157" s="42" t="s">
        <v>112</v>
      </c>
      <c r="C157" s="30"/>
      <c r="H157" s="3"/>
    </row>
    <row r="158" spans="2:21" ht="15" customHeight="1">
      <c r="B158" s="42" t="s">
        <v>113</v>
      </c>
      <c r="C158" s="30"/>
      <c r="H158" s="3"/>
    </row>
    <row r="159" spans="2:21" ht="15" customHeight="1">
      <c r="B159" s="42" t="s">
        <v>114</v>
      </c>
      <c r="C159" s="30"/>
      <c r="H159" s="3"/>
    </row>
    <row r="160" spans="2:21" ht="15" customHeight="1">
      <c r="B160" s="42"/>
      <c r="C160" s="30"/>
      <c r="H160" s="3"/>
    </row>
    <row r="161" spans="2:52" ht="15" customHeight="1">
      <c r="B161" s="28" t="s">
        <v>50</v>
      </c>
      <c r="C161" s="30"/>
      <c r="H161" s="3"/>
    </row>
    <row r="162" spans="2:52" ht="15" customHeight="1">
      <c r="B162" s="39" t="s">
        <v>115</v>
      </c>
      <c r="C162" s="30"/>
      <c r="H162" s="3"/>
    </row>
    <row r="163" spans="2:52" ht="15" customHeight="1">
      <c r="B163" s="39" t="s">
        <v>116</v>
      </c>
      <c r="C163" s="30"/>
      <c r="H163" s="3"/>
    </row>
    <row r="164" spans="2:52" ht="15" customHeight="1">
      <c r="B164" s="39" t="s">
        <v>117</v>
      </c>
      <c r="C164" s="30"/>
      <c r="H164" s="3"/>
    </row>
    <row r="165" spans="2:52" ht="15" customHeight="1" thickBot="1">
      <c r="B165" s="15"/>
      <c r="G165" s="16"/>
      <c r="H165" s="16"/>
    </row>
    <row r="166" spans="2:52" ht="22.5" customHeight="1" thickBot="1">
      <c r="B166" s="59" t="s">
        <v>28</v>
      </c>
      <c r="C166" s="59" t="s">
        <v>55</v>
      </c>
      <c r="D166" s="59" t="s">
        <v>30</v>
      </c>
      <c r="E166" s="59" t="s">
        <v>56</v>
      </c>
      <c r="G166" s="59" t="s">
        <v>57</v>
      </c>
      <c r="H166" s="59" t="s">
        <v>118</v>
      </c>
    </row>
    <row r="167" spans="2:52" ht="15" customHeight="1">
      <c r="B167" s="3"/>
      <c r="C167" s="3"/>
      <c r="D167" s="3"/>
      <c r="E167" s="4"/>
      <c r="H167" s="3"/>
    </row>
    <row r="168" spans="2:52" ht="22.5" customHeight="1">
      <c r="B168" s="10" t="s">
        <v>119</v>
      </c>
      <c r="C168" s="11">
        <v>4</v>
      </c>
      <c r="D168" s="12">
        <v>0</v>
      </c>
      <c r="E168" s="34">
        <v>27</v>
      </c>
      <c r="F168" s="38"/>
      <c r="G168" s="17" t="s">
        <v>70</v>
      </c>
      <c r="H168" s="17" t="s">
        <v>120</v>
      </c>
      <c r="AH168" s="5" t="s">
        <v>205</v>
      </c>
    </row>
    <row r="169" spans="2:52" ht="15" customHeight="1">
      <c r="H169" s="3"/>
    </row>
    <row r="170" spans="2:52" ht="22.5" customHeight="1">
      <c r="B170" s="11">
        <v>41</v>
      </c>
      <c r="C170" s="11">
        <v>4</v>
      </c>
      <c r="D170" s="18">
        <v>8</v>
      </c>
      <c r="E170" s="34">
        <f>ROUND(AT170,0)</f>
        <v>35</v>
      </c>
      <c r="F170" s="38"/>
      <c r="G170" s="17" t="s">
        <v>74</v>
      </c>
      <c r="H170" s="17" t="s">
        <v>121</v>
      </c>
      <c r="J170" s="3" cm="1">
        <f t="array" ref="J170:M170">_xlfn.XLOOKUP(H170,Families!$B$6:$B$25,_xlfn.ANCHORARRAY(Families!$I$6))</f>
        <v>3</v>
      </c>
      <c r="K170" s="3">
        <v>5</v>
      </c>
      <c r="L170" s="3">
        <v>10</v>
      </c>
      <c r="M170" s="3">
        <v>7</v>
      </c>
      <c r="O170" s="5" cm="1">
        <f t="array" ref="O170:X170">_xlfn.SEQUENCE(1,10,1,1)</f>
        <v>1</v>
      </c>
      <c r="P170" s="5">
        <v>2</v>
      </c>
      <c r="Q170" s="5">
        <v>3</v>
      </c>
      <c r="R170" s="5">
        <v>4</v>
      </c>
      <c r="S170" s="5">
        <v>5</v>
      </c>
      <c r="T170" s="5">
        <v>6</v>
      </c>
      <c r="U170" s="5">
        <v>7</v>
      </c>
      <c r="V170" s="5">
        <v>8</v>
      </c>
      <c r="W170" s="5">
        <v>9</v>
      </c>
      <c r="X170" s="5">
        <v>10</v>
      </c>
      <c r="AA170" s="5" cm="1">
        <f t="array" ref="AA170:AF170">_xlfn._xlws.FILTER(_xlfn.ANCHORARRAY(O170), COUNTIF(_xlfn.ANCHORARRAY(J170),_xlfn.ANCHORARRAY(O170))=0)</f>
        <v>1</v>
      </c>
      <c r="AB170" s="5">
        <v>2</v>
      </c>
      <c r="AC170" s="5">
        <v>4</v>
      </c>
      <c r="AD170" s="5">
        <v>6</v>
      </c>
      <c r="AE170" s="5">
        <v>8</v>
      </c>
      <c r="AF170" s="5">
        <v>9</v>
      </c>
      <c r="AH170" s="3" cm="1">
        <f t="array" ref="AH170:AQ170">_xlfn.XLOOKUP(G170,Destinations!$B$6:$B$20,Destinations!$C$6:$L$20,,0,1)</f>
        <v>4</v>
      </c>
      <c r="AI170" s="5">
        <v>9</v>
      </c>
      <c r="AJ170" s="5">
        <v>5</v>
      </c>
      <c r="AK170" s="5">
        <v>8</v>
      </c>
      <c r="AL170" s="5">
        <v>6</v>
      </c>
      <c r="AM170" s="5">
        <v>3</v>
      </c>
      <c r="AN170" s="5">
        <v>10</v>
      </c>
      <c r="AO170" s="5">
        <v>3</v>
      </c>
      <c r="AP170" s="5">
        <v>4</v>
      </c>
      <c r="AQ170" s="5">
        <v>6</v>
      </c>
      <c r="AT170" s="5" cm="1">
        <f t="array" ref="AT170">SUM(_xlfn.CHOOSECOLS(_xlfn.ANCHORARRAY(AH170),_xlfn.ANCHORARRAY(J170))*$L$154:$O$154) + SUM(_xlfn.CHOOSECOLS(_xlfn.ANCHORARRAY(AH170),_xlfn.ANCHORARRAY(AA170))*$P$154:$U$154)</f>
        <v>34.6</v>
      </c>
      <c r="AY170" s="5" t="s">
        <v>78</v>
      </c>
      <c r="AZ170" s="5" t="str" cm="1">
        <f t="array" ref="AZ170:AZ189">_xlfn.UNIQUE(Families!B6:B25)</f>
        <v>Batten</v>
      </c>
    </row>
    <row r="171" spans="2:52" ht="22.5" customHeight="1">
      <c r="B171" s="11">
        <v>42</v>
      </c>
      <c r="C171" s="11">
        <v>4</v>
      </c>
      <c r="D171" s="18">
        <v>8</v>
      </c>
      <c r="E171" s="34">
        <f t="shared" ref="E171:E189" si="1">ROUND(AT171,0)</f>
        <v>29</v>
      </c>
      <c r="F171" s="38"/>
      <c r="G171" s="17" t="s">
        <v>79</v>
      </c>
      <c r="H171" s="17" t="s">
        <v>122</v>
      </c>
      <c r="J171" s="3" cm="1">
        <f t="array" ref="J171:M171">_xlfn.XLOOKUP(H171,Families!$B$6:$B$25,_xlfn.ANCHORARRAY(Families!$I$6))</f>
        <v>9</v>
      </c>
      <c r="K171" s="3">
        <v>7</v>
      </c>
      <c r="L171" s="3">
        <v>1</v>
      </c>
      <c r="M171" s="3">
        <v>10</v>
      </c>
      <c r="O171" s="5" cm="1">
        <f t="array" ref="O171:X171">_xlfn.SEQUENCE(1,10,1,1)</f>
        <v>1</v>
      </c>
      <c r="P171" s="5">
        <v>2</v>
      </c>
      <c r="Q171" s="5">
        <v>3</v>
      </c>
      <c r="R171" s="5">
        <v>4</v>
      </c>
      <c r="S171" s="5">
        <v>5</v>
      </c>
      <c r="T171" s="5">
        <v>6</v>
      </c>
      <c r="U171" s="5">
        <v>7</v>
      </c>
      <c r="V171" s="5">
        <v>8</v>
      </c>
      <c r="W171" s="5">
        <v>9</v>
      </c>
      <c r="X171" s="5">
        <v>10</v>
      </c>
      <c r="AA171" s="5" cm="1">
        <f t="array" ref="AA171:AF171">_xlfn._xlws.FILTER(_xlfn.ANCHORARRAY(O171), COUNTIF(_xlfn.ANCHORARRAY(J171),_xlfn.ANCHORARRAY(O171))=0)</f>
        <v>2</v>
      </c>
      <c r="AB171" s="5">
        <v>3</v>
      </c>
      <c r="AC171" s="5">
        <v>4</v>
      </c>
      <c r="AD171" s="5">
        <v>5</v>
      </c>
      <c r="AE171" s="5">
        <v>6</v>
      </c>
      <c r="AF171" s="5">
        <v>8</v>
      </c>
      <c r="AH171" s="3" cm="1">
        <f t="array" ref="AH171:AQ171">_xlfn.XLOOKUP(G171,Destinations!$B$6:$B$20,Destinations!$C$6:$L$20,,0,1)</f>
        <v>6</v>
      </c>
      <c r="AI171" s="5">
        <v>8</v>
      </c>
      <c r="AJ171" s="5">
        <v>5</v>
      </c>
      <c r="AK171" s="5">
        <v>10</v>
      </c>
      <c r="AL171" s="5">
        <v>6</v>
      </c>
      <c r="AM171" s="5">
        <v>3</v>
      </c>
      <c r="AN171" s="5">
        <v>4</v>
      </c>
      <c r="AO171" s="5">
        <v>4</v>
      </c>
      <c r="AP171" s="5">
        <v>3</v>
      </c>
      <c r="AQ171" s="5">
        <v>5</v>
      </c>
      <c r="AT171" s="5" cm="1">
        <f t="array" ref="AT171">SUM(_xlfn.CHOOSECOLS(_xlfn.ANCHORARRAY(AH171),_xlfn.ANCHORARRAY(J171))*$L$154:$O$154) + SUM(_xlfn.CHOOSECOLS(_xlfn.ANCHORARRAY(AH171),_xlfn.ANCHORARRAY(AA171))*$P$154:$U$154)</f>
        <v>29.3</v>
      </c>
      <c r="AY171" s="5" t="s">
        <v>78</v>
      </c>
      <c r="AZ171" s="5" t="str">
        <v>Carter</v>
      </c>
    </row>
    <row r="172" spans="2:52" ht="22.5" customHeight="1">
      <c r="B172" s="11">
        <v>43</v>
      </c>
      <c r="C172" s="11">
        <v>4</v>
      </c>
      <c r="D172" s="18">
        <v>8</v>
      </c>
      <c r="E172" s="34">
        <f t="shared" si="1"/>
        <v>27</v>
      </c>
      <c r="F172" s="38"/>
      <c r="G172" s="17" t="s">
        <v>70</v>
      </c>
      <c r="H172" s="17" t="s">
        <v>123</v>
      </c>
      <c r="J172" s="3" cm="1">
        <f t="array" ref="J172:M172">_xlfn.XLOOKUP(H172,Families!$B$6:$B$25,_xlfn.ANCHORARRAY(Families!$I$6))</f>
        <v>10</v>
      </c>
      <c r="K172" s="3">
        <v>1</v>
      </c>
      <c r="L172" s="3">
        <v>4</v>
      </c>
      <c r="M172" s="3">
        <v>9</v>
      </c>
      <c r="O172" s="5" cm="1">
        <f t="array" ref="O172:X172">_xlfn.SEQUENCE(1,10,1,1)</f>
        <v>1</v>
      </c>
      <c r="P172" s="5">
        <v>2</v>
      </c>
      <c r="Q172" s="5">
        <v>3</v>
      </c>
      <c r="R172" s="5">
        <v>4</v>
      </c>
      <c r="S172" s="5">
        <v>5</v>
      </c>
      <c r="T172" s="5">
        <v>6</v>
      </c>
      <c r="U172" s="5">
        <v>7</v>
      </c>
      <c r="V172" s="5">
        <v>8</v>
      </c>
      <c r="W172" s="5">
        <v>9</v>
      </c>
      <c r="X172" s="5">
        <v>10</v>
      </c>
      <c r="AA172" s="5" cm="1">
        <f t="array" ref="AA172:AF172">_xlfn._xlws.FILTER(_xlfn.ANCHORARRAY(O172), COUNTIF(_xlfn.ANCHORARRAY(J172),_xlfn.ANCHORARRAY(O172))=0)</f>
        <v>2</v>
      </c>
      <c r="AB172" s="5">
        <v>3</v>
      </c>
      <c r="AC172" s="5">
        <v>5</v>
      </c>
      <c r="AD172" s="5">
        <v>6</v>
      </c>
      <c r="AE172" s="5">
        <v>7</v>
      </c>
      <c r="AF172" s="5">
        <v>8</v>
      </c>
      <c r="AH172" s="3" cm="1">
        <f t="array" ref="AH172:AQ172">_xlfn.XLOOKUP(G172,Destinations!$B$6:$B$20,Destinations!$C$6:$L$20,,0,1)</f>
        <v>6</v>
      </c>
      <c r="AI172" s="5">
        <v>6</v>
      </c>
      <c r="AJ172" s="5">
        <v>3</v>
      </c>
      <c r="AK172" s="5">
        <v>5</v>
      </c>
      <c r="AL172" s="5">
        <v>3</v>
      </c>
      <c r="AM172" s="5">
        <v>7</v>
      </c>
      <c r="AN172" s="5">
        <v>5</v>
      </c>
      <c r="AO172" s="5">
        <v>8</v>
      </c>
      <c r="AP172" s="5">
        <v>5</v>
      </c>
      <c r="AQ172" s="5">
        <v>1</v>
      </c>
      <c r="AT172" s="5" cm="1">
        <f t="array" ref="AT172">SUM(_xlfn.CHOOSECOLS(_xlfn.ANCHORARRAY(AH172),_xlfn.ANCHORARRAY(J172))*$L$154:$O$154) + SUM(_xlfn.CHOOSECOLS(_xlfn.ANCHORARRAY(AH172),_xlfn.ANCHORARRAY(AA172))*$P$154:$U$154)</f>
        <v>26.700000000000003</v>
      </c>
      <c r="AY172" s="5" t="s">
        <v>78</v>
      </c>
      <c r="AZ172" s="5" t="str">
        <v>Crowe</v>
      </c>
    </row>
    <row r="173" spans="2:52" ht="22.5" customHeight="1">
      <c r="B173" s="11">
        <v>44</v>
      </c>
      <c r="C173" s="11">
        <v>4</v>
      </c>
      <c r="D173" s="18">
        <v>8</v>
      </c>
      <c r="E173" s="34">
        <f t="shared" si="1"/>
        <v>34</v>
      </c>
      <c r="F173" s="38"/>
      <c r="G173" s="17" t="s">
        <v>69</v>
      </c>
      <c r="H173" s="17" t="s">
        <v>124</v>
      </c>
      <c r="J173" s="3" cm="1">
        <f t="array" ref="J173:M173">_xlfn.XLOOKUP(H173,Families!$B$6:$B$25,_xlfn.ANCHORARRAY(Families!$I$6))</f>
        <v>5</v>
      </c>
      <c r="K173" s="3">
        <v>10</v>
      </c>
      <c r="L173" s="3">
        <v>2</v>
      </c>
      <c r="M173" s="3">
        <v>1</v>
      </c>
      <c r="O173" s="5" cm="1">
        <f t="array" ref="O173:X173">_xlfn.SEQUENCE(1,10,1,1)</f>
        <v>1</v>
      </c>
      <c r="P173" s="5">
        <v>2</v>
      </c>
      <c r="Q173" s="5">
        <v>3</v>
      </c>
      <c r="R173" s="5">
        <v>4</v>
      </c>
      <c r="S173" s="5">
        <v>5</v>
      </c>
      <c r="T173" s="5">
        <v>6</v>
      </c>
      <c r="U173" s="5">
        <v>7</v>
      </c>
      <c r="V173" s="5">
        <v>8</v>
      </c>
      <c r="W173" s="5">
        <v>9</v>
      </c>
      <c r="X173" s="5">
        <v>10</v>
      </c>
      <c r="AA173" s="5" cm="1">
        <f t="array" ref="AA173:AF173">_xlfn._xlws.FILTER(_xlfn.ANCHORARRAY(O173), COUNTIF(_xlfn.ANCHORARRAY(J173),_xlfn.ANCHORARRAY(O173))=0)</f>
        <v>3</v>
      </c>
      <c r="AB173" s="5">
        <v>4</v>
      </c>
      <c r="AC173" s="5">
        <v>6</v>
      </c>
      <c r="AD173" s="5">
        <v>7</v>
      </c>
      <c r="AE173" s="5">
        <v>8</v>
      </c>
      <c r="AF173" s="5">
        <v>9</v>
      </c>
      <c r="AH173" s="3" cm="1">
        <f t="array" ref="AH173:AQ173">_xlfn.XLOOKUP(G173,Destinations!$B$6:$B$20,Destinations!$C$6:$L$20,,0,1)</f>
        <v>5</v>
      </c>
      <c r="AI173" s="5">
        <v>9</v>
      </c>
      <c r="AJ173" s="5">
        <v>4</v>
      </c>
      <c r="AK173" s="5">
        <v>6</v>
      </c>
      <c r="AL173" s="5">
        <v>6</v>
      </c>
      <c r="AM173" s="5">
        <v>3</v>
      </c>
      <c r="AN173" s="5">
        <v>4</v>
      </c>
      <c r="AO173" s="5">
        <v>4</v>
      </c>
      <c r="AP173" s="5">
        <v>5</v>
      </c>
      <c r="AQ173" s="5">
        <v>8</v>
      </c>
      <c r="AT173" s="5" cm="1">
        <f t="array" ref="AT173">SUM(_xlfn.CHOOSECOLS(_xlfn.ANCHORARRAY(AH173),_xlfn.ANCHORARRAY(J173))*$L$154:$O$154) + SUM(_xlfn.CHOOSECOLS(_xlfn.ANCHORARRAY(AH173),_xlfn.ANCHORARRAY(AA173))*$P$154:$U$154)</f>
        <v>34.299999999999997</v>
      </c>
      <c r="AY173" s="5" t="s">
        <v>78</v>
      </c>
      <c r="AZ173" s="5" t="str">
        <v>Hadlee</v>
      </c>
    </row>
    <row r="174" spans="2:52" ht="22.5" customHeight="1">
      <c r="B174" s="11">
        <v>45</v>
      </c>
      <c r="C174" s="11">
        <v>4</v>
      </c>
      <c r="D174" s="18">
        <v>8</v>
      </c>
      <c r="E174" s="34">
        <f t="shared" si="1"/>
        <v>33</v>
      </c>
      <c r="F174" s="38"/>
      <c r="G174" s="17" t="s">
        <v>73</v>
      </c>
      <c r="H174" s="17" t="s">
        <v>125</v>
      </c>
      <c r="J174" s="3" cm="1">
        <f t="array" ref="J174:M174">_xlfn.XLOOKUP(H174,Families!$B$6:$B$25,_xlfn.ANCHORARRAY(Families!$I$6))</f>
        <v>1</v>
      </c>
      <c r="K174" s="3">
        <v>9</v>
      </c>
      <c r="L174" s="3">
        <v>7</v>
      </c>
      <c r="M174" s="3">
        <v>2</v>
      </c>
      <c r="O174" s="5" cm="1">
        <f t="array" ref="O174:X174">_xlfn.SEQUENCE(1,10,1,1)</f>
        <v>1</v>
      </c>
      <c r="P174" s="5">
        <v>2</v>
      </c>
      <c r="Q174" s="5">
        <v>3</v>
      </c>
      <c r="R174" s="5">
        <v>4</v>
      </c>
      <c r="S174" s="5">
        <v>5</v>
      </c>
      <c r="T174" s="5">
        <v>6</v>
      </c>
      <c r="U174" s="5">
        <v>7</v>
      </c>
      <c r="V174" s="5">
        <v>8</v>
      </c>
      <c r="W174" s="5">
        <v>9</v>
      </c>
      <c r="X174" s="5">
        <v>10</v>
      </c>
      <c r="AA174" s="5" cm="1">
        <f t="array" ref="AA174:AF174">_xlfn._xlws.FILTER(_xlfn.ANCHORARRAY(O174), COUNTIF(_xlfn.ANCHORARRAY(J174),_xlfn.ANCHORARRAY(O174))=0)</f>
        <v>3</v>
      </c>
      <c r="AB174" s="5">
        <v>4</v>
      </c>
      <c r="AC174" s="5">
        <v>5</v>
      </c>
      <c r="AD174" s="5">
        <v>6</v>
      </c>
      <c r="AE174" s="5">
        <v>8</v>
      </c>
      <c r="AF174" s="5">
        <v>10</v>
      </c>
      <c r="AH174" s="3" cm="1">
        <f t="array" ref="AH174:AQ174">_xlfn.XLOOKUP(G174,Destinations!$B$6:$B$20,Destinations!$C$6:$L$20,,0,1)</f>
        <v>10</v>
      </c>
      <c r="AI174" s="5">
        <v>4</v>
      </c>
      <c r="AJ174" s="5">
        <v>10</v>
      </c>
      <c r="AK174" s="5">
        <v>4</v>
      </c>
      <c r="AL174" s="5">
        <v>3</v>
      </c>
      <c r="AM174" s="5">
        <v>3</v>
      </c>
      <c r="AN174" s="5">
        <v>4</v>
      </c>
      <c r="AO174" s="5">
        <v>5</v>
      </c>
      <c r="AP174" s="5">
        <v>5</v>
      </c>
      <c r="AQ174" s="5">
        <v>5</v>
      </c>
      <c r="AT174" s="5" cm="1">
        <f t="array" ref="AT174">SUM(_xlfn.CHOOSECOLS(_xlfn.ANCHORARRAY(AH174),_xlfn.ANCHORARRAY(J174))*$L$154:$O$154) + SUM(_xlfn.CHOOSECOLS(_xlfn.ANCHORARRAY(AH174),_xlfn.ANCHORARRAY(AA174))*$P$154:$U$154)</f>
        <v>32.5</v>
      </c>
      <c r="AY174" s="5" t="s">
        <v>78</v>
      </c>
      <c r="AZ174" s="5" t="str">
        <v>Heke</v>
      </c>
    </row>
    <row r="175" spans="2:52" ht="22.5" customHeight="1">
      <c r="B175" s="11">
        <v>46</v>
      </c>
      <c r="C175" s="11">
        <v>4</v>
      </c>
      <c r="D175" s="18">
        <v>8</v>
      </c>
      <c r="E175" s="34">
        <f t="shared" si="1"/>
        <v>35</v>
      </c>
      <c r="F175" s="38"/>
      <c r="G175" s="17" t="s">
        <v>74</v>
      </c>
      <c r="H175" s="17" t="s">
        <v>126</v>
      </c>
      <c r="J175" s="3" cm="1">
        <f t="array" ref="J175:M175">_xlfn.XLOOKUP(H175,Families!$B$6:$B$25,_xlfn.ANCHORARRAY(Families!$I$6))</f>
        <v>10</v>
      </c>
      <c r="K175" s="3">
        <v>7</v>
      </c>
      <c r="L175" s="3">
        <v>6</v>
      </c>
      <c r="M175" s="3">
        <v>4</v>
      </c>
      <c r="O175" s="5" cm="1">
        <f t="array" ref="O175:X175">_xlfn.SEQUENCE(1,10,1,1)</f>
        <v>1</v>
      </c>
      <c r="P175" s="5">
        <v>2</v>
      </c>
      <c r="Q175" s="5">
        <v>3</v>
      </c>
      <c r="R175" s="5">
        <v>4</v>
      </c>
      <c r="S175" s="5">
        <v>5</v>
      </c>
      <c r="T175" s="5">
        <v>6</v>
      </c>
      <c r="U175" s="5">
        <v>7</v>
      </c>
      <c r="V175" s="5">
        <v>8</v>
      </c>
      <c r="W175" s="5">
        <v>9</v>
      </c>
      <c r="X175" s="5">
        <v>10</v>
      </c>
      <c r="AA175" s="5" cm="1">
        <f t="array" ref="AA175:AF175">_xlfn._xlws.FILTER(_xlfn.ANCHORARRAY(O175), COUNTIF(_xlfn.ANCHORARRAY(J175),_xlfn.ANCHORARRAY(O175))=0)</f>
        <v>1</v>
      </c>
      <c r="AB175" s="5">
        <v>2</v>
      </c>
      <c r="AC175" s="5">
        <v>3</v>
      </c>
      <c r="AD175" s="5">
        <v>5</v>
      </c>
      <c r="AE175" s="5">
        <v>8</v>
      </c>
      <c r="AF175" s="5">
        <v>9</v>
      </c>
      <c r="AH175" s="3" cm="1">
        <f t="array" ref="AH175:AQ175">_xlfn.XLOOKUP(G175,Destinations!$B$6:$B$20,Destinations!$C$6:$L$20,,0,1)</f>
        <v>4</v>
      </c>
      <c r="AI175" s="5">
        <v>9</v>
      </c>
      <c r="AJ175" s="5">
        <v>5</v>
      </c>
      <c r="AK175" s="5">
        <v>8</v>
      </c>
      <c r="AL175" s="5">
        <v>6</v>
      </c>
      <c r="AM175" s="5">
        <v>3</v>
      </c>
      <c r="AN175" s="5">
        <v>10</v>
      </c>
      <c r="AO175" s="5">
        <v>3</v>
      </c>
      <c r="AP175" s="5">
        <v>4</v>
      </c>
      <c r="AQ175" s="5">
        <v>6</v>
      </c>
      <c r="AT175" s="5" cm="1">
        <f t="array" ref="AT175">SUM(_xlfn.CHOOSECOLS(_xlfn.ANCHORARRAY(AH175),_xlfn.ANCHORARRAY(J175))*$L$154:$O$154) + SUM(_xlfn.CHOOSECOLS(_xlfn.ANCHORARRAY(AH175),_xlfn.ANCHORARRAY(AA175))*$P$154:$U$154)</f>
        <v>35.4</v>
      </c>
      <c r="AY175" s="5" t="s">
        <v>78</v>
      </c>
      <c r="AZ175" s="5" t="str">
        <v>Hillary</v>
      </c>
    </row>
    <row r="176" spans="2:52" ht="22.5" customHeight="1">
      <c r="B176" s="11">
        <v>47</v>
      </c>
      <c r="C176" s="11">
        <v>4</v>
      </c>
      <c r="D176" s="18">
        <v>8</v>
      </c>
      <c r="E176" s="34">
        <f t="shared" si="1"/>
        <v>29</v>
      </c>
      <c r="F176" s="38"/>
      <c r="G176" s="17" t="s">
        <v>78</v>
      </c>
      <c r="H176" s="17" t="s">
        <v>127</v>
      </c>
      <c r="J176" s="3" cm="1">
        <f t="array" ref="J176:M176">_xlfn.XLOOKUP(H176,Families!$B$6:$B$25,_xlfn.ANCHORARRAY(Families!$I$6))</f>
        <v>2</v>
      </c>
      <c r="K176" s="3">
        <v>1</v>
      </c>
      <c r="L176" s="3">
        <v>9</v>
      </c>
      <c r="M176" s="3">
        <v>8</v>
      </c>
      <c r="O176" s="5" cm="1">
        <f t="array" ref="O176:X176">_xlfn.SEQUENCE(1,10,1,1)</f>
        <v>1</v>
      </c>
      <c r="P176" s="5">
        <v>2</v>
      </c>
      <c r="Q176" s="5">
        <v>3</v>
      </c>
      <c r="R176" s="5">
        <v>4</v>
      </c>
      <c r="S176" s="5">
        <v>5</v>
      </c>
      <c r="T176" s="5">
        <v>6</v>
      </c>
      <c r="U176" s="5">
        <v>7</v>
      </c>
      <c r="V176" s="5">
        <v>8</v>
      </c>
      <c r="W176" s="5">
        <v>9</v>
      </c>
      <c r="X176" s="5">
        <v>10</v>
      </c>
      <c r="AA176" s="5" cm="1">
        <f t="array" ref="AA176:AF176">_xlfn._xlws.FILTER(_xlfn.ANCHORARRAY(O176), COUNTIF(_xlfn.ANCHORARRAY(J176),_xlfn.ANCHORARRAY(O176))=0)</f>
        <v>3</v>
      </c>
      <c r="AB176" s="5">
        <v>4</v>
      </c>
      <c r="AC176" s="5">
        <v>5</v>
      </c>
      <c r="AD176" s="5">
        <v>6</v>
      </c>
      <c r="AE176" s="5">
        <v>7</v>
      </c>
      <c r="AF176" s="5">
        <v>10</v>
      </c>
      <c r="AH176" s="3" cm="1">
        <f t="array" ref="AH176:AQ176">_xlfn.XLOOKUP(G176,Destinations!$B$6:$B$20,Destinations!$C$6:$L$20,,0,1)</f>
        <v>6</v>
      </c>
      <c r="AI176" s="5">
        <v>5</v>
      </c>
      <c r="AJ176" s="5">
        <v>5</v>
      </c>
      <c r="AK176" s="5">
        <v>4</v>
      </c>
      <c r="AL176" s="5">
        <v>3</v>
      </c>
      <c r="AM176" s="5">
        <v>7</v>
      </c>
      <c r="AN176" s="5">
        <v>7</v>
      </c>
      <c r="AO176" s="5">
        <v>5</v>
      </c>
      <c r="AP176" s="5">
        <v>3</v>
      </c>
      <c r="AQ176" s="5">
        <v>5</v>
      </c>
      <c r="AT176" s="5" cm="1">
        <f t="array" ref="AT176">SUM(_xlfn.CHOOSECOLS(_xlfn.ANCHORARRAY(AH176),_xlfn.ANCHORARRAY(J176))*$L$154:$O$154) + SUM(_xlfn.CHOOSECOLS(_xlfn.ANCHORARRAY(AH176),_xlfn.ANCHORARRAY(AA176))*$P$154:$U$154)</f>
        <v>28.700000000000003</v>
      </c>
      <c r="AY176" s="5" t="s">
        <v>78</v>
      </c>
      <c r="AZ176" s="5" t="str">
        <v>Jackson</v>
      </c>
    </row>
    <row r="177" spans="2:52" ht="22.5" customHeight="1">
      <c r="B177" s="11">
        <v>48</v>
      </c>
      <c r="C177" s="11">
        <v>4</v>
      </c>
      <c r="D177" s="18">
        <v>8</v>
      </c>
      <c r="E177" s="34">
        <f t="shared" si="1"/>
        <v>26</v>
      </c>
      <c r="F177" s="38"/>
      <c r="G177" s="17" t="s">
        <v>103</v>
      </c>
      <c r="H177" s="17" t="s">
        <v>121</v>
      </c>
      <c r="J177" s="3" cm="1">
        <f t="array" ref="J177:M177">_xlfn.XLOOKUP(H177,Families!$B$6:$B$25,_xlfn.ANCHORARRAY(Families!$I$6))</f>
        <v>3</v>
      </c>
      <c r="K177" s="3">
        <v>5</v>
      </c>
      <c r="L177" s="3">
        <v>10</v>
      </c>
      <c r="M177" s="3">
        <v>7</v>
      </c>
      <c r="O177" s="5" cm="1">
        <f t="array" ref="O177:X177">_xlfn.SEQUENCE(1,10,1,1)</f>
        <v>1</v>
      </c>
      <c r="P177" s="5">
        <v>2</v>
      </c>
      <c r="Q177" s="5">
        <v>3</v>
      </c>
      <c r="R177" s="5">
        <v>4</v>
      </c>
      <c r="S177" s="5">
        <v>5</v>
      </c>
      <c r="T177" s="5">
        <v>6</v>
      </c>
      <c r="U177" s="5">
        <v>7</v>
      </c>
      <c r="V177" s="5">
        <v>8</v>
      </c>
      <c r="W177" s="5">
        <v>9</v>
      </c>
      <c r="X177" s="5">
        <v>10</v>
      </c>
      <c r="AA177" s="5" cm="1">
        <f t="array" ref="AA177:AF177">_xlfn._xlws.FILTER(_xlfn.ANCHORARRAY(O177), COUNTIF(_xlfn.ANCHORARRAY(J177),_xlfn.ANCHORARRAY(O177))=0)</f>
        <v>1</v>
      </c>
      <c r="AB177" s="5">
        <v>2</v>
      </c>
      <c r="AC177" s="5">
        <v>4</v>
      </c>
      <c r="AD177" s="5">
        <v>6</v>
      </c>
      <c r="AE177" s="5">
        <v>8</v>
      </c>
      <c r="AF177" s="5">
        <v>9</v>
      </c>
      <c r="AH177" s="3" cm="1">
        <f t="array" ref="AH177:AQ177">_xlfn.XLOOKUP(G177,Destinations!$B$6:$B$20,Destinations!$C$6:$L$20,,0,1)</f>
        <v>10</v>
      </c>
      <c r="AI177" s="5">
        <v>6</v>
      </c>
      <c r="AJ177" s="5">
        <v>3</v>
      </c>
      <c r="AK177" s="5">
        <v>9</v>
      </c>
      <c r="AL177" s="5">
        <v>3</v>
      </c>
      <c r="AM177" s="5">
        <v>7</v>
      </c>
      <c r="AN177" s="5">
        <v>2</v>
      </c>
      <c r="AO177" s="5">
        <v>7</v>
      </c>
      <c r="AP177" s="5">
        <v>5</v>
      </c>
      <c r="AQ177" s="5">
        <v>1</v>
      </c>
      <c r="AT177" s="5" cm="1">
        <f t="array" ref="AT177">SUM(_xlfn.CHOOSECOLS(_xlfn.ANCHORARRAY(AH177),_xlfn.ANCHORARRAY(J177))*$L$154:$O$154) + SUM(_xlfn.CHOOSECOLS(_xlfn.ANCHORARRAY(AH177),_xlfn.ANCHORARRAY(AA177))*$P$154:$U$154)</f>
        <v>25.5</v>
      </c>
      <c r="AY177" s="5" t="s">
        <v>78</v>
      </c>
      <c r="AZ177" s="5" t="str">
        <v>Jones</v>
      </c>
    </row>
    <row r="178" spans="2:52" ht="22.5" customHeight="1">
      <c r="B178" s="11">
        <v>49</v>
      </c>
      <c r="C178" s="11">
        <v>4</v>
      </c>
      <c r="D178" s="18">
        <v>8</v>
      </c>
      <c r="E178" s="34">
        <f t="shared" si="1"/>
        <v>33</v>
      </c>
      <c r="F178" s="38"/>
      <c r="G178" s="17" t="s">
        <v>79</v>
      </c>
      <c r="H178" s="17" t="s">
        <v>123</v>
      </c>
      <c r="J178" s="3" cm="1">
        <f t="array" ref="J178:M178">_xlfn.XLOOKUP(H178,Families!$B$6:$B$25,_xlfn.ANCHORARRAY(Families!$I$6))</f>
        <v>10</v>
      </c>
      <c r="K178" s="3">
        <v>1</v>
      </c>
      <c r="L178" s="3">
        <v>4</v>
      </c>
      <c r="M178" s="3">
        <v>9</v>
      </c>
      <c r="O178" s="5" cm="1">
        <f t="array" ref="O178:X178">_xlfn.SEQUENCE(1,10,1,1)</f>
        <v>1</v>
      </c>
      <c r="P178" s="5">
        <v>2</v>
      </c>
      <c r="Q178" s="5">
        <v>3</v>
      </c>
      <c r="R178" s="5">
        <v>4</v>
      </c>
      <c r="S178" s="5">
        <v>5</v>
      </c>
      <c r="T178" s="5">
        <v>6</v>
      </c>
      <c r="U178" s="5">
        <v>7</v>
      </c>
      <c r="V178" s="5">
        <v>8</v>
      </c>
      <c r="W178" s="5">
        <v>9</v>
      </c>
      <c r="X178" s="5">
        <v>10</v>
      </c>
      <c r="AA178" s="5" cm="1">
        <f t="array" ref="AA178:AF178">_xlfn._xlws.FILTER(_xlfn.ANCHORARRAY(O178), COUNTIF(_xlfn.ANCHORARRAY(J178),_xlfn.ANCHORARRAY(O178))=0)</f>
        <v>2</v>
      </c>
      <c r="AB178" s="5">
        <v>3</v>
      </c>
      <c r="AC178" s="5">
        <v>5</v>
      </c>
      <c r="AD178" s="5">
        <v>6</v>
      </c>
      <c r="AE178" s="5">
        <v>7</v>
      </c>
      <c r="AF178" s="5">
        <v>8</v>
      </c>
      <c r="AH178" s="3" cm="1">
        <f t="array" ref="AH178:AQ178">_xlfn.XLOOKUP(G178,Destinations!$B$6:$B$20,Destinations!$C$6:$L$20,,0,1)</f>
        <v>6</v>
      </c>
      <c r="AI178" s="5">
        <v>8</v>
      </c>
      <c r="AJ178" s="5">
        <v>5</v>
      </c>
      <c r="AK178" s="5">
        <v>10</v>
      </c>
      <c r="AL178" s="5">
        <v>6</v>
      </c>
      <c r="AM178" s="5">
        <v>3</v>
      </c>
      <c r="AN178" s="5">
        <v>4</v>
      </c>
      <c r="AO178" s="5">
        <v>4</v>
      </c>
      <c r="AP178" s="5">
        <v>3</v>
      </c>
      <c r="AQ178" s="5">
        <v>5</v>
      </c>
      <c r="AT178" s="5" cm="1">
        <f t="array" ref="AT178">SUM(_xlfn.CHOOSECOLS(_xlfn.ANCHORARRAY(AH178),_xlfn.ANCHORARRAY(J178))*$L$154:$O$154) + SUM(_xlfn.CHOOSECOLS(_xlfn.ANCHORARRAY(AH178),_xlfn.ANCHORARRAY(AA178))*$P$154:$U$154)</f>
        <v>32.5</v>
      </c>
      <c r="AY178" s="5" t="s">
        <v>78</v>
      </c>
      <c r="AZ178" s="5" t="str">
        <v>Key</v>
      </c>
    </row>
    <row r="179" spans="2:52" ht="22.5" customHeight="1">
      <c r="B179" s="11">
        <v>50</v>
      </c>
      <c r="C179" s="11">
        <v>4</v>
      </c>
      <c r="D179" s="18">
        <v>8</v>
      </c>
      <c r="E179" s="34">
        <f t="shared" si="1"/>
        <v>28</v>
      </c>
      <c r="F179" s="38"/>
      <c r="G179" s="17" t="s">
        <v>77</v>
      </c>
      <c r="H179" s="17" t="s">
        <v>128</v>
      </c>
      <c r="J179" s="3" cm="1">
        <f t="array" ref="J179:M179">_xlfn.XLOOKUP(H179,Families!$B$6:$B$25,_xlfn.ANCHORARRAY(Families!$I$6))</f>
        <v>8</v>
      </c>
      <c r="K179" s="3">
        <v>9</v>
      </c>
      <c r="L179" s="3">
        <v>5</v>
      </c>
      <c r="M179" s="3">
        <v>1</v>
      </c>
      <c r="O179" s="5" cm="1">
        <f t="array" ref="O179:X179">_xlfn.SEQUENCE(1,10,1,1)</f>
        <v>1</v>
      </c>
      <c r="P179" s="5">
        <v>2</v>
      </c>
      <c r="Q179" s="5">
        <v>3</v>
      </c>
      <c r="R179" s="5">
        <v>4</v>
      </c>
      <c r="S179" s="5">
        <v>5</v>
      </c>
      <c r="T179" s="5">
        <v>6</v>
      </c>
      <c r="U179" s="5">
        <v>7</v>
      </c>
      <c r="V179" s="5">
        <v>8</v>
      </c>
      <c r="W179" s="5">
        <v>9</v>
      </c>
      <c r="X179" s="5">
        <v>10</v>
      </c>
      <c r="AA179" s="5" cm="1">
        <f t="array" ref="AA179:AF179">_xlfn._xlws.FILTER(_xlfn.ANCHORARRAY(O179), COUNTIF(_xlfn.ANCHORARRAY(J179),_xlfn.ANCHORARRAY(O179))=0)</f>
        <v>2</v>
      </c>
      <c r="AB179" s="5">
        <v>3</v>
      </c>
      <c r="AC179" s="5">
        <v>4</v>
      </c>
      <c r="AD179" s="5">
        <v>6</v>
      </c>
      <c r="AE179" s="5">
        <v>7</v>
      </c>
      <c r="AF179" s="5">
        <v>10</v>
      </c>
      <c r="AH179" s="3" cm="1">
        <f t="array" ref="AH179:AQ179">_xlfn.XLOOKUP(G179,Destinations!$B$6:$B$20,Destinations!$C$6:$L$20,,0,1)</f>
        <v>4</v>
      </c>
      <c r="AI179" s="5">
        <v>8</v>
      </c>
      <c r="AJ179" s="5">
        <v>6</v>
      </c>
      <c r="AK179" s="5">
        <v>5</v>
      </c>
      <c r="AL179" s="5">
        <v>3</v>
      </c>
      <c r="AM179" s="5">
        <v>4</v>
      </c>
      <c r="AN179" s="5">
        <v>4</v>
      </c>
      <c r="AO179" s="5">
        <v>3</v>
      </c>
      <c r="AP179" s="5">
        <v>6</v>
      </c>
      <c r="AQ179" s="5">
        <v>9</v>
      </c>
      <c r="AT179" s="5" cm="1">
        <f t="array" ref="AT179">SUM(_xlfn.CHOOSECOLS(_xlfn.ANCHORARRAY(AH179),_xlfn.ANCHORARRAY(J179))*$L$154:$O$154) + SUM(_xlfn.CHOOSECOLS(_xlfn.ANCHORARRAY(AH179),_xlfn.ANCHORARRAY(AA179))*$P$154:$U$154)</f>
        <v>28</v>
      </c>
      <c r="AY179" s="5" t="s">
        <v>78</v>
      </c>
      <c r="AZ179" s="5" t="str">
        <v>Lawson</v>
      </c>
    </row>
    <row r="180" spans="2:52" ht="22.5" customHeight="1">
      <c r="B180" s="11">
        <v>51</v>
      </c>
      <c r="C180" s="11">
        <v>4</v>
      </c>
      <c r="D180" s="18">
        <v>8</v>
      </c>
      <c r="E180" s="34">
        <f t="shared" si="1"/>
        <v>29</v>
      </c>
      <c r="F180" s="38"/>
      <c r="G180" s="17" t="s">
        <v>70</v>
      </c>
      <c r="H180" s="17" t="s">
        <v>129</v>
      </c>
      <c r="J180" s="3" cm="1">
        <f t="array" ref="J180:M180">_xlfn.XLOOKUP(H180,Families!$B$6:$B$25,_xlfn.ANCHORARRAY(Families!$I$6))</f>
        <v>4</v>
      </c>
      <c r="K180" s="3">
        <v>6</v>
      </c>
      <c r="L180" s="3">
        <v>2</v>
      </c>
      <c r="M180" s="3">
        <v>3</v>
      </c>
      <c r="O180" s="5" cm="1">
        <f t="array" ref="O180:X180">_xlfn.SEQUENCE(1,10,1,1)</f>
        <v>1</v>
      </c>
      <c r="P180" s="5">
        <v>2</v>
      </c>
      <c r="Q180" s="5">
        <v>3</v>
      </c>
      <c r="R180" s="5">
        <v>4</v>
      </c>
      <c r="S180" s="5">
        <v>5</v>
      </c>
      <c r="T180" s="5">
        <v>6</v>
      </c>
      <c r="U180" s="5">
        <v>7</v>
      </c>
      <c r="V180" s="5">
        <v>8</v>
      </c>
      <c r="W180" s="5">
        <v>9</v>
      </c>
      <c r="X180" s="5">
        <v>10</v>
      </c>
      <c r="AA180" s="5" cm="1">
        <f t="array" ref="AA180:AF180">_xlfn._xlws.FILTER(_xlfn.ANCHORARRAY(O180), COUNTIF(_xlfn.ANCHORARRAY(J180),_xlfn.ANCHORARRAY(O180))=0)</f>
        <v>1</v>
      </c>
      <c r="AB180" s="5">
        <v>5</v>
      </c>
      <c r="AC180" s="5">
        <v>7</v>
      </c>
      <c r="AD180" s="5">
        <v>8</v>
      </c>
      <c r="AE180" s="5">
        <v>9</v>
      </c>
      <c r="AF180" s="5">
        <v>10</v>
      </c>
      <c r="AH180" s="3" cm="1">
        <f t="array" ref="AH180:AQ180">_xlfn.XLOOKUP(G180,Destinations!$B$6:$B$20,Destinations!$C$6:$L$20,,0,1)</f>
        <v>6</v>
      </c>
      <c r="AI180" s="5">
        <v>6</v>
      </c>
      <c r="AJ180" s="5">
        <v>3</v>
      </c>
      <c r="AK180" s="5">
        <v>5</v>
      </c>
      <c r="AL180" s="5">
        <v>3</v>
      </c>
      <c r="AM180" s="5">
        <v>7</v>
      </c>
      <c r="AN180" s="5">
        <v>5</v>
      </c>
      <c r="AO180" s="5">
        <v>8</v>
      </c>
      <c r="AP180" s="5">
        <v>5</v>
      </c>
      <c r="AQ180" s="5">
        <v>1</v>
      </c>
      <c r="AT180" s="5" cm="1">
        <f t="array" ref="AT180">SUM(_xlfn.CHOOSECOLS(_xlfn.ANCHORARRAY(AH180),_xlfn.ANCHORARRAY(J180))*$L$154:$O$154) + SUM(_xlfn.CHOOSECOLS(_xlfn.ANCHORARRAY(AH180),_xlfn.ANCHORARRAY(AA180))*$P$154:$U$154)</f>
        <v>29.400000000000006</v>
      </c>
      <c r="AY180" s="5" t="s">
        <v>78</v>
      </c>
      <c r="AZ180" s="5" t="str">
        <v>Lomu</v>
      </c>
    </row>
    <row r="181" spans="2:52" ht="22.5" customHeight="1">
      <c r="B181" s="11">
        <v>52</v>
      </c>
      <c r="C181" s="11">
        <v>4</v>
      </c>
      <c r="D181" s="18">
        <v>8</v>
      </c>
      <c r="E181" s="34">
        <f t="shared" si="1"/>
        <v>29</v>
      </c>
      <c r="F181" s="38"/>
      <c r="G181" s="17" t="s">
        <v>76</v>
      </c>
      <c r="H181" s="17" t="s">
        <v>130</v>
      </c>
      <c r="J181" s="3" cm="1">
        <f t="array" ref="J181:M181">_xlfn.XLOOKUP(H181,Families!$B$6:$B$25,_xlfn.ANCHORARRAY(Families!$I$6))</f>
        <v>6</v>
      </c>
      <c r="K181" s="3">
        <v>3</v>
      </c>
      <c r="L181" s="3">
        <v>8</v>
      </c>
      <c r="M181" s="3">
        <v>4</v>
      </c>
      <c r="O181" s="5" cm="1">
        <f t="array" ref="O181:X181">_xlfn.SEQUENCE(1,10,1,1)</f>
        <v>1</v>
      </c>
      <c r="P181" s="5">
        <v>2</v>
      </c>
      <c r="Q181" s="5">
        <v>3</v>
      </c>
      <c r="R181" s="5">
        <v>4</v>
      </c>
      <c r="S181" s="5">
        <v>5</v>
      </c>
      <c r="T181" s="5">
        <v>6</v>
      </c>
      <c r="U181" s="5">
        <v>7</v>
      </c>
      <c r="V181" s="5">
        <v>8</v>
      </c>
      <c r="W181" s="5">
        <v>9</v>
      </c>
      <c r="X181" s="5">
        <v>10</v>
      </c>
      <c r="AA181" s="5" cm="1">
        <f t="array" ref="AA181:AF181">_xlfn._xlws.FILTER(_xlfn.ANCHORARRAY(O181), COUNTIF(_xlfn.ANCHORARRAY(J181),_xlfn.ANCHORARRAY(O181))=0)</f>
        <v>1</v>
      </c>
      <c r="AB181" s="5">
        <v>2</v>
      </c>
      <c r="AC181" s="5">
        <v>5</v>
      </c>
      <c r="AD181" s="5">
        <v>7</v>
      </c>
      <c r="AE181" s="5">
        <v>9</v>
      </c>
      <c r="AF181" s="5">
        <v>10</v>
      </c>
      <c r="AH181" s="3" cm="1">
        <f t="array" ref="AH181:AQ181">_xlfn.XLOOKUP(G181,Destinations!$B$6:$B$20,Destinations!$C$6:$L$20,,0,1)</f>
        <v>8</v>
      </c>
      <c r="AI181" s="5">
        <v>8</v>
      </c>
      <c r="AJ181" s="5">
        <v>5</v>
      </c>
      <c r="AK181" s="5">
        <v>6</v>
      </c>
      <c r="AL181" s="5">
        <v>5</v>
      </c>
      <c r="AM181" s="5">
        <v>2</v>
      </c>
      <c r="AN181" s="5">
        <v>5</v>
      </c>
      <c r="AO181" s="5">
        <v>3</v>
      </c>
      <c r="AP181" s="5">
        <v>10</v>
      </c>
      <c r="AQ181" s="5">
        <v>4</v>
      </c>
      <c r="AT181" s="5" cm="1">
        <f t="array" ref="AT181">SUM(_xlfn.CHOOSECOLS(_xlfn.ANCHORARRAY(AH181),_xlfn.ANCHORARRAY(J181))*$L$154:$O$154) + SUM(_xlfn.CHOOSECOLS(_xlfn.ANCHORARRAY(AH181),_xlfn.ANCHORARRAY(AA181))*$P$154:$U$154)</f>
        <v>29.1</v>
      </c>
      <c r="AY181" s="5" t="s">
        <v>78</v>
      </c>
      <c r="AZ181" s="5" t="str">
        <v>Mahy</v>
      </c>
    </row>
    <row r="182" spans="2:52" ht="22.5" customHeight="1">
      <c r="B182" s="11">
        <v>53</v>
      </c>
      <c r="C182" s="11">
        <v>4</v>
      </c>
      <c r="D182" s="18">
        <v>8</v>
      </c>
      <c r="E182" s="34">
        <f t="shared" si="1"/>
        <v>28</v>
      </c>
      <c r="F182" s="38"/>
      <c r="G182" s="17" t="s">
        <v>78</v>
      </c>
      <c r="H182" s="17" t="s">
        <v>131</v>
      </c>
      <c r="J182" s="3" cm="1">
        <f t="array" ref="J182:M182">_xlfn.XLOOKUP(H182,Families!$B$6:$B$25,_xlfn.ANCHORARRAY(Families!$I$6))</f>
        <v>9</v>
      </c>
      <c r="K182" s="3">
        <v>3</v>
      </c>
      <c r="L182" s="3">
        <v>1</v>
      </c>
      <c r="M182" s="3">
        <v>5</v>
      </c>
      <c r="O182" s="5" cm="1">
        <f t="array" ref="O182:X182">_xlfn.SEQUENCE(1,10,1,1)</f>
        <v>1</v>
      </c>
      <c r="P182" s="5">
        <v>2</v>
      </c>
      <c r="Q182" s="5">
        <v>3</v>
      </c>
      <c r="R182" s="5">
        <v>4</v>
      </c>
      <c r="S182" s="5">
        <v>5</v>
      </c>
      <c r="T182" s="5">
        <v>6</v>
      </c>
      <c r="U182" s="5">
        <v>7</v>
      </c>
      <c r="V182" s="5">
        <v>8</v>
      </c>
      <c r="W182" s="5">
        <v>9</v>
      </c>
      <c r="X182" s="5">
        <v>10</v>
      </c>
      <c r="AA182" s="5" cm="1">
        <f t="array" ref="AA182:AF182">_xlfn._xlws.FILTER(_xlfn.ANCHORARRAY(O182), COUNTIF(_xlfn.ANCHORARRAY(J182),_xlfn.ANCHORARRAY(O182))=0)</f>
        <v>2</v>
      </c>
      <c r="AB182" s="5">
        <v>4</v>
      </c>
      <c r="AC182" s="5">
        <v>6</v>
      </c>
      <c r="AD182" s="5">
        <v>7</v>
      </c>
      <c r="AE182" s="5">
        <v>8</v>
      </c>
      <c r="AF182" s="5">
        <v>10</v>
      </c>
      <c r="AH182" s="3" cm="1">
        <f t="array" ref="AH182:AQ182">_xlfn.XLOOKUP(G182,Destinations!$B$6:$B$20,Destinations!$C$6:$L$20,,0,1)</f>
        <v>6</v>
      </c>
      <c r="AI182" s="5">
        <v>5</v>
      </c>
      <c r="AJ182" s="5">
        <v>5</v>
      </c>
      <c r="AK182" s="5">
        <v>4</v>
      </c>
      <c r="AL182" s="5">
        <v>3</v>
      </c>
      <c r="AM182" s="5">
        <v>7</v>
      </c>
      <c r="AN182" s="5">
        <v>7</v>
      </c>
      <c r="AO182" s="5">
        <v>5</v>
      </c>
      <c r="AP182" s="5">
        <v>3</v>
      </c>
      <c r="AQ182" s="5">
        <v>5</v>
      </c>
      <c r="AT182" s="5" cm="1">
        <f t="array" ref="AT182">SUM(_xlfn.CHOOSECOLS(_xlfn.ANCHORARRAY(AH182),_xlfn.ANCHORARRAY(J182))*$L$154:$O$154) + SUM(_xlfn.CHOOSECOLS(_xlfn.ANCHORARRAY(AH182),_xlfn.ANCHORARRAY(AA182))*$P$154:$U$154)</f>
        <v>27.6</v>
      </c>
      <c r="AY182" s="5" t="s">
        <v>78</v>
      </c>
      <c r="AZ182" s="5" t="str">
        <v>Mansfield</v>
      </c>
    </row>
    <row r="183" spans="2:52" ht="22.5" customHeight="1">
      <c r="B183" s="11">
        <v>54</v>
      </c>
      <c r="C183" s="11">
        <v>4</v>
      </c>
      <c r="D183" s="18">
        <v>8</v>
      </c>
      <c r="E183" s="34">
        <f t="shared" si="1"/>
        <v>35</v>
      </c>
      <c r="F183" s="38"/>
      <c r="G183" s="17" t="s">
        <v>74</v>
      </c>
      <c r="H183" s="17" t="s">
        <v>121</v>
      </c>
      <c r="J183" s="3" cm="1">
        <f t="array" ref="J183:M183">_xlfn.XLOOKUP(H183,Families!$B$6:$B$25,_xlfn.ANCHORARRAY(Families!$I$6))</f>
        <v>3</v>
      </c>
      <c r="K183" s="3">
        <v>5</v>
      </c>
      <c r="L183" s="3">
        <v>10</v>
      </c>
      <c r="M183" s="3">
        <v>7</v>
      </c>
      <c r="O183" s="5" cm="1">
        <f t="array" ref="O183:X183">_xlfn.SEQUENCE(1,10,1,1)</f>
        <v>1</v>
      </c>
      <c r="P183" s="5">
        <v>2</v>
      </c>
      <c r="Q183" s="5">
        <v>3</v>
      </c>
      <c r="R183" s="5">
        <v>4</v>
      </c>
      <c r="S183" s="5">
        <v>5</v>
      </c>
      <c r="T183" s="5">
        <v>6</v>
      </c>
      <c r="U183" s="5">
        <v>7</v>
      </c>
      <c r="V183" s="5">
        <v>8</v>
      </c>
      <c r="W183" s="5">
        <v>9</v>
      </c>
      <c r="X183" s="5">
        <v>10</v>
      </c>
      <c r="AA183" s="5" cm="1">
        <f t="array" ref="AA183:AF183">_xlfn._xlws.FILTER(_xlfn.ANCHORARRAY(O183), COUNTIF(_xlfn.ANCHORARRAY(J183),_xlfn.ANCHORARRAY(O183))=0)</f>
        <v>1</v>
      </c>
      <c r="AB183" s="5">
        <v>2</v>
      </c>
      <c r="AC183" s="5">
        <v>4</v>
      </c>
      <c r="AD183" s="5">
        <v>6</v>
      </c>
      <c r="AE183" s="5">
        <v>8</v>
      </c>
      <c r="AF183" s="5">
        <v>9</v>
      </c>
      <c r="AH183" s="3" cm="1">
        <f t="array" ref="AH183:AQ183">_xlfn.XLOOKUP(G183,Destinations!$B$6:$B$20,Destinations!$C$6:$L$20,,0,1)</f>
        <v>4</v>
      </c>
      <c r="AI183" s="5">
        <v>9</v>
      </c>
      <c r="AJ183" s="5">
        <v>5</v>
      </c>
      <c r="AK183" s="5">
        <v>8</v>
      </c>
      <c r="AL183" s="5">
        <v>6</v>
      </c>
      <c r="AM183" s="5">
        <v>3</v>
      </c>
      <c r="AN183" s="5">
        <v>10</v>
      </c>
      <c r="AO183" s="5">
        <v>3</v>
      </c>
      <c r="AP183" s="5">
        <v>4</v>
      </c>
      <c r="AQ183" s="5">
        <v>6</v>
      </c>
      <c r="AT183" s="5" cm="1">
        <f t="array" ref="AT183">SUM(_xlfn.CHOOSECOLS(_xlfn.ANCHORARRAY(AH183),_xlfn.ANCHORARRAY(J183))*$L$154:$O$154) + SUM(_xlfn.CHOOSECOLS(_xlfn.ANCHORARRAY(AH183),_xlfn.ANCHORARRAY(AA183))*$P$154:$U$154)</f>
        <v>34.6</v>
      </c>
      <c r="AY183" s="5" t="s">
        <v>78</v>
      </c>
      <c r="AZ183" s="5" t="str">
        <v>McCaw</v>
      </c>
    </row>
    <row r="184" spans="2:52" ht="22.5" customHeight="1">
      <c r="B184" s="11">
        <v>55</v>
      </c>
      <c r="C184" s="11">
        <v>4</v>
      </c>
      <c r="D184" s="18">
        <v>8</v>
      </c>
      <c r="E184" s="34">
        <f t="shared" si="1"/>
        <v>32</v>
      </c>
      <c r="F184" s="38"/>
      <c r="G184" s="17" t="s">
        <v>103</v>
      </c>
      <c r="H184" s="17" t="s">
        <v>125</v>
      </c>
      <c r="J184" s="3" cm="1">
        <f t="array" ref="J184:M184">_xlfn.XLOOKUP(H184,Families!$B$6:$B$25,_xlfn.ANCHORARRAY(Families!$I$6))</f>
        <v>1</v>
      </c>
      <c r="K184" s="3">
        <v>9</v>
      </c>
      <c r="L184" s="3">
        <v>7</v>
      </c>
      <c r="M184" s="3">
        <v>2</v>
      </c>
      <c r="O184" s="5" cm="1">
        <f t="array" ref="O184:X184">_xlfn.SEQUENCE(1,10,1,1)</f>
        <v>1</v>
      </c>
      <c r="P184" s="5">
        <v>2</v>
      </c>
      <c r="Q184" s="5">
        <v>3</v>
      </c>
      <c r="R184" s="5">
        <v>4</v>
      </c>
      <c r="S184" s="5">
        <v>5</v>
      </c>
      <c r="T184" s="5">
        <v>6</v>
      </c>
      <c r="U184" s="5">
        <v>7</v>
      </c>
      <c r="V184" s="5">
        <v>8</v>
      </c>
      <c r="W184" s="5">
        <v>9</v>
      </c>
      <c r="X184" s="5">
        <v>10</v>
      </c>
      <c r="AA184" s="5" cm="1">
        <f t="array" ref="AA184:AF184">_xlfn._xlws.FILTER(_xlfn.ANCHORARRAY(O184), COUNTIF(_xlfn.ANCHORARRAY(J184),_xlfn.ANCHORARRAY(O184))=0)</f>
        <v>3</v>
      </c>
      <c r="AB184" s="5">
        <v>4</v>
      </c>
      <c r="AC184" s="5">
        <v>5</v>
      </c>
      <c r="AD184" s="5">
        <v>6</v>
      </c>
      <c r="AE184" s="5">
        <v>8</v>
      </c>
      <c r="AF184" s="5">
        <v>10</v>
      </c>
      <c r="AH184" s="3" cm="1">
        <f t="array" ref="AH184:AQ184">_xlfn.XLOOKUP(G184,Destinations!$B$6:$B$20,Destinations!$C$6:$L$20,,0,1)</f>
        <v>10</v>
      </c>
      <c r="AI184" s="5">
        <v>6</v>
      </c>
      <c r="AJ184" s="5">
        <v>3</v>
      </c>
      <c r="AK184" s="5">
        <v>9</v>
      </c>
      <c r="AL184" s="5">
        <v>3</v>
      </c>
      <c r="AM184" s="5">
        <v>7</v>
      </c>
      <c r="AN184" s="5">
        <v>2</v>
      </c>
      <c r="AO184" s="5">
        <v>7</v>
      </c>
      <c r="AP184" s="5">
        <v>5</v>
      </c>
      <c r="AQ184" s="5">
        <v>1</v>
      </c>
      <c r="AT184" s="5" cm="1">
        <f t="array" ref="AT184">SUM(_xlfn.CHOOSECOLS(_xlfn.ANCHORARRAY(AH184),_xlfn.ANCHORARRAY(J184))*$L$154:$O$154) + SUM(_xlfn.CHOOSECOLS(_xlfn.ANCHORARRAY(AH184),_xlfn.ANCHORARRAY(AA184))*$P$154:$U$154)</f>
        <v>32.300000000000004</v>
      </c>
      <c r="AY184" s="5" t="s">
        <v>78</v>
      </c>
      <c r="AZ184" s="5" t="str">
        <v>Ngata</v>
      </c>
    </row>
    <row r="185" spans="2:52" ht="22.5" customHeight="1">
      <c r="B185" s="11">
        <v>56</v>
      </c>
      <c r="C185" s="11">
        <v>4</v>
      </c>
      <c r="D185" s="18">
        <v>8</v>
      </c>
      <c r="E185" s="34">
        <f t="shared" si="1"/>
        <v>36</v>
      </c>
      <c r="F185" s="38"/>
      <c r="G185" s="17" t="s">
        <v>76</v>
      </c>
      <c r="H185" s="17" t="s">
        <v>132</v>
      </c>
      <c r="J185" s="3" cm="1">
        <f t="array" ref="J185:M185">_xlfn.XLOOKUP(H185,Families!$B$6:$B$25,_xlfn.ANCHORARRAY(Families!$I$6))</f>
        <v>1</v>
      </c>
      <c r="K185" s="3">
        <v>2</v>
      </c>
      <c r="L185" s="3">
        <v>7</v>
      </c>
      <c r="M185" s="3">
        <v>9</v>
      </c>
      <c r="O185" s="5" cm="1">
        <f t="array" ref="O185:X185">_xlfn.SEQUENCE(1,10,1,1)</f>
        <v>1</v>
      </c>
      <c r="P185" s="5">
        <v>2</v>
      </c>
      <c r="Q185" s="5">
        <v>3</v>
      </c>
      <c r="R185" s="5">
        <v>4</v>
      </c>
      <c r="S185" s="5">
        <v>5</v>
      </c>
      <c r="T185" s="5">
        <v>6</v>
      </c>
      <c r="U185" s="5">
        <v>7</v>
      </c>
      <c r="V185" s="5">
        <v>8</v>
      </c>
      <c r="W185" s="5">
        <v>9</v>
      </c>
      <c r="X185" s="5">
        <v>10</v>
      </c>
      <c r="AA185" s="5" cm="1">
        <f t="array" ref="AA185:AF185">_xlfn._xlws.FILTER(_xlfn.ANCHORARRAY(O185), COUNTIF(_xlfn.ANCHORARRAY(J185),_xlfn.ANCHORARRAY(O185))=0)</f>
        <v>3</v>
      </c>
      <c r="AB185" s="5">
        <v>4</v>
      </c>
      <c r="AC185" s="5">
        <v>5</v>
      </c>
      <c r="AD185" s="5">
        <v>6</v>
      </c>
      <c r="AE185" s="5">
        <v>8</v>
      </c>
      <c r="AF185" s="5">
        <v>10</v>
      </c>
      <c r="AH185" s="3" cm="1">
        <f t="array" ref="AH185:AQ185">_xlfn.XLOOKUP(G185,Destinations!$B$6:$B$20,Destinations!$C$6:$L$20,,0,1)</f>
        <v>8</v>
      </c>
      <c r="AI185" s="5">
        <v>8</v>
      </c>
      <c r="AJ185" s="5">
        <v>5</v>
      </c>
      <c r="AK185" s="5">
        <v>6</v>
      </c>
      <c r="AL185" s="5">
        <v>5</v>
      </c>
      <c r="AM185" s="5">
        <v>2</v>
      </c>
      <c r="AN185" s="5">
        <v>5</v>
      </c>
      <c r="AO185" s="5">
        <v>3</v>
      </c>
      <c r="AP185" s="5">
        <v>10</v>
      </c>
      <c r="AQ185" s="5">
        <v>4</v>
      </c>
      <c r="AT185" s="5" cm="1">
        <f t="array" ref="AT185">SUM(_xlfn.CHOOSECOLS(_xlfn.ANCHORARRAY(AH185),_xlfn.ANCHORARRAY(J185))*$L$154:$O$154) + SUM(_xlfn.CHOOSECOLS(_xlfn.ANCHORARRAY(AH185),_xlfn.ANCHORARRAY(AA185))*$P$154:$U$154)</f>
        <v>36.200000000000003</v>
      </c>
      <c r="AY185" s="5" t="s">
        <v>78</v>
      </c>
      <c r="AZ185" s="5" t="str">
        <v>Rutherford</v>
      </c>
    </row>
    <row r="186" spans="2:52" ht="22.5" customHeight="1">
      <c r="B186" s="11">
        <v>57</v>
      </c>
      <c r="C186" s="11">
        <v>4</v>
      </c>
      <c r="D186" s="18">
        <v>8</v>
      </c>
      <c r="E186" s="34">
        <f t="shared" si="1"/>
        <v>32</v>
      </c>
      <c r="F186" s="38"/>
      <c r="G186" s="17" t="s">
        <v>72</v>
      </c>
      <c r="H186" s="17" t="s">
        <v>127</v>
      </c>
      <c r="J186" s="3" cm="1">
        <f t="array" ref="J186:M186">_xlfn.XLOOKUP(H186,Families!$B$6:$B$25,_xlfn.ANCHORARRAY(Families!$I$6))</f>
        <v>2</v>
      </c>
      <c r="K186" s="3">
        <v>1</v>
      </c>
      <c r="L186" s="3">
        <v>9</v>
      </c>
      <c r="M186" s="3">
        <v>8</v>
      </c>
      <c r="O186" s="5" cm="1">
        <f t="array" ref="O186:X186">_xlfn.SEQUENCE(1,10,1,1)</f>
        <v>1</v>
      </c>
      <c r="P186" s="5">
        <v>2</v>
      </c>
      <c r="Q186" s="5">
        <v>3</v>
      </c>
      <c r="R186" s="5">
        <v>4</v>
      </c>
      <c r="S186" s="5">
        <v>5</v>
      </c>
      <c r="T186" s="5">
        <v>6</v>
      </c>
      <c r="U186" s="5">
        <v>7</v>
      </c>
      <c r="V186" s="5">
        <v>8</v>
      </c>
      <c r="W186" s="5">
        <v>9</v>
      </c>
      <c r="X186" s="5">
        <v>10</v>
      </c>
      <c r="AA186" s="5" cm="1">
        <f t="array" ref="AA186:AF186">_xlfn._xlws.FILTER(_xlfn.ANCHORARRAY(O186), COUNTIF(_xlfn.ANCHORARRAY(J186),_xlfn.ANCHORARRAY(O186))=0)</f>
        <v>3</v>
      </c>
      <c r="AB186" s="5">
        <v>4</v>
      </c>
      <c r="AC186" s="5">
        <v>5</v>
      </c>
      <c r="AD186" s="5">
        <v>6</v>
      </c>
      <c r="AE186" s="5">
        <v>7</v>
      </c>
      <c r="AF186" s="5">
        <v>10</v>
      </c>
      <c r="AH186" s="3" cm="1">
        <f t="array" ref="AH186:AQ186">_xlfn.XLOOKUP(G186,Destinations!$B$6:$B$20,Destinations!$C$6:$L$20,,0,1)</f>
        <v>5</v>
      </c>
      <c r="AI186" s="5">
        <v>7</v>
      </c>
      <c r="AJ186" s="5">
        <v>4</v>
      </c>
      <c r="AK186" s="5">
        <v>5</v>
      </c>
      <c r="AL186" s="5">
        <v>6</v>
      </c>
      <c r="AM186" s="5">
        <v>5</v>
      </c>
      <c r="AN186" s="5">
        <v>5</v>
      </c>
      <c r="AO186" s="5">
        <v>4</v>
      </c>
      <c r="AP186" s="5">
        <v>6</v>
      </c>
      <c r="AQ186" s="5">
        <v>7</v>
      </c>
      <c r="AT186" s="5" cm="1">
        <f t="array" ref="AT186">SUM(_xlfn.CHOOSECOLS(_xlfn.ANCHORARRAY(AH186),_xlfn.ANCHORARRAY(J186))*$L$154:$O$154) + SUM(_xlfn.CHOOSECOLS(_xlfn.ANCHORARRAY(AH186),_xlfn.ANCHORARRAY(AA186))*$P$154:$U$154)</f>
        <v>31.900000000000002</v>
      </c>
      <c r="AY186" s="5" t="s">
        <v>78</v>
      </c>
      <c r="AZ186" s="5" t="str">
        <v>Sheppard</v>
      </c>
    </row>
    <row r="187" spans="2:52" ht="22.5" customHeight="1">
      <c r="B187" s="11">
        <v>58</v>
      </c>
      <c r="C187" s="11">
        <v>4</v>
      </c>
      <c r="D187" s="18">
        <v>8</v>
      </c>
      <c r="E187" s="34">
        <f t="shared" si="1"/>
        <v>34</v>
      </c>
      <c r="F187" s="38"/>
      <c r="G187" s="17" t="s">
        <v>75</v>
      </c>
      <c r="H187" s="17" t="s">
        <v>123</v>
      </c>
      <c r="J187" s="3" cm="1">
        <f t="array" ref="J187:M187">_xlfn.XLOOKUP(H187,Families!$B$6:$B$25,_xlfn.ANCHORARRAY(Families!$I$6))</f>
        <v>10</v>
      </c>
      <c r="K187" s="3">
        <v>1</v>
      </c>
      <c r="L187" s="3">
        <v>4</v>
      </c>
      <c r="M187" s="3">
        <v>9</v>
      </c>
      <c r="O187" s="5" cm="1">
        <f t="array" ref="O187:X187">_xlfn.SEQUENCE(1,10,1,1)</f>
        <v>1</v>
      </c>
      <c r="P187" s="5">
        <v>2</v>
      </c>
      <c r="Q187" s="5">
        <v>3</v>
      </c>
      <c r="R187" s="5">
        <v>4</v>
      </c>
      <c r="S187" s="5">
        <v>5</v>
      </c>
      <c r="T187" s="5">
        <v>6</v>
      </c>
      <c r="U187" s="5">
        <v>7</v>
      </c>
      <c r="V187" s="5">
        <v>8</v>
      </c>
      <c r="W187" s="5">
        <v>9</v>
      </c>
      <c r="X187" s="5">
        <v>10</v>
      </c>
      <c r="AA187" s="5" cm="1">
        <f t="array" ref="AA187:AF187">_xlfn._xlws.FILTER(_xlfn.ANCHORARRAY(O187), COUNTIF(_xlfn.ANCHORARRAY(J187),_xlfn.ANCHORARRAY(O187))=0)</f>
        <v>2</v>
      </c>
      <c r="AB187" s="5">
        <v>3</v>
      </c>
      <c r="AC187" s="5">
        <v>5</v>
      </c>
      <c r="AD187" s="5">
        <v>6</v>
      </c>
      <c r="AE187" s="5">
        <v>7</v>
      </c>
      <c r="AF187" s="5">
        <v>8</v>
      </c>
      <c r="AH187" s="3" cm="1">
        <f t="array" ref="AH187:AQ187">_xlfn.XLOOKUP(G187,Destinations!$B$6:$B$20,Destinations!$C$6:$L$20,,0,1)</f>
        <v>5</v>
      </c>
      <c r="AI187" s="5">
        <v>5</v>
      </c>
      <c r="AJ187" s="5">
        <v>5</v>
      </c>
      <c r="AK187" s="5">
        <v>8</v>
      </c>
      <c r="AL187" s="5">
        <v>6</v>
      </c>
      <c r="AM187" s="5">
        <v>4</v>
      </c>
      <c r="AN187" s="5">
        <v>5</v>
      </c>
      <c r="AO187" s="5">
        <v>4</v>
      </c>
      <c r="AP187" s="5">
        <v>5</v>
      </c>
      <c r="AQ187" s="5">
        <v>8</v>
      </c>
      <c r="AT187" s="5" cm="1">
        <f t="array" ref="AT187">SUM(_xlfn.CHOOSECOLS(_xlfn.ANCHORARRAY(AH187),_xlfn.ANCHORARRAY(J187))*$L$154:$O$154) + SUM(_xlfn.CHOOSECOLS(_xlfn.ANCHORARRAY(AH187),_xlfn.ANCHORARRAY(AA187))*$P$154:$U$154)</f>
        <v>34</v>
      </c>
      <c r="AY187" s="5" t="s">
        <v>78</v>
      </c>
      <c r="AZ187" s="5" t="str">
        <v>Te Kanawa</v>
      </c>
    </row>
    <row r="188" spans="2:52" ht="22.5" customHeight="1">
      <c r="B188" s="11">
        <v>59</v>
      </c>
      <c r="C188" s="11">
        <v>4</v>
      </c>
      <c r="D188" s="18">
        <v>8</v>
      </c>
      <c r="E188" s="34">
        <f t="shared" si="1"/>
        <v>31</v>
      </c>
      <c r="F188" s="38"/>
      <c r="G188" s="17" t="s">
        <v>70</v>
      </c>
      <c r="H188" s="17" t="s">
        <v>127</v>
      </c>
      <c r="J188" s="3" cm="1">
        <f t="array" ref="J188:M188">_xlfn.XLOOKUP(H188,Families!$B$6:$B$25,_xlfn.ANCHORARRAY(Families!$I$6))</f>
        <v>2</v>
      </c>
      <c r="K188" s="3">
        <v>1</v>
      </c>
      <c r="L188" s="3">
        <v>9</v>
      </c>
      <c r="M188" s="3">
        <v>8</v>
      </c>
      <c r="O188" s="5" cm="1">
        <f t="array" ref="O188:X188">_xlfn.SEQUENCE(1,10,1,1)</f>
        <v>1</v>
      </c>
      <c r="P188" s="5">
        <v>2</v>
      </c>
      <c r="Q188" s="5">
        <v>3</v>
      </c>
      <c r="R188" s="5">
        <v>4</v>
      </c>
      <c r="S188" s="5">
        <v>5</v>
      </c>
      <c r="T188" s="5">
        <v>6</v>
      </c>
      <c r="U188" s="5">
        <v>7</v>
      </c>
      <c r="V188" s="5">
        <v>8</v>
      </c>
      <c r="W188" s="5">
        <v>9</v>
      </c>
      <c r="X188" s="5">
        <v>10</v>
      </c>
      <c r="AA188" s="5" cm="1">
        <f t="array" ref="AA188:AF188">_xlfn._xlws.FILTER(_xlfn.ANCHORARRAY(O188), COUNTIF(_xlfn.ANCHORARRAY(J188),_xlfn.ANCHORARRAY(O188))=0)</f>
        <v>3</v>
      </c>
      <c r="AB188" s="5">
        <v>4</v>
      </c>
      <c r="AC188" s="5">
        <v>5</v>
      </c>
      <c r="AD188" s="5">
        <v>6</v>
      </c>
      <c r="AE188" s="5">
        <v>7</v>
      </c>
      <c r="AF188" s="5">
        <v>10</v>
      </c>
      <c r="AH188" s="3" cm="1">
        <f t="array" ref="AH188:AQ188">_xlfn.XLOOKUP(G188,Destinations!$B$6:$B$20,Destinations!$C$6:$L$20,,0,1)</f>
        <v>6</v>
      </c>
      <c r="AI188" s="5">
        <v>6</v>
      </c>
      <c r="AJ188" s="5">
        <v>3</v>
      </c>
      <c r="AK188" s="5">
        <v>5</v>
      </c>
      <c r="AL188" s="5">
        <v>3</v>
      </c>
      <c r="AM188" s="5">
        <v>7</v>
      </c>
      <c r="AN188" s="5">
        <v>5</v>
      </c>
      <c r="AO188" s="5">
        <v>8</v>
      </c>
      <c r="AP188" s="5">
        <v>5</v>
      </c>
      <c r="AQ188" s="5">
        <v>1</v>
      </c>
      <c r="AT188" s="5" cm="1">
        <f t="array" ref="AT188">SUM(_xlfn.CHOOSECOLS(_xlfn.ANCHORARRAY(AH188),_xlfn.ANCHORARRAY(J188))*$L$154:$O$154) + SUM(_xlfn.CHOOSECOLS(_xlfn.ANCHORARRAY(AH188),_xlfn.ANCHORARRAY(AA188))*$P$154:$U$154)</f>
        <v>30.6</v>
      </c>
      <c r="AY188" s="5" t="s">
        <v>78</v>
      </c>
      <c r="AZ188" s="5" t="str">
        <v>Umaga</v>
      </c>
    </row>
    <row r="189" spans="2:52" ht="22.5" customHeight="1">
      <c r="B189" s="11">
        <v>60</v>
      </c>
      <c r="C189" s="11">
        <v>4</v>
      </c>
      <c r="D189" s="18">
        <v>8</v>
      </c>
      <c r="E189" s="34">
        <f t="shared" si="1"/>
        <v>33</v>
      </c>
      <c r="F189" s="38"/>
      <c r="G189" s="17" t="s">
        <v>72</v>
      </c>
      <c r="H189" s="17" t="s">
        <v>120</v>
      </c>
      <c r="J189" s="3" cm="1">
        <f t="array" ref="J189:M189">_xlfn.XLOOKUP(H189,Families!$B$6:$B$25,_xlfn.ANCHORARRAY(Families!$I$6))</f>
        <v>1</v>
      </c>
      <c r="K189" s="3">
        <v>5</v>
      </c>
      <c r="L189" s="3">
        <v>10</v>
      </c>
      <c r="M189" s="3">
        <v>2</v>
      </c>
      <c r="O189" s="5" cm="1">
        <f t="array" ref="O189:X189">_xlfn.SEQUENCE(1,10,1,1)</f>
        <v>1</v>
      </c>
      <c r="P189" s="5">
        <v>2</v>
      </c>
      <c r="Q189" s="5">
        <v>3</v>
      </c>
      <c r="R189" s="5">
        <v>4</v>
      </c>
      <c r="S189" s="5">
        <v>5</v>
      </c>
      <c r="T189" s="5">
        <v>6</v>
      </c>
      <c r="U189" s="5">
        <v>7</v>
      </c>
      <c r="V189" s="5">
        <v>8</v>
      </c>
      <c r="W189" s="5">
        <v>9</v>
      </c>
      <c r="X189" s="5">
        <v>10</v>
      </c>
      <c r="AA189" s="5" cm="1">
        <f t="array" ref="AA189:AF189">_xlfn._xlws.FILTER(_xlfn.ANCHORARRAY(O189), COUNTIF(_xlfn.ANCHORARRAY(J189),_xlfn.ANCHORARRAY(O189))=0)</f>
        <v>3</v>
      </c>
      <c r="AB189" s="5">
        <v>4</v>
      </c>
      <c r="AC189" s="5">
        <v>6</v>
      </c>
      <c r="AD189" s="5">
        <v>7</v>
      </c>
      <c r="AE189" s="5">
        <v>8</v>
      </c>
      <c r="AF189" s="5">
        <v>9</v>
      </c>
      <c r="AH189" s="3" cm="1">
        <f t="array" ref="AH189:AQ189">_xlfn.XLOOKUP(G189,Destinations!$B$6:$B$20,Destinations!$C$6:$L$20,,0,1)</f>
        <v>5</v>
      </c>
      <c r="AI189" s="5">
        <v>7</v>
      </c>
      <c r="AJ189" s="5">
        <v>4</v>
      </c>
      <c r="AK189" s="5">
        <v>5</v>
      </c>
      <c r="AL189" s="5">
        <v>6</v>
      </c>
      <c r="AM189" s="5">
        <v>5</v>
      </c>
      <c r="AN189" s="5">
        <v>5</v>
      </c>
      <c r="AO189" s="5">
        <v>4</v>
      </c>
      <c r="AP189" s="5">
        <v>6</v>
      </c>
      <c r="AQ189" s="5">
        <v>7</v>
      </c>
      <c r="AT189" s="5" cm="1">
        <f t="array" ref="AT189">SUM(_xlfn.CHOOSECOLS(_xlfn.ANCHORARRAY(AH189),_xlfn.ANCHORARRAY(J189))*$L$154:$O$154) + SUM(_xlfn.CHOOSECOLS(_xlfn.ANCHORARRAY(AH189),_xlfn.ANCHORARRAY(AA189))*$P$154:$U$154)</f>
        <v>32.5</v>
      </c>
      <c r="AY189" s="5" t="s">
        <v>78</v>
      </c>
      <c r="AZ189" s="5" t="str">
        <v>Williamson</v>
      </c>
    </row>
    <row r="192" spans="2:52" ht="22.5" customHeight="1" thickBot="1">
      <c r="B192" s="62" t="s">
        <v>133</v>
      </c>
      <c r="C192" s="64" t="s">
        <v>105</v>
      </c>
    </row>
    <row r="193" spans="2:12" ht="15" customHeight="1">
      <c r="B193" s="15"/>
      <c r="C193" s="3"/>
    </row>
    <row r="194" spans="2:12" ht="15" customHeight="1">
      <c r="B194" s="42" t="s">
        <v>134</v>
      </c>
    </row>
    <row r="195" spans="2:12" ht="15" customHeight="1">
      <c r="B195" s="40" t="s">
        <v>135</v>
      </c>
      <c r="C195" s="30"/>
    </row>
    <row r="196" spans="2:12" ht="15" customHeight="1">
      <c r="B196" s="42" t="s">
        <v>136</v>
      </c>
      <c r="C196" s="30"/>
    </row>
    <row r="197" spans="2:12" ht="15" customHeight="1">
      <c r="B197" s="42" t="s">
        <v>137</v>
      </c>
      <c r="C197" s="30"/>
    </row>
    <row r="198" spans="2:12" ht="15" customHeight="1">
      <c r="B198" s="42"/>
      <c r="C198" s="30"/>
    </row>
    <row r="199" spans="2:12" ht="15" customHeight="1">
      <c r="B199" s="42" t="s">
        <v>138</v>
      </c>
      <c r="C199" s="30"/>
    </row>
    <row r="200" spans="2:12" ht="15" customHeight="1">
      <c r="B200" s="42" t="s">
        <v>139</v>
      </c>
      <c r="C200" s="30"/>
    </row>
    <row r="201" spans="2:12" ht="15" customHeight="1">
      <c r="B201" s="42" t="s">
        <v>140</v>
      </c>
      <c r="C201" s="30"/>
    </row>
    <row r="202" spans="2:12" ht="15" customHeight="1">
      <c r="B202" s="42" t="s">
        <v>141</v>
      </c>
      <c r="C202" s="30"/>
    </row>
    <row r="203" spans="2:12" ht="15" customHeight="1">
      <c r="B203" s="42" t="s">
        <v>142</v>
      </c>
      <c r="C203" s="30"/>
    </row>
    <row r="204" spans="2:12" ht="15" customHeight="1">
      <c r="B204" s="42"/>
      <c r="C204" s="30"/>
    </row>
    <row r="205" spans="2:12" ht="15" customHeight="1">
      <c r="B205" s="28" t="s">
        <v>50</v>
      </c>
      <c r="C205" s="30"/>
    </row>
    <row r="206" spans="2:12" ht="15" customHeight="1">
      <c r="B206" s="39" t="s">
        <v>143</v>
      </c>
      <c r="C206" s="43"/>
    </row>
    <row r="207" spans="2:12" ht="15" customHeight="1">
      <c r="B207" s="39" t="s">
        <v>144</v>
      </c>
      <c r="C207" s="43"/>
      <c r="H207" s="3"/>
    </row>
    <row r="208" spans="2:12" ht="15" customHeight="1">
      <c r="B208" s="39" t="s">
        <v>145</v>
      </c>
      <c r="C208" s="43"/>
      <c r="H208" s="3"/>
      <c r="L208" s="124"/>
    </row>
    <row r="209" spans="2:23" ht="15" customHeight="1" thickBot="1">
      <c r="H209" s="3"/>
      <c r="L209" s="124"/>
    </row>
    <row r="210" spans="2:23" ht="22.5" customHeight="1" thickBot="1">
      <c r="B210" s="59" t="s">
        <v>28</v>
      </c>
      <c r="C210" s="59" t="s">
        <v>55</v>
      </c>
      <c r="D210" s="59" t="s">
        <v>30</v>
      </c>
      <c r="E210" s="59" t="s">
        <v>56</v>
      </c>
      <c r="G210" s="59" t="s">
        <v>146</v>
      </c>
      <c r="H210" s="59" t="s">
        <v>147</v>
      </c>
      <c r="J210" s="3" t="s">
        <v>207</v>
      </c>
      <c r="K210" s="3" t="s">
        <v>206</v>
      </c>
      <c r="L210" s="124" t="s">
        <v>208</v>
      </c>
      <c r="M210" s="124" t="s">
        <v>212</v>
      </c>
      <c r="N210" s="3" t="str" cm="1">
        <f t="array" ref="N210:P210">TRANSPOSE(Distances!N5:N7)</f>
        <v>Auckland</v>
      </c>
      <c r="O210" s="5" t="str">
        <v>Christchurch</v>
      </c>
      <c r="P210" s="5" t="str">
        <v>Wellington</v>
      </c>
      <c r="R210" s="5" t="s">
        <v>209</v>
      </c>
      <c r="S210" s="5" t="s">
        <v>210</v>
      </c>
      <c r="T210" s="5" t="s">
        <v>211</v>
      </c>
      <c r="W210" s="5" t="s">
        <v>213</v>
      </c>
    </row>
    <row r="211" spans="2:23" ht="15" customHeight="1">
      <c r="B211" s="3"/>
      <c r="C211" s="3"/>
      <c r="D211" s="3"/>
      <c r="E211" s="4"/>
      <c r="H211" s="3"/>
      <c r="L211" s="124"/>
      <c r="M211" s="124"/>
      <c r="N211" s="3"/>
    </row>
    <row r="212" spans="2:23" ht="22.5" customHeight="1">
      <c r="B212" s="11" t="s">
        <v>148</v>
      </c>
      <c r="C212" s="11">
        <v>5</v>
      </c>
      <c r="D212" s="18">
        <v>0</v>
      </c>
      <c r="E212" s="34">
        <v>844</v>
      </c>
      <c r="F212" s="38"/>
      <c r="G212" s="17" t="s">
        <v>70</v>
      </c>
      <c r="H212" s="17" t="s">
        <v>79</v>
      </c>
      <c r="L212" s="124"/>
      <c r="M212" s="124"/>
      <c r="N212" s="3"/>
    </row>
    <row r="213" spans="2:23" ht="15" customHeight="1">
      <c r="B213" s="3"/>
      <c r="C213" s="3"/>
      <c r="D213" s="3"/>
      <c r="E213" s="3"/>
      <c r="F213" s="9"/>
      <c r="H213" s="3"/>
      <c r="L213" s="124"/>
      <c r="M213" s="124"/>
      <c r="N213" s="3"/>
    </row>
    <row r="214" spans="2:23" ht="22.5" customHeight="1">
      <c r="B214" s="11">
        <v>61</v>
      </c>
      <c r="C214" s="11">
        <v>5</v>
      </c>
      <c r="D214" s="18">
        <v>9</v>
      </c>
      <c r="E214" s="34" cm="1">
        <f t="array" ref="E214:E233">ROUND(M214:M233/80 * 60 + IF(NOT(_xlfn.ANCHORARRAY(L214)), 3.5 * 60,0),0)</f>
        <v>400</v>
      </c>
      <c r="F214" s="38"/>
      <c r="G214" s="17" t="s">
        <v>74</v>
      </c>
      <c r="H214" s="17" t="s">
        <v>78</v>
      </c>
      <c r="J214" s="3" t="str" cm="1">
        <f t="array" ref="J214:J233">IFERROR(_xlfn.XLOOKUP(G214:G233,Distances!N11:N20,Distances!M11:M20,, 0, 1), "South Island")</f>
        <v>North Island</v>
      </c>
      <c r="K214" s="3" t="str" cm="1">
        <f t="array" ref="K214:K233">IFERROR(_xlfn.XLOOKUP(H214:H233,Distances!N11:N20,Distances!M11:M20,, 0, 1), "South Island")</f>
        <v>North Island</v>
      </c>
      <c r="L214" s="124" t="b" cm="1">
        <f t="array" ref="L214:L233">_xlfn.ANCHORARRAY(J214)=_xlfn.ANCHORARRAY(K214)</f>
        <v>1</v>
      </c>
      <c r="M214" s="124" cm="1">
        <f t="array" ref="M214">_xlfn.CHOOSECOLS(_xlfn.XLOOKUP(G214,Distances!$P$5:$P$19,Distances!$Q$5:$AE$19,,0,1), MATCH(H214,Distances!$Q$4:$AE$4,0))</f>
        <v>533</v>
      </c>
      <c r="N214" s="3" cm="1">
        <f t="array" ref="N214:P214">_xlfn.CHOOSECOLS(_xlfn.XLOOKUP(G214,Distances!$P$5:$P$19,Distances!$Q$5:$AE$19,,0,1), MATCH(_xlfn.ANCHORARRAY($N$210),Distances!$Q$4:$AE$4,0))</f>
        <v>504</v>
      </c>
      <c r="O214" s="5">
        <v>963</v>
      </c>
      <c r="P214" s="5">
        <v>533</v>
      </c>
      <c r="R214" s="5">
        <f>MIN(_xlfn.ANCHORARRAY(N214))</f>
        <v>504</v>
      </c>
      <c r="S214" s="5" t="str">
        <f>INDEX(_xlfn.ANCHORARRAY($N$210),1,MATCH(R214,_xlfn.ANCHORARRAY(N214),0))</f>
        <v>Auckland</v>
      </c>
      <c r="T214" s="5" cm="1">
        <f t="array" ref="T214">_xlfn.CHOOSECOLS(_xlfn.XLOOKUP(S214,Distances!$P$5:$P$19,Distances!$Q$5:$AE$19,,0,1), MATCH(H214,Distances!$Q$4:$AE$4,0))</f>
        <v>660</v>
      </c>
      <c r="W214" s="5" cm="1">
        <f t="array" ref="W214:W233">IF(_xlfn.ANCHORARRAY(L214),M214:M233,R214:R233+T214:T233)</f>
        <v>533</v>
      </c>
    </row>
    <row r="215" spans="2:23" ht="22.5" customHeight="1">
      <c r="B215" s="11">
        <v>62</v>
      </c>
      <c r="C215" s="11">
        <v>5</v>
      </c>
      <c r="D215" s="18">
        <v>9</v>
      </c>
      <c r="E215" s="34">
        <v>311</v>
      </c>
      <c r="F215" s="38"/>
      <c r="G215" s="17" t="s">
        <v>79</v>
      </c>
      <c r="H215" s="17" t="s">
        <v>149</v>
      </c>
      <c r="J215" s="3" t="str">
        <v>South Island</v>
      </c>
      <c r="K215" s="3" t="str">
        <v>South Island</v>
      </c>
      <c r="L215" s="124" t="b">
        <v>1</v>
      </c>
      <c r="M215" s="124" cm="1">
        <f t="array" ref="M215">_xlfn.CHOOSECOLS(_xlfn.XLOOKUP(G215,Distances!$P$5:$P$19,Distances!$Q$5:$AE$19,,0,1), MATCH(H215,Distances!$Q$4:$AE$4,0))</f>
        <v>414</v>
      </c>
      <c r="N215" s="3" cm="1">
        <f t="array" ref="N215:P215">_xlfn.CHOOSECOLS(_xlfn.XLOOKUP(G215,Distances!$P$5:$P$19,Distances!$Q$5:$AE$19,,0,1), MATCH(_xlfn.ANCHORARRAY($N$210),Distances!$Q$4:$AE$4,0))</f>
        <v>845</v>
      </c>
      <c r="O215" s="5">
        <v>414</v>
      </c>
      <c r="P215" s="5">
        <v>207</v>
      </c>
      <c r="R215" s="5">
        <f t="shared" ref="R215:R233" si="2">MIN(_xlfn.ANCHORARRAY(N215))</f>
        <v>207</v>
      </c>
      <c r="S215" s="5" t="str">
        <f>INDEX(_xlfn.ANCHORARRAY($N$210),1,MATCH(R215,_xlfn.ANCHORARRAY(N215),0))</f>
        <v>Wellington</v>
      </c>
      <c r="T215" s="5" cm="1">
        <f t="array" ref="T215">_xlfn.CHOOSECOLS(_xlfn.XLOOKUP(S215,Distances!$P$5:$P$19,Distances!$Q$5:$AE$19,,0,1), MATCH(H215,Distances!$Q$4:$AE$4,0))</f>
        <v>435</v>
      </c>
      <c r="W215" s="5">
        <v>414</v>
      </c>
    </row>
    <row r="216" spans="2:23" ht="22.5" customHeight="1">
      <c r="B216" s="11">
        <v>63</v>
      </c>
      <c r="C216" s="11">
        <v>5</v>
      </c>
      <c r="D216" s="18">
        <v>9</v>
      </c>
      <c r="E216" s="34">
        <v>1435</v>
      </c>
      <c r="F216" s="38"/>
      <c r="G216" s="17" t="s">
        <v>70</v>
      </c>
      <c r="H216" s="17" t="s">
        <v>150</v>
      </c>
      <c r="J216" s="3" t="str">
        <v>North Island</v>
      </c>
      <c r="K216" s="3" t="str">
        <v>South Island</v>
      </c>
      <c r="L216" s="124" t="b">
        <v>0</v>
      </c>
      <c r="M216" s="124" cm="1">
        <f t="array" ref="M216">_xlfn.CHOOSECOLS(_xlfn.XLOOKUP(G216,Distances!$P$5:$P$19,Distances!$Q$5:$AE$19,,0,1), MATCH(H216,Distances!$Q$4:$AE$4,0))</f>
        <v>1633</v>
      </c>
      <c r="N216" s="3" cm="1">
        <f t="array" ref="N216:P216">_xlfn.CHOOSECOLS(_xlfn.XLOOKUP(G216,Distances!$P$5:$P$19,Distances!$Q$5:$AE$19,,0,1), MATCH(_xlfn.ANCHORARRAY($N$210),Distances!$Q$4:$AE$4,0))</f>
        <v>0</v>
      </c>
      <c r="O216" s="5">
        <v>1073</v>
      </c>
      <c r="P216" s="5">
        <v>660</v>
      </c>
      <c r="R216" s="5">
        <f t="shared" si="2"/>
        <v>0</v>
      </c>
      <c r="S216" s="5" t="str">
        <f>INDEX(_xlfn.ANCHORARRAY($N$210),1,MATCH(R216,_xlfn.ANCHORARRAY(N216),0))</f>
        <v>Auckland</v>
      </c>
      <c r="T216" s="5" cm="1">
        <f t="array" ref="T216">_xlfn.CHOOSECOLS(_xlfn.XLOOKUP(S216,Distances!$P$5:$P$19,Distances!$Q$5:$AE$19,,0,1), MATCH(H216,Distances!$Q$4:$AE$4,0))</f>
        <v>1633</v>
      </c>
      <c r="W216" s="5">
        <v>1633</v>
      </c>
    </row>
    <row r="217" spans="2:23" ht="22.5" customHeight="1">
      <c r="B217" s="11">
        <v>64</v>
      </c>
      <c r="C217" s="11">
        <v>5</v>
      </c>
      <c r="D217" s="18">
        <v>9</v>
      </c>
      <c r="E217" s="34">
        <v>128</v>
      </c>
      <c r="F217" s="38"/>
      <c r="G217" s="17" t="s">
        <v>69</v>
      </c>
      <c r="H217" s="17" t="s">
        <v>70</v>
      </c>
      <c r="J217" s="3" t="str">
        <v>North Island</v>
      </c>
      <c r="K217" s="3" t="str">
        <v>North Island</v>
      </c>
      <c r="L217" s="124" t="b">
        <v>1</v>
      </c>
      <c r="M217" s="124" cm="1">
        <f t="array" ref="M217">_xlfn.CHOOSECOLS(_xlfn.XLOOKUP(G217,Distances!$P$5:$P$19,Distances!$Q$5:$AE$19,,0,1), MATCH(H217,Distances!$Q$4:$AE$4,0))</f>
        <v>170</v>
      </c>
      <c r="N217" s="3" cm="1">
        <f t="array" ref="N217:P217">_xlfn.CHOOSECOLS(_xlfn.XLOOKUP(G217,Distances!$P$5:$P$19,Distances!$Q$5:$AE$19,,0,1), MATCH(_xlfn.ANCHORARRAY($N$210),Distances!$Q$4:$AE$4,0))</f>
        <v>170</v>
      </c>
      <c r="O217" s="5">
        <v>1236</v>
      </c>
      <c r="P217" s="5">
        <v>819</v>
      </c>
      <c r="R217" s="5">
        <f t="shared" si="2"/>
        <v>170</v>
      </c>
      <c r="S217" s="5" t="str">
        <f>INDEX(_xlfn.ANCHORARRAY($N$210),1,MATCH(R217,_xlfn.ANCHORARRAY(N217),0))</f>
        <v>Auckland</v>
      </c>
      <c r="T217" s="5" cm="1">
        <f t="array" ref="T217">_xlfn.CHOOSECOLS(_xlfn.XLOOKUP(S217,Distances!$P$5:$P$19,Distances!$Q$5:$AE$19,,0,1), MATCH(H217,Distances!$Q$4:$AE$4,0))</f>
        <v>0</v>
      </c>
      <c r="W217" s="5">
        <v>170</v>
      </c>
    </row>
    <row r="218" spans="2:23" ht="22.5" customHeight="1">
      <c r="B218" s="11">
        <v>65</v>
      </c>
      <c r="C218" s="11">
        <v>5</v>
      </c>
      <c r="D218" s="18">
        <v>9</v>
      </c>
      <c r="E218" s="34">
        <v>243</v>
      </c>
      <c r="F218" s="38"/>
      <c r="G218" s="17" t="s">
        <v>73</v>
      </c>
      <c r="H218" s="17" t="s">
        <v>77</v>
      </c>
      <c r="J218" s="3" t="str">
        <v>North Island</v>
      </c>
      <c r="K218" s="3" t="str">
        <v>North Island</v>
      </c>
      <c r="L218" s="124" t="b">
        <v>1</v>
      </c>
      <c r="M218" s="124" cm="1">
        <f t="array" ref="M218">_xlfn.CHOOSECOLS(_xlfn.XLOOKUP(G218,Distances!$P$5:$P$19,Distances!$Q$5:$AE$19,,0,1), MATCH(H218,Distances!$Q$4:$AE$4,0))</f>
        <v>324</v>
      </c>
      <c r="N218" s="3" cm="1">
        <f t="array" ref="N218:P218">_xlfn.CHOOSECOLS(_xlfn.XLOOKUP(G218,Distances!$P$5:$P$19,Distances!$Q$5:$AE$19,,0,1), MATCH(_xlfn.ANCHORARRAY($N$210),Distances!$Q$4:$AE$4,0))</f>
        <v>234</v>
      </c>
      <c r="O218" s="5">
        <v>883</v>
      </c>
      <c r="P218" s="5">
        <v>453</v>
      </c>
      <c r="R218" s="5">
        <f t="shared" si="2"/>
        <v>234</v>
      </c>
      <c r="S218" s="5" t="str">
        <f>INDEX(_xlfn.ANCHORARRAY($N$210),1,MATCH(R218,_xlfn.ANCHORARRAY(N218),0))</f>
        <v>Auckland</v>
      </c>
      <c r="T218" s="5" cm="1">
        <f t="array" ref="T218">_xlfn.CHOOSECOLS(_xlfn.XLOOKUP(S218,Distances!$P$5:$P$19,Distances!$Q$5:$AE$19,,0,1), MATCH(H218,Distances!$Q$4:$AE$4,0))</f>
        <v>528</v>
      </c>
      <c r="W218" s="5">
        <v>324</v>
      </c>
    </row>
    <row r="219" spans="2:23" ht="22.5" customHeight="1">
      <c r="B219" s="11">
        <v>66</v>
      </c>
      <c r="C219" s="11">
        <v>5</v>
      </c>
      <c r="D219" s="18">
        <v>9</v>
      </c>
      <c r="E219" s="34">
        <v>400</v>
      </c>
      <c r="F219" s="38"/>
      <c r="G219" s="17" t="s">
        <v>74</v>
      </c>
      <c r="H219" s="17" t="s">
        <v>78</v>
      </c>
      <c r="J219" s="3" t="str">
        <v>North Island</v>
      </c>
      <c r="K219" s="3" t="str">
        <v>North Island</v>
      </c>
      <c r="L219" s="124" t="b">
        <v>1</v>
      </c>
      <c r="M219" s="124" cm="1">
        <f t="array" ref="M219">_xlfn.CHOOSECOLS(_xlfn.XLOOKUP(G219,Distances!$P$5:$P$19,Distances!$Q$5:$AE$19,,0,1), MATCH(H219,Distances!$Q$4:$AE$4,0))</f>
        <v>533</v>
      </c>
      <c r="N219" s="3" cm="1">
        <f t="array" ref="N219:P219">_xlfn.CHOOSECOLS(_xlfn.XLOOKUP(G219,Distances!$P$5:$P$19,Distances!$Q$5:$AE$19,,0,1), MATCH(_xlfn.ANCHORARRAY($N$210),Distances!$Q$4:$AE$4,0))</f>
        <v>504</v>
      </c>
      <c r="O219" s="5">
        <v>963</v>
      </c>
      <c r="P219" s="5">
        <v>533</v>
      </c>
      <c r="R219" s="5">
        <f t="shared" si="2"/>
        <v>504</v>
      </c>
      <c r="S219" s="5" t="str">
        <f>INDEX(_xlfn.ANCHORARRAY($N$210),1,MATCH(R219,_xlfn.ANCHORARRAY(N219),0))</f>
        <v>Auckland</v>
      </c>
      <c r="T219" s="5" cm="1">
        <f t="array" ref="T219">_xlfn.CHOOSECOLS(_xlfn.XLOOKUP(S219,Distances!$P$5:$P$19,Distances!$Q$5:$AE$19,,0,1), MATCH(H219,Distances!$Q$4:$AE$4,0))</f>
        <v>660</v>
      </c>
      <c r="W219" s="5">
        <v>533</v>
      </c>
    </row>
    <row r="220" spans="2:23" ht="22.5" customHeight="1">
      <c r="B220" s="11">
        <v>67</v>
      </c>
      <c r="C220" s="11">
        <v>5</v>
      </c>
      <c r="D220" s="18">
        <v>9</v>
      </c>
      <c r="E220" s="34">
        <v>803</v>
      </c>
      <c r="F220" s="38"/>
      <c r="G220" s="17" t="s">
        <v>78</v>
      </c>
      <c r="H220" s="17" t="s">
        <v>151</v>
      </c>
      <c r="J220" s="3" t="str">
        <v>North Island</v>
      </c>
      <c r="K220" s="3" t="str">
        <v>South Island</v>
      </c>
      <c r="L220" s="124" t="b">
        <v>0</v>
      </c>
      <c r="M220" s="124" cm="1">
        <f t="array" ref="M220">_xlfn.CHOOSECOLS(_xlfn.XLOOKUP(G220,Distances!$P$5:$P$19,Distances!$Q$5:$AE$19,,0,1), MATCH(H220,Distances!$Q$4:$AE$4,0))</f>
        <v>790</v>
      </c>
      <c r="N220" s="3" cm="1">
        <f t="array" ref="N220:P220">_xlfn.CHOOSECOLS(_xlfn.XLOOKUP(G220,Distances!$P$5:$P$19,Distances!$Q$5:$AE$19,,0,1), MATCH(_xlfn.ANCHORARRAY($N$210),Distances!$Q$4:$AE$4,0))</f>
        <v>660</v>
      </c>
      <c r="O220" s="5">
        <v>435</v>
      </c>
      <c r="P220" s="5">
        <v>0</v>
      </c>
      <c r="R220" s="5">
        <f t="shared" si="2"/>
        <v>0</v>
      </c>
      <c r="S220" s="5" t="str">
        <f>INDEX(_xlfn.ANCHORARRAY($N$210),1,MATCH(R220,_xlfn.ANCHORARRAY(N220),0))</f>
        <v>Wellington</v>
      </c>
      <c r="T220" s="5" cm="1">
        <f t="array" ref="T220">_xlfn.CHOOSECOLS(_xlfn.XLOOKUP(S220,Distances!$P$5:$P$19,Distances!$Q$5:$AE$19,,0,1), MATCH(H220,Distances!$Q$4:$AE$4,0))</f>
        <v>790</v>
      </c>
      <c r="W220" s="5">
        <v>790</v>
      </c>
    </row>
    <row r="221" spans="2:23" ht="22.5" customHeight="1">
      <c r="B221" s="11">
        <v>68</v>
      </c>
      <c r="C221" s="11">
        <v>5</v>
      </c>
      <c r="D221" s="18">
        <v>9</v>
      </c>
      <c r="E221" s="34">
        <v>1373</v>
      </c>
      <c r="F221" s="38"/>
      <c r="G221" s="17" t="s">
        <v>103</v>
      </c>
      <c r="H221" s="17" t="s">
        <v>70</v>
      </c>
      <c r="J221" s="3" t="str">
        <v>South Island</v>
      </c>
      <c r="K221" s="3" t="str">
        <v>North Island</v>
      </c>
      <c r="L221" s="124" t="b">
        <v>0</v>
      </c>
      <c r="M221" s="124" cm="1">
        <f t="array" ref="M221">_xlfn.CHOOSECOLS(_xlfn.XLOOKUP(G221,Distances!$P$5:$P$19,Distances!$Q$5:$AE$19,,0,1), MATCH(H221,Distances!$Q$4:$AE$4,0))</f>
        <v>1550</v>
      </c>
      <c r="N221" s="3" cm="1">
        <f t="array" ref="N221:P221">_xlfn.CHOOSECOLS(_xlfn.XLOOKUP(G221,Distances!$P$5:$P$19,Distances!$Q$5:$AE$19,,0,1), MATCH(_xlfn.ANCHORARRAY($N$210),Distances!$Q$4:$AE$4,0))</f>
        <v>1550</v>
      </c>
      <c r="O221" s="5">
        <v>482</v>
      </c>
      <c r="P221" s="5">
        <v>912</v>
      </c>
      <c r="R221" s="5">
        <f t="shared" si="2"/>
        <v>482</v>
      </c>
      <c r="S221" s="5" t="str">
        <f>INDEX(_xlfn.ANCHORARRAY($N$210),1,MATCH(R221,_xlfn.ANCHORARRAY(N221),0))</f>
        <v>Christchurch</v>
      </c>
      <c r="T221" s="5" cm="1">
        <f t="array" ref="T221">_xlfn.CHOOSECOLS(_xlfn.XLOOKUP(S221,Distances!$P$5:$P$19,Distances!$Q$5:$AE$19,,0,1), MATCH(H221,Distances!$Q$4:$AE$4,0))</f>
        <v>1073</v>
      </c>
      <c r="W221" s="5">
        <v>1555</v>
      </c>
    </row>
    <row r="222" spans="2:23" ht="22.5" customHeight="1">
      <c r="B222" s="11">
        <v>69</v>
      </c>
      <c r="C222" s="11">
        <v>5</v>
      </c>
      <c r="D222" s="18">
        <v>9</v>
      </c>
      <c r="E222" s="34">
        <v>751</v>
      </c>
      <c r="F222" s="38"/>
      <c r="G222" s="17" t="s">
        <v>79</v>
      </c>
      <c r="H222" s="17" t="s">
        <v>72</v>
      </c>
      <c r="J222" s="3" t="str">
        <v>South Island</v>
      </c>
      <c r="K222" s="3" t="str">
        <v>North Island</v>
      </c>
      <c r="L222" s="124" t="b">
        <v>0</v>
      </c>
      <c r="M222" s="124" cm="1">
        <f t="array" ref="M222">_xlfn.CHOOSECOLS(_xlfn.XLOOKUP(G222,Distances!$P$5:$P$19,Distances!$Q$5:$AE$19,,0,1), MATCH(H222,Distances!$Q$4:$AE$4,0))</f>
        <v>721</v>
      </c>
      <c r="N222" s="3" t="e" cm="1">
        <f t="array" ref="N222">_xlfn.CHOOSECOLS(_xlfn.XLOOKUP(G222,Distances!$P$5:$P$19,Distances!$Q$5:$AE$19,,0,1), MATCH(_xlfn.ANCHORARRAY($N$210),Distances!$Q$4:$AE$4,0))</f>
        <v>#VALUE!</v>
      </c>
      <c r="R222" s="5" t="e">
        <f t="shared" si="2"/>
        <v>#VALUE!</v>
      </c>
      <c r="S222" s="5" t="e">
        <f>INDEX(_xlfn.ANCHORARRAY($N$210),1,MATCH(R222,_xlfn.ANCHORARRAY(N222),0))</f>
        <v>#VALUE!</v>
      </c>
      <c r="T222" s="5" t="e" cm="1">
        <f t="array" ref="T222">_xlfn.CHOOSECOLS(_xlfn.XLOOKUP(S222,Distances!$P$5:$P$19,Distances!$Q$5:$AE$19,,0,1), MATCH(H222,Distances!$Q$4:$AE$4,0))</f>
        <v>#VALUE!</v>
      </c>
      <c r="W222" s="5" t="e">
        <v>#VALUE!</v>
      </c>
    </row>
    <row r="223" spans="2:23" ht="22.5" customHeight="1">
      <c r="B223" s="11">
        <v>70</v>
      </c>
      <c r="C223" s="11">
        <v>5</v>
      </c>
      <c r="D223" s="18">
        <v>9</v>
      </c>
      <c r="E223" s="34">
        <v>137</v>
      </c>
      <c r="F223" s="38"/>
      <c r="G223" s="17" t="s">
        <v>77</v>
      </c>
      <c r="H223" s="17" t="s">
        <v>76</v>
      </c>
      <c r="J223" s="3" t="str">
        <v>North Island</v>
      </c>
      <c r="K223" s="3" t="str">
        <v>North Island</v>
      </c>
      <c r="L223" s="124" t="b">
        <v>1</v>
      </c>
      <c r="M223" s="124" cm="1">
        <f t="array" ref="M223">_xlfn.CHOOSECOLS(_xlfn.XLOOKUP(G223,Distances!$P$5:$P$19,Distances!$Q$5:$AE$19,,0,1), MATCH(H223,Distances!$Q$4:$AE$4,0))</f>
        <v>183</v>
      </c>
      <c r="N223" s="3" cm="1">
        <f t="array" ref="N223:P223">_xlfn.CHOOSECOLS(_xlfn.XLOOKUP(G223,Distances!$P$5:$P$19,Distances!$Q$5:$AE$19,,0,1), MATCH(_xlfn.ANCHORARRAY($N$210),Distances!$Q$4:$AE$4,0))</f>
        <v>528</v>
      </c>
      <c r="O223" s="5">
        <v>572</v>
      </c>
      <c r="P223" s="5">
        <v>142</v>
      </c>
      <c r="R223" s="5">
        <f t="shared" si="2"/>
        <v>142</v>
      </c>
      <c r="S223" s="5" t="str">
        <f>INDEX(_xlfn.ANCHORARRAY($N$210),1,MATCH(R223,_xlfn.ANCHORARRAY(N223),0))</f>
        <v>Wellington</v>
      </c>
      <c r="T223" s="5" cm="1">
        <f t="array" ref="T223">_xlfn.CHOOSECOLS(_xlfn.XLOOKUP(S223,Distances!$P$5:$P$19,Distances!$Q$5:$AE$19,,0,1), MATCH(H223,Distances!$Q$4:$AE$4,0))</f>
        <v>323</v>
      </c>
      <c r="W223" s="5">
        <v>183</v>
      </c>
    </row>
    <row r="224" spans="2:23" ht="22.5" customHeight="1">
      <c r="B224" s="11">
        <v>71</v>
      </c>
      <c r="C224" s="11">
        <v>5</v>
      </c>
      <c r="D224" s="18">
        <v>9</v>
      </c>
      <c r="E224" s="34">
        <v>495</v>
      </c>
      <c r="F224" s="38"/>
      <c r="G224" s="17" t="s">
        <v>70</v>
      </c>
      <c r="H224" s="17" t="s">
        <v>78</v>
      </c>
      <c r="J224" s="3" t="str">
        <v>North Island</v>
      </c>
      <c r="K224" s="3" t="str">
        <v>North Island</v>
      </c>
      <c r="L224" s="124" t="b">
        <v>1</v>
      </c>
      <c r="M224" s="124" cm="1">
        <f t="array" ref="M224">_xlfn.CHOOSECOLS(_xlfn.XLOOKUP(G224,Distances!$P$5:$P$19,Distances!$Q$5:$AE$19,,0,1), MATCH(H224,Distances!$Q$4:$AE$4,0))</f>
        <v>660</v>
      </c>
      <c r="N224" s="3" t="e" cm="1">
        <f t="array" ref="N224">_xlfn.CHOOSECOLS(_xlfn.XLOOKUP(G224,Distances!$P$5:$P$19,Distances!$Q$5:$AE$19,,0,1), MATCH(_xlfn.ANCHORARRAY($N$210),Distances!$Q$4:$AE$4,0))</f>
        <v>#VALUE!</v>
      </c>
      <c r="R224" s="5" t="e">
        <f t="shared" si="2"/>
        <v>#VALUE!</v>
      </c>
      <c r="S224" s="5" t="e">
        <f>INDEX(_xlfn.ANCHORARRAY($N$210),1,MATCH(R224,_xlfn.ANCHORARRAY(N224),0))</f>
        <v>#VALUE!</v>
      </c>
      <c r="T224" s="5" t="e" cm="1">
        <f t="array" ref="T224">_xlfn.CHOOSECOLS(_xlfn.XLOOKUP(S224,Distances!$P$5:$P$19,Distances!$Q$5:$AE$19,,0,1), MATCH(H224,Distances!$Q$4:$AE$4,0))</f>
        <v>#VALUE!</v>
      </c>
      <c r="W224" s="5">
        <v>660</v>
      </c>
    </row>
    <row r="225" spans="2:23" ht="22.5" customHeight="1">
      <c r="B225" s="11">
        <v>72</v>
      </c>
      <c r="C225" s="11">
        <v>5</v>
      </c>
      <c r="D225" s="18">
        <v>9</v>
      </c>
      <c r="E225" s="34">
        <v>317</v>
      </c>
      <c r="F225" s="38"/>
      <c r="G225" s="17" t="s">
        <v>76</v>
      </c>
      <c r="H225" s="17" t="s">
        <v>70</v>
      </c>
      <c r="J225" s="3" t="str">
        <v>North Island</v>
      </c>
      <c r="K225" s="3" t="str">
        <v>North Island</v>
      </c>
      <c r="L225" s="124" t="b">
        <v>1</v>
      </c>
      <c r="M225" s="124" cm="1">
        <f t="array" ref="M225">_xlfn.CHOOSECOLS(_xlfn.XLOOKUP(G225,Distances!$P$5:$P$19,Distances!$Q$5:$AE$19,,0,1), MATCH(H225,Distances!$Q$4:$AE$4,0))</f>
        <v>423</v>
      </c>
      <c r="N225" s="3" cm="1">
        <f t="array" ref="N225:P225">_xlfn.CHOOSECOLS(_xlfn.XLOOKUP(G225,Distances!$P$5:$P$19,Distances!$Q$5:$AE$19,,0,1), MATCH(_xlfn.ANCHORARRAY($N$210),Distances!$Q$4:$AE$4,0))</f>
        <v>423</v>
      </c>
      <c r="O225" s="5">
        <v>753</v>
      </c>
      <c r="P225" s="5">
        <v>323</v>
      </c>
      <c r="R225" s="5">
        <f t="shared" si="2"/>
        <v>323</v>
      </c>
      <c r="S225" s="5" t="str">
        <f>INDEX(_xlfn.ANCHORARRAY($N$210),1,MATCH(R225,_xlfn.ANCHORARRAY(N225),0))</f>
        <v>Wellington</v>
      </c>
      <c r="T225" s="5" cm="1">
        <f t="array" ref="T225">_xlfn.CHOOSECOLS(_xlfn.XLOOKUP(S225,Distances!$P$5:$P$19,Distances!$Q$5:$AE$19,,0,1), MATCH(H225,Distances!$Q$4:$AE$4,0))</f>
        <v>660</v>
      </c>
      <c r="W225" s="5">
        <v>423</v>
      </c>
    </row>
    <row r="226" spans="2:23" ht="22.5" customHeight="1">
      <c r="B226" s="11">
        <v>73</v>
      </c>
      <c r="C226" s="11">
        <v>5</v>
      </c>
      <c r="D226" s="18">
        <v>9</v>
      </c>
      <c r="E226" s="34">
        <v>107</v>
      </c>
      <c r="F226" s="38"/>
      <c r="G226" s="17" t="s">
        <v>78</v>
      </c>
      <c r="H226" s="17" t="s">
        <v>77</v>
      </c>
      <c r="J226" s="3" t="str">
        <v>North Island</v>
      </c>
      <c r="K226" s="3" t="str">
        <v>North Island</v>
      </c>
      <c r="L226" s="124" t="b">
        <v>1</v>
      </c>
      <c r="M226" s="124" cm="1">
        <f t="array" ref="M226">_xlfn.CHOOSECOLS(_xlfn.XLOOKUP(G226,Distances!$P$5:$P$19,Distances!$Q$5:$AE$19,,0,1), MATCH(H226,Distances!$Q$4:$AE$4,0))</f>
        <v>142</v>
      </c>
      <c r="N226" s="3" cm="1">
        <f t="array" ref="N226:P226">_xlfn.CHOOSECOLS(_xlfn.XLOOKUP(G226,Distances!$P$5:$P$19,Distances!$Q$5:$AE$19,,0,1), MATCH(_xlfn.ANCHORARRAY($N$210),Distances!$Q$4:$AE$4,0))</f>
        <v>660</v>
      </c>
      <c r="O226" s="5">
        <v>435</v>
      </c>
      <c r="P226" s="5">
        <v>0</v>
      </c>
      <c r="R226" s="5">
        <f t="shared" si="2"/>
        <v>0</v>
      </c>
      <c r="S226" s="5" t="str">
        <f>INDEX(_xlfn.ANCHORARRAY($N$210),1,MATCH(R226,_xlfn.ANCHORARRAY(N226),0))</f>
        <v>Wellington</v>
      </c>
      <c r="T226" s="5" cm="1">
        <f t="array" ref="T226">_xlfn.CHOOSECOLS(_xlfn.XLOOKUP(S226,Distances!$P$5:$P$19,Distances!$Q$5:$AE$19,,0,1), MATCH(H226,Distances!$Q$4:$AE$4,0))</f>
        <v>142</v>
      </c>
      <c r="W226" s="5">
        <v>142</v>
      </c>
    </row>
    <row r="227" spans="2:23" ht="22.5" customHeight="1">
      <c r="B227" s="11">
        <v>74</v>
      </c>
      <c r="C227" s="11">
        <v>5</v>
      </c>
      <c r="D227" s="18">
        <v>9</v>
      </c>
      <c r="E227" s="34">
        <v>932</v>
      </c>
      <c r="F227" s="38"/>
      <c r="G227" s="17" t="s">
        <v>74</v>
      </c>
      <c r="H227" s="17" t="s">
        <v>149</v>
      </c>
      <c r="J227" s="3" t="str">
        <v>North Island</v>
      </c>
      <c r="K227" s="3" t="str">
        <v>South Island</v>
      </c>
      <c r="L227" s="124" t="b">
        <v>0</v>
      </c>
      <c r="M227" s="124" cm="1">
        <f t="array" ref="M227">_xlfn.CHOOSECOLS(_xlfn.XLOOKUP(G227,Distances!$P$5:$P$19,Distances!$Q$5:$AE$19,,0,1), MATCH(H227,Distances!$Q$4:$AE$4,0))</f>
        <v>963</v>
      </c>
      <c r="N227" s="3" cm="1">
        <f t="array" ref="N227:P227">_xlfn.CHOOSECOLS(_xlfn.XLOOKUP(G227,Distances!$P$5:$P$19,Distances!$Q$5:$AE$19,,0,1), MATCH(_xlfn.ANCHORARRAY($N$210),Distances!$Q$4:$AE$4,0))</f>
        <v>504</v>
      </c>
      <c r="O227" s="5">
        <v>963</v>
      </c>
      <c r="P227" s="5">
        <v>533</v>
      </c>
      <c r="R227" s="5">
        <f t="shared" si="2"/>
        <v>504</v>
      </c>
      <c r="S227" s="5" t="str">
        <f>INDEX(_xlfn.ANCHORARRAY($N$210),1,MATCH(R227,_xlfn.ANCHORARRAY(N227),0))</f>
        <v>Auckland</v>
      </c>
      <c r="T227" s="5" cm="1">
        <f t="array" ref="T227">_xlfn.CHOOSECOLS(_xlfn.XLOOKUP(S227,Distances!$P$5:$P$19,Distances!$Q$5:$AE$19,,0,1), MATCH(H227,Distances!$Q$4:$AE$4,0))</f>
        <v>1073</v>
      </c>
      <c r="W227" s="5">
        <v>1577</v>
      </c>
    </row>
    <row r="228" spans="2:23" ht="22.5" customHeight="1">
      <c r="B228" s="11">
        <v>75</v>
      </c>
      <c r="C228" s="11">
        <v>5</v>
      </c>
      <c r="D228" s="18">
        <v>9</v>
      </c>
      <c r="E228" s="34">
        <v>1230</v>
      </c>
      <c r="F228" s="38"/>
      <c r="G228" s="17" t="s">
        <v>103</v>
      </c>
      <c r="H228" s="17" t="s">
        <v>73</v>
      </c>
      <c r="J228" s="3" t="str">
        <v>South Island</v>
      </c>
      <c r="K228" s="3" t="str">
        <v>North Island</v>
      </c>
      <c r="L228" s="124" t="b">
        <v>0</v>
      </c>
      <c r="M228" s="124" cm="1">
        <f t="array" ref="M228">_xlfn.CHOOSECOLS(_xlfn.XLOOKUP(G228,Distances!$P$5:$P$19,Distances!$Q$5:$AE$19,,0,1), MATCH(H228,Distances!$Q$4:$AE$4,0))</f>
        <v>1360</v>
      </c>
      <c r="N228" s="3" cm="1">
        <f t="array" ref="N228:P228">_xlfn.CHOOSECOLS(_xlfn.XLOOKUP(G228,Distances!$P$5:$P$19,Distances!$Q$5:$AE$19,,0,1), MATCH(_xlfn.ANCHORARRAY($N$210),Distances!$Q$4:$AE$4,0))</f>
        <v>1550</v>
      </c>
      <c r="O228" s="5">
        <v>482</v>
      </c>
      <c r="P228" s="5">
        <v>912</v>
      </c>
      <c r="R228" s="5">
        <f t="shared" si="2"/>
        <v>482</v>
      </c>
      <c r="S228" s="5" t="str">
        <f>INDEX(_xlfn.ANCHORARRAY($N$210),1,MATCH(R228,_xlfn.ANCHORARRAY(N228),0))</f>
        <v>Christchurch</v>
      </c>
      <c r="T228" s="5" cm="1">
        <f t="array" ref="T228">_xlfn.CHOOSECOLS(_xlfn.XLOOKUP(S228,Distances!$P$5:$P$19,Distances!$Q$5:$AE$19,,0,1), MATCH(H228,Distances!$Q$4:$AE$4,0))</f>
        <v>883</v>
      </c>
      <c r="W228" s="5">
        <v>1365</v>
      </c>
    </row>
    <row r="229" spans="2:23" ht="22.5" customHeight="1">
      <c r="B229" s="11">
        <v>76</v>
      </c>
      <c r="C229" s="11">
        <v>5</v>
      </c>
      <c r="D229" s="18">
        <v>9</v>
      </c>
      <c r="E229" s="34">
        <v>317</v>
      </c>
      <c r="F229" s="38"/>
      <c r="G229" s="17" t="s">
        <v>76</v>
      </c>
      <c r="H229" s="17" t="s">
        <v>70</v>
      </c>
      <c r="J229" s="3" t="str">
        <v>North Island</v>
      </c>
      <c r="K229" s="3" t="str">
        <v>North Island</v>
      </c>
      <c r="L229" s="124" t="b">
        <v>1</v>
      </c>
      <c r="M229" s="124" cm="1">
        <f t="array" ref="M229">_xlfn.CHOOSECOLS(_xlfn.XLOOKUP(G229,Distances!$P$5:$P$19,Distances!$Q$5:$AE$19,,0,1), MATCH(H229,Distances!$Q$4:$AE$4,0))</f>
        <v>423</v>
      </c>
      <c r="N229" s="3" cm="1">
        <f t="array" ref="N229:P229">_xlfn.CHOOSECOLS(_xlfn.XLOOKUP(G229,Distances!$P$5:$P$19,Distances!$Q$5:$AE$19,,0,1), MATCH(_xlfn.ANCHORARRAY($N$210),Distances!$Q$4:$AE$4,0))</f>
        <v>423</v>
      </c>
      <c r="O229" s="5">
        <v>753</v>
      </c>
      <c r="P229" s="5">
        <v>323</v>
      </c>
      <c r="R229" s="5">
        <f t="shared" si="2"/>
        <v>323</v>
      </c>
      <c r="S229" s="5" t="str">
        <f>INDEX(_xlfn.ANCHORARRAY($N$210),1,MATCH(R229,_xlfn.ANCHORARRAY(N229),0))</f>
        <v>Wellington</v>
      </c>
      <c r="T229" s="5" cm="1">
        <f t="array" ref="T229">_xlfn.CHOOSECOLS(_xlfn.XLOOKUP(S229,Distances!$P$5:$P$19,Distances!$Q$5:$AE$19,,0,1), MATCH(H229,Distances!$Q$4:$AE$4,0))</f>
        <v>660</v>
      </c>
      <c r="W229" s="5">
        <v>423</v>
      </c>
    </row>
    <row r="230" spans="2:23" ht="22.5" customHeight="1">
      <c r="B230" s="11">
        <v>77</v>
      </c>
      <c r="C230" s="11">
        <v>5</v>
      </c>
      <c r="D230" s="18">
        <v>9</v>
      </c>
      <c r="E230" s="34">
        <v>1342</v>
      </c>
      <c r="F230" s="38"/>
      <c r="G230" s="17" t="s">
        <v>72</v>
      </c>
      <c r="H230" s="17" t="s">
        <v>150</v>
      </c>
      <c r="J230" s="3" t="str">
        <v>North Island</v>
      </c>
      <c r="K230" s="3" t="str">
        <v>South Island</v>
      </c>
      <c r="L230" s="124" t="b">
        <v>0</v>
      </c>
      <c r="M230" s="124" cm="1">
        <f t="array" ref="M230">_xlfn.CHOOSECOLS(_xlfn.XLOOKUP(G230,Distances!$P$5:$P$19,Distances!$Q$5:$AE$19,,0,1), MATCH(H230,Distances!$Q$4:$AE$4,0))</f>
        <v>1509</v>
      </c>
      <c r="N230" s="3" t="e" cm="1">
        <f t="array" ref="N230">_xlfn.CHOOSECOLS(_xlfn.XLOOKUP(G230,Distances!$P$5:$P$19,Distances!$Q$5:$AE$19,,0,1), MATCH(_xlfn.ANCHORARRAY($N$210),Distances!$Q$4:$AE$4,0))</f>
        <v>#VALUE!</v>
      </c>
      <c r="R230" s="5" t="e">
        <f t="shared" si="2"/>
        <v>#VALUE!</v>
      </c>
      <c r="S230" s="5" t="e">
        <f>INDEX(_xlfn.ANCHORARRAY($N$210),1,MATCH(R230,_xlfn.ANCHORARRAY(N230),0))</f>
        <v>#VALUE!</v>
      </c>
      <c r="T230" s="5" t="e" cm="1">
        <f t="array" ref="T230">_xlfn.CHOOSECOLS(_xlfn.XLOOKUP(S230,Distances!$P$5:$P$19,Distances!$Q$5:$AE$19,,0,1), MATCH(H230,Distances!$Q$4:$AE$4,0))</f>
        <v>#VALUE!</v>
      </c>
      <c r="W230" s="5" t="e">
        <v>#VALUE!</v>
      </c>
    </row>
    <row r="231" spans="2:23" ht="22.5" customHeight="1">
      <c r="B231" s="11">
        <v>78</v>
      </c>
      <c r="C231" s="11">
        <v>5</v>
      </c>
      <c r="D231" s="18">
        <v>9</v>
      </c>
      <c r="E231" s="34">
        <v>310</v>
      </c>
      <c r="F231" s="38"/>
      <c r="G231" s="17" t="s">
        <v>75</v>
      </c>
      <c r="H231" s="17" t="s">
        <v>76</v>
      </c>
      <c r="J231" s="3" t="str">
        <v>North Island</v>
      </c>
      <c r="K231" s="3" t="str">
        <v>North Island</v>
      </c>
      <c r="L231" s="124" t="b">
        <v>1</v>
      </c>
      <c r="M231" s="124" cm="1">
        <f t="array" ref="M231">_xlfn.CHOOSECOLS(_xlfn.XLOOKUP(G231,Distances!$P$5:$P$19,Distances!$Q$5:$AE$19,,0,1), MATCH(H231,Distances!$Q$4:$AE$4,0))</f>
        <v>413</v>
      </c>
      <c r="N231" s="3" cm="1">
        <f t="array" ref="N231:P231">_xlfn.CHOOSECOLS(_xlfn.XLOOKUP(G231,Distances!$P$5:$P$19,Distances!$Q$5:$AE$19,,0,1), MATCH(_xlfn.ANCHORARRAY($N$210),Distances!$Q$4:$AE$4,0))</f>
        <v>369</v>
      </c>
      <c r="O231" s="5">
        <v>783</v>
      </c>
      <c r="P231" s="5">
        <v>353</v>
      </c>
      <c r="R231" s="5">
        <f t="shared" si="2"/>
        <v>353</v>
      </c>
      <c r="S231" s="5" t="str">
        <f>INDEX(_xlfn.ANCHORARRAY($N$210),1,MATCH(R231,_xlfn.ANCHORARRAY(N231),0))</f>
        <v>Wellington</v>
      </c>
      <c r="T231" s="5" cm="1">
        <f t="array" ref="T231">_xlfn.CHOOSECOLS(_xlfn.XLOOKUP(S231,Distances!$P$5:$P$19,Distances!$Q$5:$AE$19,,0,1), MATCH(H231,Distances!$Q$4:$AE$4,0))</f>
        <v>323</v>
      </c>
      <c r="W231" s="5">
        <v>413</v>
      </c>
    </row>
    <row r="232" spans="2:23" ht="22.5" customHeight="1">
      <c r="B232" s="11">
        <v>79</v>
      </c>
      <c r="C232" s="11">
        <v>5</v>
      </c>
      <c r="D232" s="18">
        <v>9</v>
      </c>
      <c r="E232" s="34">
        <v>1435</v>
      </c>
      <c r="F232" s="38"/>
      <c r="G232" s="17" t="s">
        <v>70</v>
      </c>
      <c r="H232" s="17" t="s">
        <v>150</v>
      </c>
      <c r="J232" s="3" t="str">
        <v>North Island</v>
      </c>
      <c r="K232" s="3" t="str">
        <v>South Island</v>
      </c>
      <c r="L232" s="124" t="b">
        <v>0</v>
      </c>
      <c r="M232" s="124" cm="1">
        <f t="array" ref="M232">_xlfn.CHOOSECOLS(_xlfn.XLOOKUP(G232,Distances!$P$5:$P$19,Distances!$Q$5:$AE$19,,0,1), MATCH(H232,Distances!$Q$4:$AE$4,0))</f>
        <v>1633</v>
      </c>
      <c r="N232" s="3" t="e" cm="1">
        <f t="array" ref="N232">_xlfn.CHOOSECOLS(_xlfn.XLOOKUP(G232,Distances!$P$5:$P$19,Distances!$Q$5:$AE$19,,0,1), MATCH(_xlfn.ANCHORARRAY($N$210),Distances!$Q$4:$AE$4,0))</f>
        <v>#VALUE!</v>
      </c>
      <c r="R232" s="5" t="e">
        <f t="shared" si="2"/>
        <v>#VALUE!</v>
      </c>
      <c r="S232" s="5" t="e">
        <f>INDEX(_xlfn.ANCHORARRAY($N$210),1,MATCH(R232,_xlfn.ANCHORARRAY(N232),0))</f>
        <v>#VALUE!</v>
      </c>
      <c r="T232" s="5" t="e" cm="1">
        <f t="array" ref="T232">_xlfn.CHOOSECOLS(_xlfn.XLOOKUP(S232,Distances!$P$5:$P$19,Distances!$Q$5:$AE$19,,0,1), MATCH(H232,Distances!$Q$4:$AE$4,0))</f>
        <v>#VALUE!</v>
      </c>
      <c r="W232" s="5" t="e">
        <v>#VALUE!</v>
      </c>
    </row>
    <row r="233" spans="2:23" ht="22.5" customHeight="1">
      <c r="B233" s="11">
        <v>80</v>
      </c>
      <c r="C233" s="11">
        <v>5</v>
      </c>
      <c r="D233" s="18">
        <v>9</v>
      </c>
      <c r="E233" s="34">
        <v>180</v>
      </c>
      <c r="F233" s="38"/>
      <c r="G233" s="17" t="s">
        <v>72</v>
      </c>
      <c r="H233" s="17" t="s">
        <v>75</v>
      </c>
      <c r="J233" s="3" t="str">
        <v>North Island</v>
      </c>
      <c r="K233" s="3" t="str">
        <v>North Island</v>
      </c>
      <c r="L233" s="124" t="b">
        <v>1</v>
      </c>
      <c r="M233" s="124" cm="1">
        <f t="array" ref="M233">_xlfn.CHOOSECOLS(_xlfn.XLOOKUP(G233,Distances!$P$5:$P$19,Distances!$Q$5:$AE$19,,0,1), MATCH(H233,Distances!$Q$4:$AE$4,0))</f>
        <v>240</v>
      </c>
      <c r="N233" s="3" t="e" cm="1">
        <f t="array" ref="N233">_xlfn.CHOOSECOLS(_xlfn.XLOOKUP(G233,Distances!$P$5:$P$19,Distances!$Q$5:$AE$19,,0,1), MATCH(_xlfn.ANCHORARRAY($N$210),Distances!$Q$4:$AE$4,0))</f>
        <v>#VALUE!</v>
      </c>
      <c r="R233" s="5" t="e">
        <f t="shared" si="2"/>
        <v>#VALUE!</v>
      </c>
      <c r="S233" s="5" t="e">
        <f>INDEX(_xlfn.ANCHORARRAY($N$210),1,MATCH(R233,_xlfn.ANCHORARRAY(N233),0))</f>
        <v>#VALUE!</v>
      </c>
      <c r="T233" s="5" t="e" cm="1">
        <f t="array" ref="T233">_xlfn.CHOOSECOLS(_xlfn.XLOOKUP(S233,Distances!$P$5:$P$19,Distances!$Q$5:$AE$19,,0,1), MATCH(H233,Distances!$Q$4:$AE$4,0))</f>
        <v>#VALUE!</v>
      </c>
      <c r="W233" s="5">
        <v>240</v>
      </c>
    </row>
    <row r="234" spans="2:23" ht="15" customHeight="1">
      <c r="B234" s="19"/>
      <c r="C234" s="19"/>
      <c r="D234" s="20"/>
      <c r="E234" s="24"/>
      <c r="G234" s="25"/>
      <c r="L234" s="124"/>
      <c r="M234" s="124"/>
    </row>
    <row r="235" spans="2:23" ht="15" customHeight="1" thickBot="1">
      <c r="B235" s="19"/>
      <c r="C235" s="19"/>
      <c r="D235" s="20"/>
      <c r="E235" s="24"/>
      <c r="G235" s="25"/>
      <c r="L235" s="124"/>
      <c r="M235" s="124"/>
    </row>
    <row r="236" spans="2:23" ht="22.5" customHeight="1" thickBot="1">
      <c r="B236" s="62" t="s">
        <v>152</v>
      </c>
      <c r="C236" s="65" t="s">
        <v>153</v>
      </c>
      <c r="D236" s="43"/>
      <c r="E236" s="21"/>
      <c r="F236" s="22"/>
      <c r="G236" s="23"/>
      <c r="H236" s="23"/>
      <c r="L236" s="124"/>
      <c r="M236" s="124"/>
    </row>
    <row r="237" spans="2:23" ht="15" customHeight="1">
      <c r="B237" s="15"/>
      <c r="C237" s="5"/>
      <c r="D237" s="5"/>
      <c r="E237" s="21"/>
      <c r="F237" s="22"/>
      <c r="G237" s="5"/>
      <c r="H237" s="5"/>
    </row>
    <row r="238" spans="2:23" ht="15" customHeight="1">
      <c r="B238" s="42" t="s">
        <v>154</v>
      </c>
      <c r="D238" s="3"/>
      <c r="E238" s="4"/>
      <c r="H238" s="3"/>
    </row>
    <row r="239" spans="2:23" ht="15" customHeight="1">
      <c r="B239" s="42" t="s">
        <v>155</v>
      </c>
      <c r="D239" s="3"/>
      <c r="E239" s="4"/>
      <c r="H239" s="3"/>
    </row>
    <row r="240" spans="2:23" ht="15" customHeight="1">
      <c r="B240" s="42" t="s">
        <v>156</v>
      </c>
      <c r="D240" s="3"/>
      <c r="E240" s="4"/>
      <c r="H240" s="3"/>
    </row>
    <row r="241" spans="2:51" ht="15" customHeight="1">
      <c r="B241" s="40" t="s">
        <v>157</v>
      </c>
      <c r="C241" s="30"/>
      <c r="H241" s="3"/>
    </row>
    <row r="242" spans="2:51" ht="15" customHeight="1">
      <c r="B242" s="42" t="s">
        <v>158</v>
      </c>
      <c r="C242" s="30"/>
      <c r="H242" s="3"/>
    </row>
    <row r="243" spans="2:51" ht="15" customHeight="1">
      <c r="B243" s="42"/>
      <c r="C243" s="30"/>
      <c r="H243" s="3"/>
    </row>
    <row r="244" spans="2:51" ht="15" customHeight="1">
      <c r="B244" s="42" t="s">
        <v>159</v>
      </c>
      <c r="C244" s="30"/>
      <c r="H244" s="3"/>
    </row>
    <row r="245" spans="2:51" ht="15" customHeight="1">
      <c r="B245" s="42" t="s">
        <v>160</v>
      </c>
      <c r="C245" s="30"/>
      <c r="H245" s="3"/>
    </row>
    <row r="246" spans="2:51" ht="15" customHeight="1">
      <c r="B246" s="42" t="s">
        <v>161</v>
      </c>
      <c r="C246" s="30"/>
      <c r="H246" s="3"/>
    </row>
    <row r="247" spans="2:51" ht="15" customHeight="1">
      <c r="B247" s="42" t="s">
        <v>162</v>
      </c>
      <c r="C247" s="30"/>
      <c r="H247" s="3"/>
    </row>
    <row r="248" spans="2:51" ht="15" customHeight="1">
      <c r="B248" s="42"/>
      <c r="C248" s="30"/>
      <c r="H248" s="3"/>
    </row>
    <row r="249" spans="2:51" ht="15" customHeight="1">
      <c r="B249" s="28" t="s">
        <v>50</v>
      </c>
      <c r="C249" s="30"/>
      <c r="H249" s="3"/>
    </row>
    <row r="250" spans="2:51" ht="15" customHeight="1">
      <c r="B250" s="39" t="s">
        <v>163</v>
      </c>
      <c r="C250" s="43"/>
      <c r="H250" s="3"/>
    </row>
    <row r="251" spans="2:51" ht="15" customHeight="1">
      <c r="B251" s="39" t="s">
        <v>164</v>
      </c>
      <c r="C251" s="43"/>
      <c r="H251" s="3"/>
    </row>
    <row r="252" spans="2:51" ht="15" customHeight="1">
      <c r="B252" s="39" t="s">
        <v>165</v>
      </c>
      <c r="C252" s="43"/>
      <c r="H252" s="3"/>
    </row>
    <row r="253" spans="2:51" ht="15" customHeight="1" thickBot="1">
      <c r="B253" s="15"/>
      <c r="C253" s="3"/>
      <c r="D253" s="3"/>
      <c r="E253" s="4"/>
      <c r="G253" s="16"/>
      <c r="H253" s="16"/>
    </row>
    <row r="254" spans="2:51" ht="22.5" customHeight="1" thickBot="1">
      <c r="B254" s="59" t="s">
        <v>28</v>
      </c>
      <c r="C254" s="59" t="s">
        <v>55</v>
      </c>
      <c r="D254" s="59" t="s">
        <v>30</v>
      </c>
      <c r="E254" s="59" t="s">
        <v>56</v>
      </c>
      <c r="G254" s="59" t="s">
        <v>57</v>
      </c>
      <c r="H254" s="59" t="s">
        <v>118</v>
      </c>
    </row>
    <row r="256" spans="2:51" ht="22.5" customHeight="1">
      <c r="B256" s="11" t="s">
        <v>166</v>
      </c>
      <c r="C256" s="11">
        <v>6</v>
      </c>
      <c r="D256" s="18">
        <v>0</v>
      </c>
      <c r="E256" s="34">
        <v>22</v>
      </c>
      <c r="F256" s="37"/>
      <c r="G256" s="17" t="s">
        <v>149</v>
      </c>
      <c r="H256" s="17" t="s">
        <v>123</v>
      </c>
      <c r="J256" s="3" cm="1">
        <f t="array" ref="J256:M256">_xlfn.XLOOKUP(H256,Families!$B$6:$B$25,_xlfn.ANCHORARRAY(Families!$I$6))</f>
        <v>10</v>
      </c>
      <c r="K256" s="3">
        <v>1</v>
      </c>
      <c r="L256" s="3">
        <v>4</v>
      </c>
      <c r="M256" s="3">
        <v>9</v>
      </c>
      <c r="O256" s="5" cm="1">
        <f t="array" ref="O256:X256">_xlfn.SEQUENCE(1,10,1,1)</f>
        <v>1</v>
      </c>
      <c r="P256" s="5">
        <v>2</v>
      </c>
      <c r="Q256" s="5">
        <v>3</v>
      </c>
      <c r="R256" s="5">
        <v>4</v>
      </c>
      <c r="S256" s="5">
        <v>5</v>
      </c>
      <c r="T256" s="5">
        <v>6</v>
      </c>
      <c r="U256" s="5">
        <v>7</v>
      </c>
      <c r="V256" s="5">
        <v>8</v>
      </c>
      <c r="W256" s="5">
        <v>9</v>
      </c>
      <c r="X256" s="5">
        <v>10</v>
      </c>
      <c r="AA256" s="5" cm="1">
        <f t="array" ref="AA256:AF256">_xlfn._xlws.FILTER(_xlfn.ANCHORARRAY(O256), COUNTIF(_xlfn.ANCHORARRAY(J256),_xlfn.ANCHORARRAY(O256))=0)</f>
        <v>2</v>
      </c>
      <c r="AB256" s="5">
        <v>3</v>
      </c>
      <c r="AC256" s="5">
        <v>5</v>
      </c>
      <c r="AD256" s="5">
        <v>6</v>
      </c>
      <c r="AE256" s="5">
        <v>7</v>
      </c>
      <c r="AF256" s="5">
        <v>8</v>
      </c>
      <c r="AH256" s="3" cm="1">
        <f t="array" ref="AH256:AQ256">_xlfn.XLOOKUP(G256,Destinations!$B$6:$B$20,Destinations!$C$6:$L$20,,0,1)</f>
        <v>8</v>
      </c>
      <c r="AI256" s="5">
        <v>5</v>
      </c>
      <c r="AJ256" s="5">
        <v>3</v>
      </c>
      <c r="AK256" s="5">
        <v>5</v>
      </c>
      <c r="AL256" s="5">
        <v>5</v>
      </c>
      <c r="AM256" s="5">
        <v>4</v>
      </c>
      <c r="AN256" s="5">
        <v>6</v>
      </c>
      <c r="AO256" s="5">
        <v>4</v>
      </c>
      <c r="AP256" s="5">
        <v>4</v>
      </c>
      <c r="AQ256" s="5">
        <v>4</v>
      </c>
      <c r="AT256" s="5" cm="1">
        <f t="array" ref="AT256">SUM(_xlfn.CHOOSECOLS(_xlfn.ANCHORARRAY(AH256),_xlfn.ANCHORARRAY(J256))*$L$154:$O$154) + SUM(_xlfn.CHOOSECOLS(_xlfn.ANCHORARRAY(AH256),_xlfn.ANCHORARRAY(AA256))*$P$154:$U$154)</f>
        <v>28.8</v>
      </c>
      <c r="AV256" s="5" t="b">
        <f>COUNTIF(Distances!N21:N25,G256)=1</f>
        <v>1</v>
      </c>
      <c r="AY256" s="5" cm="1">
        <f t="array" ref="AY256">INDEX(Distances!$Q$14:$AE$14, 1, _xlfn.XMATCH(G256,Distances!$Q$4:$AE$4))/80*60 + 120 + IF(AV256,3.5*60)</f>
        <v>656.25</v>
      </c>
    </row>
    <row r="257" spans="2:51" ht="15" customHeight="1">
      <c r="B257" s="3"/>
      <c r="C257" s="3"/>
      <c r="D257" s="3"/>
      <c r="E257" s="3"/>
      <c r="H257" s="3"/>
    </row>
    <row r="258" spans="2:51" ht="22.5" customHeight="1">
      <c r="B258" s="11">
        <v>81</v>
      </c>
      <c r="C258" s="11">
        <v>6</v>
      </c>
      <c r="D258" s="18">
        <v>10</v>
      </c>
      <c r="E258" s="34">
        <v>29</v>
      </c>
      <c r="F258" s="37"/>
      <c r="G258" s="17" t="s">
        <v>74</v>
      </c>
      <c r="H258" s="17" t="s">
        <v>120</v>
      </c>
      <c r="I258" s="3" cm="1">
        <f t="array" ref="I258:I277">ROUND(AT258:AT277-_xlfn.ANCHORARRAY(AY258)*0.01,0)</f>
        <v>29</v>
      </c>
      <c r="J258" s="3" cm="1">
        <f t="array" ref="J258:M258">_xlfn.XLOOKUP(H258,Families!$B$6:$B$25,_xlfn.ANCHORARRAY(Families!$I$6))</f>
        <v>1</v>
      </c>
      <c r="K258" s="3">
        <v>5</v>
      </c>
      <c r="L258" s="3">
        <v>10</v>
      </c>
      <c r="M258" s="3">
        <v>2</v>
      </c>
      <c r="O258" s="5" cm="1">
        <f t="array" ref="O258:X258">_xlfn.SEQUENCE(1,10,1,1)</f>
        <v>1</v>
      </c>
      <c r="P258" s="5">
        <v>2</v>
      </c>
      <c r="Q258" s="5">
        <v>3</v>
      </c>
      <c r="R258" s="5">
        <v>4</v>
      </c>
      <c r="S258" s="5">
        <v>5</v>
      </c>
      <c r="T258" s="5">
        <v>6</v>
      </c>
      <c r="U258" s="5">
        <v>7</v>
      </c>
      <c r="V258" s="5">
        <v>8</v>
      </c>
      <c r="W258" s="5">
        <v>9</v>
      </c>
      <c r="X258" s="5">
        <v>10</v>
      </c>
      <c r="AA258" s="5" cm="1">
        <f t="array" ref="AA258:AF258">_xlfn._xlws.FILTER(_xlfn.ANCHORARRAY(O258), COUNTIF(_xlfn.ANCHORARRAY(J258),_xlfn.ANCHORARRAY(O258))=0)</f>
        <v>3</v>
      </c>
      <c r="AB258" s="5">
        <v>4</v>
      </c>
      <c r="AC258" s="5">
        <v>6</v>
      </c>
      <c r="AD258" s="5">
        <v>7</v>
      </c>
      <c r="AE258" s="5">
        <v>8</v>
      </c>
      <c r="AF258" s="5">
        <v>9</v>
      </c>
      <c r="AH258" s="3" cm="1">
        <f t="array" ref="AH258:AQ258">_xlfn.XLOOKUP(G258,Destinations!$B$6:$B$20,Destinations!$C$6:$L$20,,0,1)</f>
        <v>4</v>
      </c>
      <c r="AI258" s="5">
        <v>9</v>
      </c>
      <c r="AJ258" s="5">
        <v>5</v>
      </c>
      <c r="AK258" s="5">
        <v>8</v>
      </c>
      <c r="AL258" s="5">
        <v>6</v>
      </c>
      <c r="AM258" s="5">
        <v>3</v>
      </c>
      <c r="AN258" s="5">
        <v>10</v>
      </c>
      <c r="AO258" s="5">
        <v>3</v>
      </c>
      <c r="AP258" s="5">
        <v>4</v>
      </c>
      <c r="AQ258" s="5">
        <v>6</v>
      </c>
      <c r="AT258" s="5" cm="1">
        <f t="array" ref="AT258">SUM(_xlfn.CHOOSECOLS(_xlfn.ANCHORARRAY(AH258),_xlfn.ANCHORARRAY(J258))*$L$154:$O$154) + SUM(_xlfn.CHOOSECOLS(_xlfn.ANCHORARRAY(AH258),_xlfn.ANCHORARRAY(AA258))*$P$154:$U$154)</f>
        <v>33.700000000000003</v>
      </c>
      <c r="AV258" s="5" t="b" cm="1">
        <f t="array" ref="AV258:AV277">COUNTIF(Distances!N23:N27,G258:G277)=1</f>
        <v>0</v>
      </c>
      <c r="AY258" s="5" cm="1">
        <f t="array" ref="AY258:AY277">INDEX(Distances!$Q$14:$AE$14, 1, _xlfn.XMATCH(G258:G277,Distances!$Q$4:$AE$4))/80*60 + 120 + IF(_xlfn.ANCHORARRAY(AV258),3.5*60)</f>
        <v>519.75</v>
      </c>
    </row>
    <row r="259" spans="2:51" ht="22.5" customHeight="1">
      <c r="B259" s="11">
        <v>82</v>
      </c>
      <c r="C259" s="11">
        <v>6</v>
      </c>
      <c r="D259" s="18">
        <v>10</v>
      </c>
      <c r="E259" s="34">
        <v>24</v>
      </c>
      <c r="F259" s="37"/>
      <c r="G259" s="17" t="s">
        <v>70</v>
      </c>
      <c r="H259" s="17" t="s">
        <v>167</v>
      </c>
      <c r="I259" s="3">
        <v>24</v>
      </c>
      <c r="J259" s="3" cm="1">
        <f t="array" ref="J259:M259">_xlfn.XLOOKUP(H259,Families!$B$6:$B$25,_xlfn.ANCHORARRAY(Families!$I$6))</f>
        <v>6</v>
      </c>
      <c r="K259" s="3">
        <v>5</v>
      </c>
      <c r="L259" s="3">
        <v>8</v>
      </c>
      <c r="M259" s="3">
        <v>4</v>
      </c>
      <c r="O259" s="5" cm="1">
        <f t="array" ref="O259:X259">_xlfn.SEQUENCE(1,10,1,1)</f>
        <v>1</v>
      </c>
      <c r="P259" s="5">
        <v>2</v>
      </c>
      <c r="Q259" s="5">
        <v>3</v>
      </c>
      <c r="R259" s="5">
        <v>4</v>
      </c>
      <c r="S259" s="5">
        <v>5</v>
      </c>
      <c r="T259" s="5">
        <v>6</v>
      </c>
      <c r="U259" s="5">
        <v>7</v>
      </c>
      <c r="V259" s="5">
        <v>8</v>
      </c>
      <c r="W259" s="5">
        <v>9</v>
      </c>
      <c r="X259" s="5">
        <v>10</v>
      </c>
      <c r="AA259" s="5" cm="1">
        <f t="array" ref="AA259:AF259">_xlfn._xlws.FILTER(_xlfn.ANCHORARRAY(O259), COUNTIF(_xlfn.ANCHORARRAY(J259),_xlfn.ANCHORARRAY(O259))=0)</f>
        <v>1</v>
      </c>
      <c r="AB259" s="5">
        <v>2</v>
      </c>
      <c r="AC259" s="5">
        <v>3</v>
      </c>
      <c r="AD259" s="5">
        <v>7</v>
      </c>
      <c r="AE259" s="5">
        <v>9</v>
      </c>
      <c r="AF259" s="5">
        <v>10</v>
      </c>
      <c r="AH259" s="3" cm="1">
        <f t="array" ref="AH259:AQ259">_xlfn.XLOOKUP(G259,Destinations!$B$6:$B$20,Destinations!$C$6:$L$20,,0,1)</f>
        <v>6</v>
      </c>
      <c r="AI259" s="5">
        <v>6</v>
      </c>
      <c r="AJ259" s="5">
        <v>3</v>
      </c>
      <c r="AK259" s="5">
        <v>5</v>
      </c>
      <c r="AL259" s="5">
        <v>3</v>
      </c>
      <c r="AM259" s="5">
        <v>7</v>
      </c>
      <c r="AN259" s="5">
        <v>5</v>
      </c>
      <c r="AO259" s="5">
        <v>8</v>
      </c>
      <c r="AP259" s="5">
        <v>5</v>
      </c>
      <c r="AQ259" s="5">
        <v>1</v>
      </c>
      <c r="AT259" s="5" cm="1">
        <f t="array" ref="AT259">SUM(_xlfn.CHOOSECOLS(_xlfn.ANCHORARRAY(AH259),_xlfn.ANCHORARRAY(J259))*$L$154:$O$154) + SUM(_xlfn.CHOOSECOLS(_xlfn.ANCHORARRAY(AH259),_xlfn.ANCHORARRAY(AA259))*$P$154:$U$154)</f>
        <v>30</v>
      </c>
      <c r="AV259" s="5" t="b">
        <v>0</v>
      </c>
      <c r="AY259" s="5">
        <v>615</v>
      </c>
    </row>
    <row r="260" spans="2:51" ht="22.5" customHeight="1">
      <c r="B260" s="11">
        <v>83</v>
      </c>
      <c r="C260" s="11">
        <v>6</v>
      </c>
      <c r="D260" s="18">
        <v>10</v>
      </c>
      <c r="E260" s="34">
        <v>20</v>
      </c>
      <c r="F260" s="37"/>
      <c r="G260" s="17" t="s">
        <v>103</v>
      </c>
      <c r="H260" s="17" t="s">
        <v>131</v>
      </c>
      <c r="I260" s="3">
        <v>20</v>
      </c>
      <c r="J260" s="3" cm="1">
        <f t="array" ref="J260:M260">_xlfn.XLOOKUP(H260,Families!$B$6:$B$25,_xlfn.ANCHORARRAY(Families!$I$6))</f>
        <v>9</v>
      </c>
      <c r="K260" s="3">
        <v>3</v>
      </c>
      <c r="L260" s="3">
        <v>1</v>
      </c>
      <c r="M260" s="3">
        <v>5</v>
      </c>
      <c r="O260" s="5" cm="1">
        <f t="array" ref="O260:X260">_xlfn.SEQUENCE(1,10,1,1)</f>
        <v>1</v>
      </c>
      <c r="P260" s="5">
        <v>2</v>
      </c>
      <c r="Q260" s="5">
        <v>3</v>
      </c>
      <c r="R260" s="5">
        <v>4</v>
      </c>
      <c r="S260" s="5">
        <v>5</v>
      </c>
      <c r="T260" s="5">
        <v>6</v>
      </c>
      <c r="U260" s="5">
        <v>7</v>
      </c>
      <c r="V260" s="5">
        <v>8</v>
      </c>
      <c r="W260" s="5">
        <v>9</v>
      </c>
      <c r="X260" s="5">
        <v>10</v>
      </c>
      <c r="AA260" s="5" cm="1">
        <f t="array" ref="AA260:AF260">_xlfn._xlws.FILTER(_xlfn.ANCHORARRAY(O260), COUNTIF(_xlfn.ANCHORARRAY(J260),_xlfn.ANCHORARRAY(O260))=0)</f>
        <v>2</v>
      </c>
      <c r="AB260" s="5">
        <v>4</v>
      </c>
      <c r="AC260" s="5">
        <v>6</v>
      </c>
      <c r="AD260" s="5">
        <v>7</v>
      </c>
      <c r="AE260" s="5">
        <v>8</v>
      </c>
      <c r="AF260" s="5">
        <v>10</v>
      </c>
      <c r="AH260" s="3" cm="1">
        <f t="array" ref="AH260:AQ260">_xlfn.XLOOKUP(G260,Destinations!$B$6:$B$20,Destinations!$C$6:$L$20,,0,1)</f>
        <v>10</v>
      </c>
      <c r="AI260" s="5">
        <v>6</v>
      </c>
      <c r="AJ260" s="5">
        <v>3</v>
      </c>
      <c r="AK260" s="5">
        <v>9</v>
      </c>
      <c r="AL260" s="5">
        <v>3</v>
      </c>
      <c r="AM260" s="5">
        <v>7</v>
      </c>
      <c r="AN260" s="5">
        <v>2</v>
      </c>
      <c r="AO260" s="5">
        <v>7</v>
      </c>
      <c r="AP260" s="5">
        <v>5</v>
      </c>
      <c r="AQ260" s="5">
        <v>1</v>
      </c>
      <c r="AT260" s="5" cm="1">
        <f t="array" ref="AT260">SUM(_xlfn.CHOOSECOLS(_xlfn.ANCHORARRAY(AH260),_xlfn.ANCHORARRAY(J260))*$L$154:$O$154) + SUM(_xlfn.CHOOSECOLS(_xlfn.ANCHORARRAY(AH260),_xlfn.ANCHORARRAY(AA260))*$P$154:$U$154)</f>
        <v>30.6</v>
      </c>
      <c r="AV260" s="5" t="b">
        <v>1</v>
      </c>
      <c r="AY260" s="5">
        <v>1014</v>
      </c>
    </row>
    <row r="261" spans="2:51" ht="22.5" customHeight="1">
      <c r="B261" s="11">
        <v>84</v>
      </c>
      <c r="C261" s="11">
        <v>6</v>
      </c>
      <c r="D261" s="18">
        <v>10</v>
      </c>
      <c r="E261" s="34">
        <v>25</v>
      </c>
      <c r="F261" s="37"/>
      <c r="G261" s="17" t="s">
        <v>70</v>
      </c>
      <c r="H261" s="17" t="s">
        <v>168</v>
      </c>
      <c r="I261" s="3">
        <v>25</v>
      </c>
      <c r="J261" s="3" cm="1">
        <f t="array" ref="J261:M261">_xlfn.XLOOKUP(H261,Families!$B$6:$B$25,_xlfn.ANCHORARRAY(Families!$I$6))</f>
        <v>4</v>
      </c>
      <c r="K261" s="3">
        <v>8</v>
      </c>
      <c r="L261" s="3">
        <v>6</v>
      </c>
      <c r="M261" s="3">
        <v>2</v>
      </c>
      <c r="O261" s="5" cm="1">
        <f t="array" ref="O261:X261">_xlfn.SEQUENCE(1,10,1,1)</f>
        <v>1</v>
      </c>
      <c r="P261" s="5">
        <v>2</v>
      </c>
      <c r="Q261" s="5">
        <v>3</v>
      </c>
      <c r="R261" s="5">
        <v>4</v>
      </c>
      <c r="S261" s="5">
        <v>5</v>
      </c>
      <c r="T261" s="5">
        <v>6</v>
      </c>
      <c r="U261" s="5">
        <v>7</v>
      </c>
      <c r="V261" s="5">
        <v>8</v>
      </c>
      <c r="W261" s="5">
        <v>9</v>
      </c>
      <c r="X261" s="5">
        <v>10</v>
      </c>
      <c r="AA261" s="5" cm="1">
        <f t="array" ref="AA261:AF261">_xlfn._xlws.FILTER(_xlfn.ANCHORARRAY(O261), COUNTIF(_xlfn.ANCHORARRAY(J261),_xlfn.ANCHORARRAY(O261))=0)</f>
        <v>1</v>
      </c>
      <c r="AB261" s="5">
        <v>3</v>
      </c>
      <c r="AC261" s="5">
        <v>5</v>
      </c>
      <c r="AD261" s="5">
        <v>7</v>
      </c>
      <c r="AE261" s="5">
        <v>9</v>
      </c>
      <c r="AF261" s="5">
        <v>10</v>
      </c>
      <c r="AH261" s="3" cm="1">
        <f t="array" ref="AH261:AQ261">_xlfn.XLOOKUP(G261,Destinations!$B$6:$B$20,Destinations!$C$6:$L$20,,0,1)</f>
        <v>6</v>
      </c>
      <c r="AI261" s="5">
        <v>6</v>
      </c>
      <c r="AJ261" s="5">
        <v>3</v>
      </c>
      <c r="AK261" s="5">
        <v>5</v>
      </c>
      <c r="AL261" s="5">
        <v>3</v>
      </c>
      <c r="AM261" s="5">
        <v>7</v>
      </c>
      <c r="AN261" s="5">
        <v>5</v>
      </c>
      <c r="AO261" s="5">
        <v>8</v>
      </c>
      <c r="AP261" s="5">
        <v>5</v>
      </c>
      <c r="AQ261" s="5">
        <v>1</v>
      </c>
      <c r="AT261" s="5" cm="1">
        <f t="array" ref="AT261">SUM(_xlfn.CHOOSECOLS(_xlfn.ANCHORARRAY(AH261),_xlfn.ANCHORARRAY(J261))*$L$154:$O$154) + SUM(_xlfn.CHOOSECOLS(_xlfn.ANCHORARRAY(AH261),_xlfn.ANCHORARRAY(AA261))*$P$154:$U$154)</f>
        <v>31.200000000000003</v>
      </c>
      <c r="AV261" s="5" t="b">
        <v>0</v>
      </c>
      <c r="AY261" s="5">
        <v>615</v>
      </c>
    </row>
    <row r="262" spans="2:51" ht="22.5" customHeight="1">
      <c r="B262" s="11">
        <v>85</v>
      </c>
      <c r="C262" s="11">
        <v>6</v>
      </c>
      <c r="D262" s="18">
        <v>10</v>
      </c>
      <c r="E262" s="34">
        <v>28</v>
      </c>
      <c r="F262" s="37"/>
      <c r="G262" s="17" t="s">
        <v>73</v>
      </c>
      <c r="H262" s="17" t="s">
        <v>125</v>
      </c>
      <c r="I262" s="3">
        <v>28</v>
      </c>
      <c r="J262" s="3" cm="1">
        <f t="array" ref="J262:M262">_xlfn.XLOOKUP(H262,Families!$B$6:$B$25,_xlfn.ANCHORARRAY(Families!$I$6))</f>
        <v>1</v>
      </c>
      <c r="K262" s="3">
        <v>9</v>
      </c>
      <c r="L262" s="3">
        <v>7</v>
      </c>
      <c r="M262" s="3">
        <v>2</v>
      </c>
      <c r="O262" s="5" cm="1">
        <f t="array" ref="O262:X262">_xlfn.SEQUENCE(1,10,1,1)</f>
        <v>1</v>
      </c>
      <c r="P262" s="5">
        <v>2</v>
      </c>
      <c r="Q262" s="5">
        <v>3</v>
      </c>
      <c r="R262" s="5">
        <v>4</v>
      </c>
      <c r="S262" s="5">
        <v>5</v>
      </c>
      <c r="T262" s="5">
        <v>6</v>
      </c>
      <c r="U262" s="5">
        <v>7</v>
      </c>
      <c r="V262" s="5">
        <v>8</v>
      </c>
      <c r="W262" s="5">
        <v>9</v>
      </c>
      <c r="X262" s="5">
        <v>10</v>
      </c>
      <c r="AA262" s="5" cm="1">
        <f t="array" ref="AA262:AF262">_xlfn._xlws.FILTER(_xlfn.ANCHORARRAY(O262), COUNTIF(_xlfn.ANCHORARRAY(J262),_xlfn.ANCHORARRAY(O262))=0)</f>
        <v>3</v>
      </c>
      <c r="AB262" s="5">
        <v>4</v>
      </c>
      <c r="AC262" s="5">
        <v>5</v>
      </c>
      <c r="AD262" s="5">
        <v>6</v>
      </c>
      <c r="AE262" s="5">
        <v>8</v>
      </c>
      <c r="AF262" s="5">
        <v>10</v>
      </c>
      <c r="AH262" s="3" cm="1">
        <f t="array" ref="AH262:AQ262">_xlfn.XLOOKUP(G262,Destinations!$B$6:$B$20,Destinations!$C$6:$L$20,,0,1)</f>
        <v>10</v>
      </c>
      <c r="AI262" s="5">
        <v>4</v>
      </c>
      <c r="AJ262" s="5">
        <v>10</v>
      </c>
      <c r="AK262" s="5">
        <v>4</v>
      </c>
      <c r="AL262" s="5">
        <v>3</v>
      </c>
      <c r="AM262" s="5">
        <v>3</v>
      </c>
      <c r="AN262" s="5">
        <v>4</v>
      </c>
      <c r="AO262" s="5">
        <v>5</v>
      </c>
      <c r="AP262" s="5">
        <v>5</v>
      </c>
      <c r="AQ262" s="5">
        <v>5</v>
      </c>
      <c r="AT262" s="5" cm="1">
        <f t="array" ref="AT262">SUM(_xlfn.CHOOSECOLS(_xlfn.ANCHORARRAY(AH262),_xlfn.ANCHORARRAY(J262))*$L$154:$O$154) + SUM(_xlfn.CHOOSECOLS(_xlfn.ANCHORARRAY(AH262),_xlfn.ANCHORARRAY(AA262))*$P$154:$U$154)</f>
        <v>32.5</v>
      </c>
      <c r="AV262" s="5" t="b">
        <v>0</v>
      </c>
      <c r="AY262" s="5">
        <v>459.75</v>
      </c>
    </row>
    <row r="263" spans="2:51" ht="22.5" customHeight="1">
      <c r="B263" s="11">
        <v>86</v>
      </c>
      <c r="C263" s="11">
        <v>6</v>
      </c>
      <c r="D263" s="18">
        <v>10</v>
      </c>
      <c r="E263" s="34">
        <v>30</v>
      </c>
      <c r="F263" s="37"/>
      <c r="G263" s="17" t="s">
        <v>74</v>
      </c>
      <c r="H263" s="17" t="s">
        <v>126</v>
      </c>
      <c r="I263" s="3">
        <v>30</v>
      </c>
      <c r="J263" s="3" cm="1">
        <f t="array" ref="J263:M263">_xlfn.XLOOKUP(H263,Families!$B$6:$B$25,_xlfn.ANCHORARRAY(Families!$I$6))</f>
        <v>10</v>
      </c>
      <c r="K263" s="3">
        <v>7</v>
      </c>
      <c r="L263" s="3">
        <v>6</v>
      </c>
      <c r="M263" s="3">
        <v>4</v>
      </c>
      <c r="O263" s="5" cm="1">
        <f t="array" ref="O263:X263">_xlfn.SEQUENCE(1,10,1,1)</f>
        <v>1</v>
      </c>
      <c r="P263" s="5">
        <v>2</v>
      </c>
      <c r="Q263" s="5">
        <v>3</v>
      </c>
      <c r="R263" s="5">
        <v>4</v>
      </c>
      <c r="S263" s="5">
        <v>5</v>
      </c>
      <c r="T263" s="5">
        <v>6</v>
      </c>
      <c r="U263" s="5">
        <v>7</v>
      </c>
      <c r="V263" s="5">
        <v>8</v>
      </c>
      <c r="W263" s="5">
        <v>9</v>
      </c>
      <c r="X263" s="5">
        <v>10</v>
      </c>
      <c r="AA263" s="5" cm="1">
        <f t="array" ref="AA263:AF263">_xlfn._xlws.FILTER(_xlfn.ANCHORARRAY(O263), COUNTIF(_xlfn.ANCHORARRAY(J263),_xlfn.ANCHORARRAY(O263))=0)</f>
        <v>1</v>
      </c>
      <c r="AB263" s="5">
        <v>2</v>
      </c>
      <c r="AC263" s="5">
        <v>3</v>
      </c>
      <c r="AD263" s="5">
        <v>5</v>
      </c>
      <c r="AE263" s="5">
        <v>8</v>
      </c>
      <c r="AF263" s="5">
        <v>9</v>
      </c>
      <c r="AH263" s="3" cm="1">
        <f t="array" ref="AH263:AQ263">_xlfn.XLOOKUP(G263,Destinations!$B$6:$B$20,Destinations!$C$6:$L$20,,0,1)</f>
        <v>4</v>
      </c>
      <c r="AI263" s="5">
        <v>9</v>
      </c>
      <c r="AJ263" s="5">
        <v>5</v>
      </c>
      <c r="AK263" s="5">
        <v>8</v>
      </c>
      <c r="AL263" s="5">
        <v>6</v>
      </c>
      <c r="AM263" s="5">
        <v>3</v>
      </c>
      <c r="AN263" s="5">
        <v>10</v>
      </c>
      <c r="AO263" s="5">
        <v>3</v>
      </c>
      <c r="AP263" s="5">
        <v>4</v>
      </c>
      <c r="AQ263" s="5">
        <v>6</v>
      </c>
      <c r="AT263" s="5" cm="1">
        <f t="array" ref="AT263">SUM(_xlfn.CHOOSECOLS(_xlfn.ANCHORARRAY(AH263),_xlfn.ANCHORARRAY(J263))*$L$154:$O$154) + SUM(_xlfn.CHOOSECOLS(_xlfn.ANCHORARRAY(AH263),_xlfn.ANCHORARRAY(AA263))*$P$154:$U$154)</f>
        <v>35.4</v>
      </c>
      <c r="AV263" s="5" t="b">
        <v>0</v>
      </c>
      <c r="AY263" s="5">
        <v>519.75</v>
      </c>
    </row>
    <row r="264" spans="2:51" ht="22.5" customHeight="1">
      <c r="B264" s="11">
        <v>87</v>
      </c>
      <c r="C264" s="11">
        <v>6</v>
      </c>
      <c r="D264" s="18">
        <v>10</v>
      </c>
      <c r="E264" s="34">
        <v>28</v>
      </c>
      <c r="F264" s="37"/>
      <c r="G264" s="17" t="s">
        <v>78</v>
      </c>
      <c r="H264" s="17" t="s">
        <v>127</v>
      </c>
      <c r="I264" s="3">
        <v>28</v>
      </c>
      <c r="J264" s="3" cm="1">
        <f t="array" ref="J264:M264">_xlfn.XLOOKUP(H264,Families!$B$6:$B$25,_xlfn.ANCHORARRAY(Families!$I$6))</f>
        <v>2</v>
      </c>
      <c r="K264" s="3">
        <v>1</v>
      </c>
      <c r="L264" s="3">
        <v>9</v>
      </c>
      <c r="M264" s="3">
        <v>8</v>
      </c>
      <c r="O264" s="5" cm="1">
        <f t="array" ref="O264:X264">_xlfn.SEQUENCE(1,10,1,1)</f>
        <v>1</v>
      </c>
      <c r="P264" s="5">
        <v>2</v>
      </c>
      <c r="Q264" s="5">
        <v>3</v>
      </c>
      <c r="R264" s="5">
        <v>4</v>
      </c>
      <c r="S264" s="5">
        <v>5</v>
      </c>
      <c r="T264" s="5">
        <v>6</v>
      </c>
      <c r="U264" s="5">
        <v>7</v>
      </c>
      <c r="V264" s="5">
        <v>8</v>
      </c>
      <c r="W264" s="5">
        <v>9</v>
      </c>
      <c r="X264" s="5">
        <v>10</v>
      </c>
      <c r="AA264" s="5" cm="1">
        <f t="array" ref="AA264:AF264">_xlfn._xlws.FILTER(_xlfn.ANCHORARRAY(O264), COUNTIF(_xlfn.ANCHORARRAY(J264),_xlfn.ANCHORARRAY(O264))=0)</f>
        <v>3</v>
      </c>
      <c r="AB264" s="5">
        <v>4</v>
      </c>
      <c r="AC264" s="5">
        <v>5</v>
      </c>
      <c r="AD264" s="5">
        <v>6</v>
      </c>
      <c r="AE264" s="5">
        <v>7</v>
      </c>
      <c r="AF264" s="5">
        <v>10</v>
      </c>
      <c r="AH264" s="3" cm="1">
        <f t="array" ref="AH264:AQ264">_xlfn.XLOOKUP(G264,Destinations!$B$6:$B$20,Destinations!$C$6:$L$20,,0,1)</f>
        <v>6</v>
      </c>
      <c r="AI264" s="5">
        <v>5</v>
      </c>
      <c r="AJ264" s="5">
        <v>5</v>
      </c>
      <c r="AK264" s="5">
        <v>4</v>
      </c>
      <c r="AL264" s="5">
        <v>3</v>
      </c>
      <c r="AM264" s="5">
        <v>7</v>
      </c>
      <c r="AN264" s="5">
        <v>7</v>
      </c>
      <c r="AO264" s="5">
        <v>5</v>
      </c>
      <c r="AP264" s="5">
        <v>3</v>
      </c>
      <c r="AQ264" s="5">
        <v>5</v>
      </c>
      <c r="AT264" s="5" cm="1">
        <f t="array" ref="AT264">SUM(_xlfn.CHOOSECOLS(_xlfn.ANCHORARRAY(AH264),_xlfn.ANCHORARRAY(J264))*$L$154:$O$154) + SUM(_xlfn.CHOOSECOLS(_xlfn.ANCHORARRAY(AH264),_xlfn.ANCHORARRAY(AA264))*$P$154:$U$154)</f>
        <v>28.700000000000003</v>
      </c>
      <c r="AV264" s="5" t="b">
        <v>0</v>
      </c>
      <c r="AY264" s="5">
        <v>120</v>
      </c>
    </row>
    <row r="265" spans="2:51" ht="22.5" customHeight="1">
      <c r="B265" s="11">
        <v>88</v>
      </c>
      <c r="C265" s="11">
        <v>6</v>
      </c>
      <c r="D265" s="18">
        <v>10</v>
      </c>
      <c r="E265" s="34">
        <v>19</v>
      </c>
      <c r="F265" s="37"/>
      <c r="G265" s="17" t="s">
        <v>103</v>
      </c>
      <c r="H265" s="17" t="s">
        <v>122</v>
      </c>
      <c r="I265" s="3">
        <v>19</v>
      </c>
      <c r="J265" s="3" cm="1">
        <f t="array" ref="J265:M265">_xlfn.XLOOKUP(H265,Families!$B$6:$B$25,_xlfn.ANCHORARRAY(Families!$I$6))</f>
        <v>9</v>
      </c>
      <c r="K265" s="3">
        <v>7</v>
      </c>
      <c r="L265" s="3">
        <v>1</v>
      </c>
      <c r="M265" s="3">
        <v>10</v>
      </c>
      <c r="O265" s="5" cm="1">
        <f t="array" ref="O265:X265">_xlfn.SEQUENCE(1,10,1,1)</f>
        <v>1</v>
      </c>
      <c r="P265" s="5">
        <v>2</v>
      </c>
      <c r="Q265" s="5">
        <v>3</v>
      </c>
      <c r="R265" s="5">
        <v>4</v>
      </c>
      <c r="S265" s="5">
        <v>5</v>
      </c>
      <c r="T265" s="5">
        <v>6</v>
      </c>
      <c r="U265" s="5">
        <v>7</v>
      </c>
      <c r="V265" s="5">
        <v>8</v>
      </c>
      <c r="W265" s="5">
        <v>9</v>
      </c>
      <c r="X265" s="5">
        <v>10</v>
      </c>
      <c r="AA265" s="5" cm="1">
        <f t="array" ref="AA265:AF265">_xlfn._xlws.FILTER(_xlfn.ANCHORARRAY(O265), COUNTIF(_xlfn.ANCHORARRAY(J265),_xlfn.ANCHORARRAY(O265))=0)</f>
        <v>2</v>
      </c>
      <c r="AB265" s="5">
        <v>3</v>
      </c>
      <c r="AC265" s="5">
        <v>4</v>
      </c>
      <c r="AD265" s="5">
        <v>5</v>
      </c>
      <c r="AE265" s="5">
        <v>6</v>
      </c>
      <c r="AF265" s="5">
        <v>8</v>
      </c>
      <c r="AH265" s="3" cm="1">
        <f t="array" ref="AH265:AQ265">_xlfn.XLOOKUP(G265,Destinations!$B$6:$B$20,Destinations!$C$6:$L$20,,0,1)</f>
        <v>10</v>
      </c>
      <c r="AI265" s="5">
        <v>6</v>
      </c>
      <c r="AJ265" s="5">
        <v>3</v>
      </c>
      <c r="AK265" s="5">
        <v>9</v>
      </c>
      <c r="AL265" s="5">
        <v>3</v>
      </c>
      <c r="AM265" s="5">
        <v>7</v>
      </c>
      <c r="AN265" s="5">
        <v>2</v>
      </c>
      <c r="AO265" s="5">
        <v>7</v>
      </c>
      <c r="AP265" s="5">
        <v>5</v>
      </c>
      <c r="AQ265" s="5">
        <v>1</v>
      </c>
      <c r="AT265" s="5" cm="1">
        <f t="array" ref="AT265">SUM(_xlfn.CHOOSECOLS(_xlfn.ANCHORARRAY(AH265),_xlfn.ANCHORARRAY(J265))*$L$154:$O$154) + SUM(_xlfn.CHOOSECOLS(_xlfn.ANCHORARRAY(AH265),_xlfn.ANCHORARRAY(AA265))*$P$154:$U$154)</f>
        <v>29.500000000000004</v>
      </c>
      <c r="AV265" s="5" t="b">
        <v>1</v>
      </c>
      <c r="AY265" s="5">
        <v>1014</v>
      </c>
    </row>
    <row r="266" spans="2:51" ht="22.5" customHeight="1">
      <c r="B266" s="11">
        <v>89</v>
      </c>
      <c r="C266" s="11">
        <v>6</v>
      </c>
      <c r="D266" s="18">
        <v>10</v>
      </c>
      <c r="E266" s="34">
        <v>26</v>
      </c>
      <c r="F266" s="37"/>
      <c r="G266" s="17" t="s">
        <v>79</v>
      </c>
      <c r="H266" s="17" t="s">
        <v>121</v>
      </c>
      <c r="I266" s="3">
        <v>26</v>
      </c>
      <c r="J266" s="3" cm="1">
        <f t="array" ref="J266:M266">_xlfn.XLOOKUP(H266,Families!$B$6:$B$25,_xlfn.ANCHORARRAY(Families!$I$6))</f>
        <v>3</v>
      </c>
      <c r="K266" s="3">
        <v>5</v>
      </c>
      <c r="L266" s="3">
        <v>10</v>
      </c>
      <c r="M266" s="3">
        <v>7</v>
      </c>
      <c r="O266" s="5" cm="1">
        <f t="array" ref="O266:X266">_xlfn.SEQUENCE(1,10,1,1)</f>
        <v>1</v>
      </c>
      <c r="P266" s="5">
        <v>2</v>
      </c>
      <c r="Q266" s="5">
        <v>3</v>
      </c>
      <c r="R266" s="5">
        <v>4</v>
      </c>
      <c r="S266" s="5">
        <v>5</v>
      </c>
      <c r="T266" s="5">
        <v>6</v>
      </c>
      <c r="U266" s="5">
        <v>7</v>
      </c>
      <c r="V266" s="5">
        <v>8</v>
      </c>
      <c r="W266" s="5">
        <v>9</v>
      </c>
      <c r="X266" s="5">
        <v>10</v>
      </c>
      <c r="AA266" s="5" cm="1">
        <f t="array" ref="AA266:AF266">_xlfn._xlws.FILTER(_xlfn.ANCHORARRAY(O266), COUNTIF(_xlfn.ANCHORARRAY(J266),_xlfn.ANCHORARRAY(O266))=0)</f>
        <v>1</v>
      </c>
      <c r="AB266" s="5">
        <v>2</v>
      </c>
      <c r="AC266" s="5">
        <v>4</v>
      </c>
      <c r="AD266" s="5">
        <v>6</v>
      </c>
      <c r="AE266" s="5">
        <v>8</v>
      </c>
      <c r="AF266" s="5">
        <v>9</v>
      </c>
      <c r="AH266" s="3" cm="1">
        <f t="array" ref="AH266:AQ266">_xlfn.XLOOKUP(G266,Destinations!$B$6:$B$20,Destinations!$C$6:$L$20,,0,1)</f>
        <v>6</v>
      </c>
      <c r="AI266" s="5">
        <v>8</v>
      </c>
      <c r="AJ266" s="5">
        <v>5</v>
      </c>
      <c r="AK266" s="5">
        <v>10</v>
      </c>
      <c r="AL266" s="5">
        <v>6</v>
      </c>
      <c r="AM266" s="5">
        <v>3</v>
      </c>
      <c r="AN266" s="5">
        <v>4</v>
      </c>
      <c r="AO266" s="5">
        <v>4</v>
      </c>
      <c r="AP266" s="5">
        <v>3</v>
      </c>
      <c r="AQ266" s="5">
        <v>5</v>
      </c>
      <c r="AT266" s="5" cm="1">
        <f t="array" ref="AT266">SUM(_xlfn.CHOOSECOLS(_xlfn.ANCHORARRAY(AH266),_xlfn.ANCHORARRAY(J266))*$L$154:$O$154) + SUM(_xlfn.CHOOSECOLS(_xlfn.ANCHORARRAY(AH266),_xlfn.ANCHORARRAY(AA266))*$P$154:$U$154)</f>
        <v>30.8</v>
      </c>
      <c r="AV266" s="5" t="b">
        <v>1</v>
      </c>
      <c r="AY266" s="5">
        <v>485.25</v>
      </c>
    </row>
    <row r="267" spans="2:51" ht="22.5" customHeight="1">
      <c r="B267" s="11">
        <v>90</v>
      </c>
      <c r="C267" s="11">
        <v>6</v>
      </c>
      <c r="D267" s="18">
        <v>10</v>
      </c>
      <c r="E267" s="34">
        <v>26</v>
      </c>
      <c r="F267" s="37"/>
      <c r="G267" s="17" t="s">
        <v>77</v>
      </c>
      <c r="H267" s="17" t="s">
        <v>169</v>
      </c>
      <c r="I267" s="3">
        <v>26</v>
      </c>
      <c r="J267" s="3" cm="1">
        <f t="array" ref="J267:M267">_xlfn.XLOOKUP(H267,Families!$B$6:$B$25,_xlfn.ANCHORARRAY(Families!$I$6))</f>
        <v>9</v>
      </c>
      <c r="K267" s="3">
        <v>1</v>
      </c>
      <c r="L267" s="3">
        <v>8</v>
      </c>
      <c r="M267" s="3">
        <v>5</v>
      </c>
      <c r="O267" s="5" cm="1">
        <f t="array" ref="O267:X267">_xlfn.SEQUENCE(1,10,1,1)</f>
        <v>1</v>
      </c>
      <c r="P267" s="5">
        <v>2</v>
      </c>
      <c r="Q267" s="5">
        <v>3</v>
      </c>
      <c r="R267" s="5">
        <v>4</v>
      </c>
      <c r="S267" s="5">
        <v>5</v>
      </c>
      <c r="T267" s="5">
        <v>6</v>
      </c>
      <c r="U267" s="5">
        <v>7</v>
      </c>
      <c r="V267" s="5">
        <v>8</v>
      </c>
      <c r="W267" s="5">
        <v>9</v>
      </c>
      <c r="X267" s="5">
        <v>10</v>
      </c>
      <c r="AA267" s="5" cm="1">
        <f t="array" ref="AA267:AF267">_xlfn._xlws.FILTER(_xlfn.ANCHORARRAY(O267), COUNTIF(_xlfn.ANCHORARRAY(J267),_xlfn.ANCHORARRAY(O267))=0)</f>
        <v>2</v>
      </c>
      <c r="AB267" s="5">
        <v>3</v>
      </c>
      <c r="AC267" s="5">
        <v>4</v>
      </c>
      <c r="AD267" s="5">
        <v>6</v>
      </c>
      <c r="AE267" s="5">
        <v>7</v>
      </c>
      <c r="AF267" s="5">
        <v>10</v>
      </c>
      <c r="AH267" s="3" cm="1">
        <f t="array" ref="AH267:AQ267">_xlfn.XLOOKUP(G267,Destinations!$B$6:$B$20,Destinations!$C$6:$L$20,,0,1)</f>
        <v>4</v>
      </c>
      <c r="AI267" s="5">
        <v>8</v>
      </c>
      <c r="AJ267" s="5">
        <v>6</v>
      </c>
      <c r="AK267" s="5">
        <v>5</v>
      </c>
      <c r="AL267" s="5">
        <v>3</v>
      </c>
      <c r="AM267" s="5">
        <v>4</v>
      </c>
      <c r="AN267" s="5">
        <v>4</v>
      </c>
      <c r="AO267" s="5">
        <v>3</v>
      </c>
      <c r="AP267" s="5">
        <v>6</v>
      </c>
      <c r="AQ267" s="5">
        <v>9</v>
      </c>
      <c r="AT267" s="5" cm="1">
        <f t="array" ref="AT267">SUM(_xlfn.CHOOSECOLS(_xlfn.ANCHORARRAY(AH267),_xlfn.ANCHORARRAY(J267))*$L$154:$O$154) + SUM(_xlfn.CHOOSECOLS(_xlfn.ANCHORARRAY(AH267),_xlfn.ANCHORARRAY(AA267))*$P$154:$U$154)</f>
        <v>28.5</v>
      </c>
      <c r="AV267" s="5" t="b">
        <v>0</v>
      </c>
      <c r="AY267" s="5">
        <v>226.5</v>
      </c>
    </row>
    <row r="268" spans="2:51" ht="22.5" customHeight="1">
      <c r="B268" s="11">
        <v>91</v>
      </c>
      <c r="C268" s="11">
        <v>6</v>
      </c>
      <c r="D268" s="18">
        <v>10</v>
      </c>
      <c r="E268" s="34">
        <v>24</v>
      </c>
      <c r="F268" s="37"/>
      <c r="G268" s="17" t="s">
        <v>70</v>
      </c>
      <c r="H268" s="17" t="s">
        <v>128</v>
      </c>
      <c r="I268" s="3">
        <v>24</v>
      </c>
      <c r="J268" s="3" cm="1">
        <f t="array" ref="J268:M268">_xlfn.XLOOKUP(H268,Families!$B$6:$B$25,_xlfn.ANCHORARRAY(Families!$I$6))</f>
        <v>8</v>
      </c>
      <c r="K268" s="3">
        <v>9</v>
      </c>
      <c r="L268" s="3">
        <v>5</v>
      </c>
      <c r="M268" s="3">
        <v>1</v>
      </c>
      <c r="O268" s="5" cm="1">
        <f t="array" ref="O268:X268">_xlfn.SEQUENCE(1,10,1,1)</f>
        <v>1</v>
      </c>
      <c r="P268" s="5">
        <v>2</v>
      </c>
      <c r="Q268" s="5">
        <v>3</v>
      </c>
      <c r="R268" s="5">
        <v>4</v>
      </c>
      <c r="S268" s="5">
        <v>5</v>
      </c>
      <c r="T268" s="5">
        <v>6</v>
      </c>
      <c r="U268" s="5">
        <v>7</v>
      </c>
      <c r="V268" s="5">
        <v>8</v>
      </c>
      <c r="W268" s="5">
        <v>9</v>
      </c>
      <c r="X268" s="5">
        <v>10</v>
      </c>
      <c r="AA268" s="5" cm="1">
        <f t="array" ref="AA268:AF268">_xlfn._xlws.FILTER(_xlfn.ANCHORARRAY(O268), COUNTIF(_xlfn.ANCHORARRAY(J268),_xlfn.ANCHORARRAY(O268))=0)</f>
        <v>2</v>
      </c>
      <c r="AB268" s="5">
        <v>3</v>
      </c>
      <c r="AC268" s="5">
        <v>4</v>
      </c>
      <c r="AD268" s="5">
        <v>6</v>
      </c>
      <c r="AE268" s="5">
        <v>7</v>
      </c>
      <c r="AF268" s="5">
        <v>10</v>
      </c>
      <c r="AH268" s="3" cm="1">
        <f t="array" ref="AH268:AQ268">_xlfn.XLOOKUP(G268,Destinations!$B$6:$B$20,Destinations!$C$6:$L$20,,0,1)</f>
        <v>6</v>
      </c>
      <c r="AI268" s="5">
        <v>6</v>
      </c>
      <c r="AJ268" s="5">
        <v>3</v>
      </c>
      <c r="AK268" s="5">
        <v>5</v>
      </c>
      <c r="AL268" s="5">
        <v>3</v>
      </c>
      <c r="AM268" s="5">
        <v>7</v>
      </c>
      <c r="AN268" s="5">
        <v>5</v>
      </c>
      <c r="AO268" s="5">
        <v>8</v>
      </c>
      <c r="AP268" s="5">
        <v>5</v>
      </c>
      <c r="AQ268" s="5">
        <v>1</v>
      </c>
      <c r="AT268" s="5" cm="1">
        <f t="array" ref="AT268">SUM(_xlfn.CHOOSECOLS(_xlfn.ANCHORARRAY(AH268),_xlfn.ANCHORARRAY(J268))*$L$154:$O$154) + SUM(_xlfn.CHOOSECOLS(_xlfn.ANCHORARRAY(AH268),_xlfn.ANCHORARRAY(AA268))*$P$154:$U$154)</f>
        <v>29.900000000000002</v>
      </c>
      <c r="AV268" s="5" t="b">
        <v>0</v>
      </c>
      <c r="AY268" s="5">
        <v>615</v>
      </c>
    </row>
    <row r="269" spans="2:51" ht="22.5" customHeight="1">
      <c r="B269" s="11">
        <v>92</v>
      </c>
      <c r="C269" s="11">
        <v>6</v>
      </c>
      <c r="D269" s="18">
        <v>10</v>
      </c>
      <c r="E269" s="34">
        <v>29</v>
      </c>
      <c r="F269" s="37"/>
      <c r="G269" s="17" t="s">
        <v>76</v>
      </c>
      <c r="H269" s="17" t="s">
        <v>124</v>
      </c>
      <c r="I269" s="3">
        <v>29</v>
      </c>
      <c r="J269" s="3" cm="1">
        <f t="array" ref="J269:M269">_xlfn.XLOOKUP(H269,Families!$B$6:$B$25,_xlfn.ANCHORARRAY(Families!$I$6))</f>
        <v>5</v>
      </c>
      <c r="K269" s="3">
        <v>10</v>
      </c>
      <c r="L269" s="3">
        <v>2</v>
      </c>
      <c r="M269" s="3">
        <v>1</v>
      </c>
      <c r="O269" s="5" cm="1">
        <f t="array" ref="O269:X269">_xlfn.SEQUENCE(1,10,1,1)</f>
        <v>1</v>
      </c>
      <c r="P269" s="5">
        <v>2</v>
      </c>
      <c r="Q269" s="5">
        <v>3</v>
      </c>
      <c r="R269" s="5">
        <v>4</v>
      </c>
      <c r="S269" s="5">
        <v>5</v>
      </c>
      <c r="T269" s="5">
        <v>6</v>
      </c>
      <c r="U269" s="5">
        <v>7</v>
      </c>
      <c r="V269" s="5">
        <v>8</v>
      </c>
      <c r="W269" s="5">
        <v>9</v>
      </c>
      <c r="X269" s="5">
        <v>10</v>
      </c>
      <c r="AA269" s="5" cm="1">
        <f t="array" ref="AA269:AF269">_xlfn._xlws.FILTER(_xlfn.ANCHORARRAY(O269), COUNTIF(_xlfn.ANCHORARRAY(J269),_xlfn.ANCHORARRAY(O269))=0)</f>
        <v>3</v>
      </c>
      <c r="AB269" s="5">
        <v>4</v>
      </c>
      <c r="AC269" s="5">
        <v>6</v>
      </c>
      <c r="AD269" s="5">
        <v>7</v>
      </c>
      <c r="AE269" s="5">
        <v>8</v>
      </c>
      <c r="AF269" s="5">
        <v>9</v>
      </c>
      <c r="AH269" s="3" cm="1">
        <f t="array" ref="AH269:AQ269">_xlfn.XLOOKUP(G269,Destinations!$B$6:$B$20,Destinations!$C$6:$L$20,,0,1)</f>
        <v>8</v>
      </c>
      <c r="AI269" s="5">
        <v>8</v>
      </c>
      <c r="AJ269" s="5">
        <v>5</v>
      </c>
      <c r="AK269" s="5">
        <v>6</v>
      </c>
      <c r="AL269" s="5">
        <v>5</v>
      </c>
      <c r="AM269" s="5">
        <v>2</v>
      </c>
      <c r="AN269" s="5">
        <v>5</v>
      </c>
      <c r="AO269" s="5">
        <v>3</v>
      </c>
      <c r="AP269" s="5">
        <v>10</v>
      </c>
      <c r="AQ269" s="5">
        <v>4</v>
      </c>
      <c r="AT269" s="5" cm="1">
        <f t="array" ref="AT269">SUM(_xlfn.CHOOSECOLS(_xlfn.ANCHORARRAY(AH269),_xlfn.ANCHORARRAY(J269))*$L$154:$O$154) + SUM(_xlfn.CHOOSECOLS(_xlfn.ANCHORARRAY(AH269),_xlfn.ANCHORARRAY(AA269))*$P$154:$U$154)</f>
        <v>33</v>
      </c>
      <c r="AV269" s="5" t="b">
        <v>0</v>
      </c>
      <c r="AY269" s="5">
        <v>362.25</v>
      </c>
    </row>
    <row r="270" spans="2:51" ht="22.5" customHeight="1">
      <c r="B270" s="11">
        <v>93</v>
      </c>
      <c r="C270" s="11">
        <v>6</v>
      </c>
      <c r="D270" s="18">
        <v>10</v>
      </c>
      <c r="E270" s="34">
        <v>28</v>
      </c>
      <c r="F270" s="37"/>
      <c r="G270" s="17" t="s">
        <v>78</v>
      </c>
      <c r="H270" s="17" t="s">
        <v>129</v>
      </c>
      <c r="I270" s="3">
        <v>28</v>
      </c>
      <c r="J270" s="3" cm="1">
        <f t="array" ref="J270:M270">_xlfn.XLOOKUP(H270,Families!$B$6:$B$25,_xlfn.ANCHORARRAY(Families!$I$6))</f>
        <v>4</v>
      </c>
      <c r="K270" s="3">
        <v>6</v>
      </c>
      <c r="L270" s="3">
        <v>2</v>
      </c>
      <c r="M270" s="3">
        <v>3</v>
      </c>
      <c r="O270" s="5" cm="1">
        <f t="array" ref="O270:X270">_xlfn.SEQUENCE(1,10,1,1)</f>
        <v>1</v>
      </c>
      <c r="P270" s="5">
        <v>2</v>
      </c>
      <c r="Q270" s="5">
        <v>3</v>
      </c>
      <c r="R270" s="5">
        <v>4</v>
      </c>
      <c r="S270" s="5">
        <v>5</v>
      </c>
      <c r="T270" s="5">
        <v>6</v>
      </c>
      <c r="U270" s="5">
        <v>7</v>
      </c>
      <c r="V270" s="5">
        <v>8</v>
      </c>
      <c r="W270" s="5">
        <v>9</v>
      </c>
      <c r="X270" s="5">
        <v>10</v>
      </c>
      <c r="AA270" s="5" cm="1">
        <f t="array" ref="AA270:AF270">_xlfn._xlws.FILTER(_xlfn.ANCHORARRAY(O270), COUNTIF(_xlfn.ANCHORARRAY(J270),_xlfn.ANCHORARRAY(O270))=0)</f>
        <v>1</v>
      </c>
      <c r="AB270" s="5">
        <v>5</v>
      </c>
      <c r="AC270" s="5">
        <v>7</v>
      </c>
      <c r="AD270" s="5">
        <v>8</v>
      </c>
      <c r="AE270" s="5">
        <v>9</v>
      </c>
      <c r="AF270" s="5">
        <v>10</v>
      </c>
      <c r="AH270" s="3" cm="1">
        <f t="array" ref="AH270:AQ270">_xlfn.XLOOKUP(G270,Destinations!$B$6:$B$20,Destinations!$C$6:$L$20,,0,1)</f>
        <v>6</v>
      </c>
      <c r="AI270" s="5">
        <v>5</v>
      </c>
      <c r="AJ270" s="5">
        <v>5</v>
      </c>
      <c r="AK270" s="5">
        <v>4</v>
      </c>
      <c r="AL270" s="5">
        <v>3</v>
      </c>
      <c r="AM270" s="5">
        <v>7</v>
      </c>
      <c r="AN270" s="5">
        <v>7</v>
      </c>
      <c r="AO270" s="5">
        <v>5</v>
      </c>
      <c r="AP270" s="5">
        <v>3</v>
      </c>
      <c r="AQ270" s="5">
        <v>5</v>
      </c>
      <c r="AT270" s="5" cm="1">
        <f t="array" ref="AT270">SUM(_xlfn.CHOOSECOLS(_xlfn.ANCHORARRAY(AH270),_xlfn.ANCHORARRAY(J270))*$L$154:$O$154) + SUM(_xlfn.CHOOSECOLS(_xlfn.ANCHORARRAY(AH270),_xlfn.ANCHORARRAY(AA270))*$P$154:$U$154)</f>
        <v>29.400000000000002</v>
      </c>
      <c r="AV270" s="5" t="b">
        <v>0</v>
      </c>
      <c r="AY270" s="5">
        <v>120</v>
      </c>
    </row>
    <row r="271" spans="2:51" ht="22.5" customHeight="1">
      <c r="B271" s="11">
        <v>94</v>
      </c>
      <c r="C271" s="11">
        <v>6</v>
      </c>
      <c r="D271" s="18">
        <v>10</v>
      </c>
      <c r="E271" s="34">
        <v>26</v>
      </c>
      <c r="F271" s="37"/>
      <c r="G271" s="17" t="s">
        <v>74</v>
      </c>
      <c r="H271" s="17" t="s">
        <v>130</v>
      </c>
      <c r="I271" s="3">
        <v>26</v>
      </c>
      <c r="J271" s="3" cm="1">
        <f t="array" ref="J271:M271">_xlfn.XLOOKUP(H271,Families!$B$6:$B$25,_xlfn.ANCHORARRAY(Families!$I$6))</f>
        <v>6</v>
      </c>
      <c r="K271" s="3">
        <v>3</v>
      </c>
      <c r="L271" s="3">
        <v>8</v>
      </c>
      <c r="M271" s="3">
        <v>4</v>
      </c>
      <c r="O271" s="5" cm="1">
        <f t="array" ref="O271:X271">_xlfn.SEQUENCE(1,10,1,1)</f>
        <v>1</v>
      </c>
      <c r="P271" s="5">
        <v>2</v>
      </c>
      <c r="Q271" s="5">
        <v>3</v>
      </c>
      <c r="R271" s="5">
        <v>4</v>
      </c>
      <c r="S271" s="5">
        <v>5</v>
      </c>
      <c r="T271" s="5">
        <v>6</v>
      </c>
      <c r="U271" s="5">
        <v>7</v>
      </c>
      <c r="V271" s="5">
        <v>8</v>
      </c>
      <c r="W271" s="5">
        <v>9</v>
      </c>
      <c r="X271" s="5">
        <v>10</v>
      </c>
      <c r="AA271" s="5" cm="1">
        <f t="array" ref="AA271:AF271">_xlfn._xlws.FILTER(_xlfn.ANCHORARRAY(O271), COUNTIF(_xlfn.ANCHORARRAY(J271),_xlfn.ANCHORARRAY(O271))=0)</f>
        <v>1</v>
      </c>
      <c r="AB271" s="5">
        <v>2</v>
      </c>
      <c r="AC271" s="5">
        <v>5</v>
      </c>
      <c r="AD271" s="5">
        <v>7</v>
      </c>
      <c r="AE271" s="5">
        <v>9</v>
      </c>
      <c r="AF271" s="5">
        <v>10</v>
      </c>
      <c r="AH271" s="3" cm="1">
        <f t="array" ref="AH271:AQ271">_xlfn.XLOOKUP(G271,Destinations!$B$6:$B$20,Destinations!$C$6:$L$20,,0,1)</f>
        <v>4</v>
      </c>
      <c r="AI271" s="5">
        <v>9</v>
      </c>
      <c r="AJ271" s="5">
        <v>5</v>
      </c>
      <c r="AK271" s="5">
        <v>8</v>
      </c>
      <c r="AL271" s="5">
        <v>6</v>
      </c>
      <c r="AM271" s="5">
        <v>3</v>
      </c>
      <c r="AN271" s="5">
        <v>10</v>
      </c>
      <c r="AO271" s="5">
        <v>3</v>
      </c>
      <c r="AP271" s="5">
        <v>4</v>
      </c>
      <c r="AQ271" s="5">
        <v>6</v>
      </c>
      <c r="AT271" s="5" cm="1">
        <f t="array" ref="AT271">SUM(_xlfn.CHOOSECOLS(_xlfn.ANCHORARRAY(AH271),_xlfn.ANCHORARRAY(J271))*$L$154:$O$154) + SUM(_xlfn.CHOOSECOLS(_xlfn.ANCHORARRAY(AH271),_xlfn.ANCHORARRAY(AA271))*$P$154:$U$154)</f>
        <v>31.1</v>
      </c>
      <c r="AV271" s="5" t="b">
        <v>0</v>
      </c>
      <c r="AY271" s="5">
        <v>519.75</v>
      </c>
    </row>
    <row r="272" spans="2:51" ht="22.5" customHeight="1">
      <c r="B272" s="11">
        <v>95</v>
      </c>
      <c r="C272" s="11">
        <v>6</v>
      </c>
      <c r="D272" s="18">
        <v>10</v>
      </c>
      <c r="E272" s="34">
        <v>23</v>
      </c>
      <c r="F272" s="37"/>
      <c r="G272" s="17" t="s">
        <v>69</v>
      </c>
      <c r="H272" s="17" t="s">
        <v>170</v>
      </c>
      <c r="I272" s="3">
        <v>23</v>
      </c>
      <c r="J272" s="3" cm="1">
        <f t="array" ref="J272:M272">_xlfn.XLOOKUP(H272,Families!$B$6:$B$25,_xlfn.ANCHORARRAY(Families!$I$6))</f>
        <v>3</v>
      </c>
      <c r="K272" s="3">
        <v>4</v>
      </c>
      <c r="L272" s="3">
        <v>6</v>
      </c>
      <c r="M272" s="3">
        <v>10</v>
      </c>
      <c r="O272" s="5" cm="1">
        <f t="array" ref="O272:X272">_xlfn.SEQUENCE(1,10,1,1)</f>
        <v>1</v>
      </c>
      <c r="P272" s="5">
        <v>2</v>
      </c>
      <c r="Q272" s="5">
        <v>3</v>
      </c>
      <c r="R272" s="5">
        <v>4</v>
      </c>
      <c r="S272" s="5">
        <v>5</v>
      </c>
      <c r="T272" s="5">
        <v>6</v>
      </c>
      <c r="U272" s="5">
        <v>7</v>
      </c>
      <c r="V272" s="5">
        <v>8</v>
      </c>
      <c r="W272" s="5">
        <v>9</v>
      </c>
      <c r="X272" s="5">
        <v>10</v>
      </c>
      <c r="AA272" s="5" cm="1">
        <f t="array" ref="AA272:AF272">_xlfn._xlws.FILTER(_xlfn.ANCHORARRAY(O272), COUNTIF(_xlfn.ANCHORARRAY(J272),_xlfn.ANCHORARRAY(O272))=0)</f>
        <v>1</v>
      </c>
      <c r="AB272" s="5">
        <v>2</v>
      </c>
      <c r="AC272" s="5">
        <v>5</v>
      </c>
      <c r="AD272" s="5">
        <v>7</v>
      </c>
      <c r="AE272" s="5">
        <v>8</v>
      </c>
      <c r="AF272" s="5">
        <v>9</v>
      </c>
      <c r="AH272" s="3" cm="1">
        <f t="array" ref="AH272:AQ272">_xlfn.XLOOKUP(G272,Destinations!$B$6:$B$20,Destinations!$C$6:$L$20,,0,1)</f>
        <v>5</v>
      </c>
      <c r="AI272" s="5">
        <v>9</v>
      </c>
      <c r="AJ272" s="5">
        <v>4</v>
      </c>
      <c r="AK272" s="5">
        <v>6</v>
      </c>
      <c r="AL272" s="5">
        <v>6</v>
      </c>
      <c r="AM272" s="5">
        <v>3</v>
      </c>
      <c r="AN272" s="5">
        <v>4</v>
      </c>
      <c r="AO272" s="5">
        <v>4</v>
      </c>
      <c r="AP272" s="5">
        <v>5</v>
      </c>
      <c r="AQ272" s="5">
        <v>8</v>
      </c>
      <c r="AT272" s="5" cm="1">
        <f t="array" ref="AT272">SUM(_xlfn.CHOOSECOLS(_xlfn.ANCHORARRAY(AH272),_xlfn.ANCHORARRAY(J272))*$L$154:$O$154) + SUM(_xlfn.CHOOSECOLS(_xlfn.ANCHORARRAY(AH272),_xlfn.ANCHORARRAY(AA272))*$P$154:$U$154)</f>
        <v>30.599999999999998</v>
      </c>
      <c r="AV272" s="5" t="b">
        <v>0</v>
      </c>
      <c r="AY272" s="5">
        <v>734.25</v>
      </c>
    </row>
    <row r="273" spans="2:51" ht="22.5" customHeight="1">
      <c r="B273" s="11">
        <v>96</v>
      </c>
      <c r="C273" s="11">
        <v>6</v>
      </c>
      <c r="D273" s="18">
        <v>10</v>
      </c>
      <c r="E273" s="34">
        <v>26</v>
      </c>
      <c r="F273" s="37"/>
      <c r="G273" s="17" t="s">
        <v>76</v>
      </c>
      <c r="H273" s="17" t="s">
        <v>171</v>
      </c>
      <c r="I273" s="3">
        <v>26</v>
      </c>
      <c r="J273" s="3" cm="1">
        <f t="array" ref="J273:M273">_xlfn.XLOOKUP(H273,Families!$B$6:$B$25,_xlfn.ANCHORARRAY(Families!$I$6))</f>
        <v>5</v>
      </c>
      <c r="K273" s="3">
        <v>8</v>
      </c>
      <c r="L273" s="3">
        <v>3</v>
      </c>
      <c r="M273" s="3">
        <v>6</v>
      </c>
      <c r="O273" s="5" cm="1">
        <f t="array" ref="O273:X273">_xlfn.SEQUENCE(1,10,1,1)</f>
        <v>1</v>
      </c>
      <c r="P273" s="5">
        <v>2</v>
      </c>
      <c r="Q273" s="5">
        <v>3</v>
      </c>
      <c r="R273" s="5">
        <v>4</v>
      </c>
      <c r="S273" s="5">
        <v>5</v>
      </c>
      <c r="T273" s="5">
        <v>6</v>
      </c>
      <c r="U273" s="5">
        <v>7</v>
      </c>
      <c r="V273" s="5">
        <v>8</v>
      </c>
      <c r="W273" s="5">
        <v>9</v>
      </c>
      <c r="X273" s="5">
        <v>10</v>
      </c>
      <c r="AA273" s="5" cm="1">
        <f t="array" ref="AA273:AF273">_xlfn._xlws.FILTER(_xlfn.ANCHORARRAY(O273), COUNTIF(_xlfn.ANCHORARRAY(J273),_xlfn.ANCHORARRAY(O273))=0)</f>
        <v>1</v>
      </c>
      <c r="AB273" s="5">
        <v>2</v>
      </c>
      <c r="AC273" s="5">
        <v>4</v>
      </c>
      <c r="AD273" s="5">
        <v>7</v>
      </c>
      <c r="AE273" s="5">
        <v>9</v>
      </c>
      <c r="AF273" s="5">
        <v>10</v>
      </c>
      <c r="AH273" s="3" cm="1">
        <f t="array" ref="AH273:AQ273">_xlfn.XLOOKUP(G273,Destinations!$B$6:$B$20,Destinations!$C$6:$L$20,,0,1)</f>
        <v>8</v>
      </c>
      <c r="AI273" s="5">
        <v>8</v>
      </c>
      <c r="AJ273" s="5">
        <v>5</v>
      </c>
      <c r="AK273" s="5">
        <v>6</v>
      </c>
      <c r="AL273" s="5">
        <v>5</v>
      </c>
      <c r="AM273" s="5">
        <v>2</v>
      </c>
      <c r="AN273" s="5">
        <v>5</v>
      </c>
      <c r="AO273" s="5">
        <v>3</v>
      </c>
      <c r="AP273" s="5">
        <v>10</v>
      </c>
      <c r="AQ273" s="5">
        <v>4</v>
      </c>
      <c r="AT273" s="5" cm="1">
        <f t="array" ref="AT273">SUM(_xlfn.CHOOSECOLS(_xlfn.ANCHORARRAY(AH273),_xlfn.ANCHORARRAY(J273))*$L$154:$O$154) + SUM(_xlfn.CHOOSECOLS(_xlfn.ANCHORARRAY(AH273),_xlfn.ANCHORARRAY(AA273))*$P$154:$U$154)</f>
        <v>29.5</v>
      </c>
      <c r="AV273" s="5" t="b">
        <v>0</v>
      </c>
      <c r="AY273" s="5">
        <v>362.25</v>
      </c>
    </row>
    <row r="274" spans="2:51" ht="22.5" customHeight="1">
      <c r="B274" s="11">
        <v>97</v>
      </c>
      <c r="C274" s="11">
        <v>6</v>
      </c>
      <c r="D274" s="18">
        <v>10</v>
      </c>
      <c r="E274" s="34">
        <v>26</v>
      </c>
      <c r="F274" s="37"/>
      <c r="G274" s="17" t="s">
        <v>72</v>
      </c>
      <c r="H274" s="17" t="s">
        <v>172</v>
      </c>
      <c r="I274" s="3">
        <v>26</v>
      </c>
      <c r="J274" s="3" cm="1">
        <f t="array" ref="J274:M274">_xlfn.XLOOKUP(H274,Families!$B$6:$B$25,_xlfn.ANCHORARRAY(Families!$I$6))</f>
        <v>6</v>
      </c>
      <c r="K274" s="3">
        <v>4</v>
      </c>
      <c r="L274" s="3">
        <v>10</v>
      </c>
      <c r="M274" s="3">
        <v>8</v>
      </c>
      <c r="O274" s="5" cm="1">
        <f t="array" ref="O274:X274">_xlfn.SEQUENCE(1,10,1,1)</f>
        <v>1</v>
      </c>
      <c r="P274" s="5">
        <v>2</v>
      </c>
      <c r="Q274" s="5">
        <v>3</v>
      </c>
      <c r="R274" s="5">
        <v>4</v>
      </c>
      <c r="S274" s="5">
        <v>5</v>
      </c>
      <c r="T274" s="5">
        <v>6</v>
      </c>
      <c r="U274" s="5">
        <v>7</v>
      </c>
      <c r="V274" s="5">
        <v>8</v>
      </c>
      <c r="W274" s="5">
        <v>9</v>
      </c>
      <c r="X274" s="5">
        <v>10</v>
      </c>
      <c r="AA274" s="5" cm="1">
        <f t="array" ref="AA274:AF274">_xlfn._xlws.FILTER(_xlfn.ANCHORARRAY(O274), COUNTIF(_xlfn.ANCHORARRAY(J274),_xlfn.ANCHORARRAY(O274))=0)</f>
        <v>1</v>
      </c>
      <c r="AB274" s="5">
        <v>2</v>
      </c>
      <c r="AC274" s="5">
        <v>3</v>
      </c>
      <c r="AD274" s="5">
        <v>5</v>
      </c>
      <c r="AE274" s="5">
        <v>7</v>
      </c>
      <c r="AF274" s="5">
        <v>9</v>
      </c>
      <c r="AH274" s="3" cm="1">
        <f t="array" ref="AH274:AQ274">_xlfn.XLOOKUP(G274,Destinations!$B$6:$B$20,Destinations!$C$6:$L$20,,0,1)</f>
        <v>5</v>
      </c>
      <c r="AI274" s="5">
        <v>7</v>
      </c>
      <c r="AJ274" s="5">
        <v>4</v>
      </c>
      <c r="AK274" s="5">
        <v>5</v>
      </c>
      <c r="AL274" s="5">
        <v>6</v>
      </c>
      <c r="AM274" s="5">
        <v>5</v>
      </c>
      <c r="AN274" s="5">
        <v>5</v>
      </c>
      <c r="AO274" s="5">
        <v>4</v>
      </c>
      <c r="AP274" s="5">
        <v>6</v>
      </c>
      <c r="AQ274" s="5">
        <v>7</v>
      </c>
      <c r="AT274" s="5" cm="1">
        <f t="array" ref="AT274">SUM(_xlfn.CHOOSECOLS(_xlfn.ANCHORARRAY(AH274),_xlfn.ANCHORARRAY(J274))*$L$154:$O$154) + SUM(_xlfn.CHOOSECOLS(_xlfn.ANCHORARRAY(AH274),_xlfn.ANCHORARRAY(AA274))*$P$154:$U$154)</f>
        <v>31.1</v>
      </c>
      <c r="AV274" s="5" t="b">
        <v>0</v>
      </c>
      <c r="AY274" s="5">
        <v>510</v>
      </c>
    </row>
    <row r="275" spans="2:51" ht="22.5" customHeight="1">
      <c r="B275" s="11">
        <v>98</v>
      </c>
      <c r="C275" s="11">
        <v>6</v>
      </c>
      <c r="D275" s="18">
        <v>10</v>
      </c>
      <c r="E275" s="34">
        <v>30</v>
      </c>
      <c r="F275" s="37"/>
      <c r="G275" s="17" t="s">
        <v>75</v>
      </c>
      <c r="H275" s="17" t="s">
        <v>173</v>
      </c>
      <c r="I275" s="3">
        <v>30</v>
      </c>
      <c r="J275" s="3" cm="1">
        <f t="array" ref="J275:M275">_xlfn.XLOOKUP(H275,Families!$B$6:$B$25,_xlfn.ANCHORARRAY(Families!$I$6))</f>
        <v>4</v>
      </c>
      <c r="K275" s="3">
        <v>10</v>
      </c>
      <c r="L275" s="3">
        <v>6</v>
      </c>
      <c r="M275" s="3">
        <v>3</v>
      </c>
      <c r="O275" s="5" cm="1">
        <f t="array" ref="O275:X275">_xlfn.SEQUENCE(1,10,1,1)</f>
        <v>1</v>
      </c>
      <c r="P275" s="5">
        <v>2</v>
      </c>
      <c r="Q275" s="5">
        <v>3</v>
      </c>
      <c r="R275" s="5">
        <v>4</v>
      </c>
      <c r="S275" s="5">
        <v>5</v>
      </c>
      <c r="T275" s="5">
        <v>6</v>
      </c>
      <c r="U275" s="5">
        <v>7</v>
      </c>
      <c r="V275" s="5">
        <v>8</v>
      </c>
      <c r="W275" s="5">
        <v>9</v>
      </c>
      <c r="X275" s="5">
        <v>10</v>
      </c>
      <c r="AA275" s="5" cm="1">
        <f t="array" ref="AA275:AF275">_xlfn._xlws.FILTER(_xlfn.ANCHORARRAY(O275), COUNTIF(_xlfn.ANCHORARRAY(J275),_xlfn.ANCHORARRAY(O275))=0)</f>
        <v>1</v>
      </c>
      <c r="AB275" s="5">
        <v>2</v>
      </c>
      <c r="AC275" s="5">
        <v>5</v>
      </c>
      <c r="AD275" s="5">
        <v>7</v>
      </c>
      <c r="AE275" s="5">
        <v>8</v>
      </c>
      <c r="AF275" s="5">
        <v>9</v>
      </c>
      <c r="AH275" s="3" cm="1">
        <f t="array" ref="AH275:AQ275">_xlfn.XLOOKUP(G275,Destinations!$B$6:$B$20,Destinations!$C$6:$L$20,,0,1)</f>
        <v>5</v>
      </c>
      <c r="AI275" s="5">
        <v>5</v>
      </c>
      <c r="AJ275" s="5">
        <v>5</v>
      </c>
      <c r="AK275" s="5">
        <v>8</v>
      </c>
      <c r="AL275" s="5">
        <v>6</v>
      </c>
      <c r="AM275" s="5">
        <v>4</v>
      </c>
      <c r="AN275" s="5">
        <v>5</v>
      </c>
      <c r="AO275" s="5">
        <v>4</v>
      </c>
      <c r="AP275" s="5">
        <v>5</v>
      </c>
      <c r="AQ275" s="5">
        <v>8</v>
      </c>
      <c r="AT275" s="5" cm="1">
        <f t="array" ref="AT275">SUM(_xlfn.CHOOSECOLS(_xlfn.ANCHORARRAY(AH275),_xlfn.ANCHORARRAY(J275))*$L$154:$O$154) + SUM(_xlfn.CHOOSECOLS(_xlfn.ANCHORARRAY(AH275),_xlfn.ANCHORARRAY(AA275))*$P$154:$U$154)</f>
        <v>33.9</v>
      </c>
      <c r="AV275" s="5" t="b">
        <v>0</v>
      </c>
      <c r="AY275" s="5">
        <v>384.75</v>
      </c>
    </row>
    <row r="276" spans="2:51" ht="22.5" customHeight="1">
      <c r="B276" s="11">
        <v>99</v>
      </c>
      <c r="C276" s="11">
        <v>6</v>
      </c>
      <c r="D276" s="18">
        <v>10</v>
      </c>
      <c r="E276" s="34">
        <v>27</v>
      </c>
      <c r="F276" s="37"/>
      <c r="G276" s="17" t="s">
        <v>79</v>
      </c>
      <c r="H276" s="17" t="s">
        <v>132</v>
      </c>
      <c r="I276" s="3">
        <v>27</v>
      </c>
      <c r="J276" s="3" cm="1">
        <f t="array" ref="J276:M276">_xlfn.XLOOKUP(H276,Families!$B$6:$B$25,_xlfn.ANCHORARRAY(Families!$I$6))</f>
        <v>1</v>
      </c>
      <c r="K276" s="3">
        <v>2</v>
      </c>
      <c r="L276" s="3">
        <v>7</v>
      </c>
      <c r="M276" s="3">
        <v>9</v>
      </c>
      <c r="O276" s="5" cm="1">
        <f t="array" ref="O276:X276">_xlfn.SEQUENCE(1,10,1,1)</f>
        <v>1</v>
      </c>
      <c r="P276" s="5">
        <v>2</v>
      </c>
      <c r="Q276" s="5">
        <v>3</v>
      </c>
      <c r="R276" s="5">
        <v>4</v>
      </c>
      <c r="S276" s="5">
        <v>5</v>
      </c>
      <c r="T276" s="5">
        <v>6</v>
      </c>
      <c r="U276" s="5">
        <v>7</v>
      </c>
      <c r="V276" s="5">
        <v>8</v>
      </c>
      <c r="W276" s="5">
        <v>9</v>
      </c>
      <c r="X276" s="5">
        <v>10</v>
      </c>
      <c r="AA276" s="5" cm="1">
        <f t="array" ref="AA276:AF276">_xlfn._xlws.FILTER(_xlfn.ANCHORARRAY(O276), COUNTIF(_xlfn.ANCHORARRAY(J276),_xlfn.ANCHORARRAY(O276))=0)</f>
        <v>3</v>
      </c>
      <c r="AB276" s="5">
        <v>4</v>
      </c>
      <c r="AC276" s="5">
        <v>5</v>
      </c>
      <c r="AD276" s="5">
        <v>6</v>
      </c>
      <c r="AE276" s="5">
        <v>8</v>
      </c>
      <c r="AF276" s="5">
        <v>10</v>
      </c>
      <c r="AH276" s="3" cm="1">
        <f t="array" ref="AH276:AQ276">_xlfn.XLOOKUP(G276,Destinations!$B$6:$B$20,Destinations!$C$6:$L$20,,0,1)</f>
        <v>6</v>
      </c>
      <c r="AI276" s="5">
        <v>8</v>
      </c>
      <c r="AJ276" s="5">
        <v>5</v>
      </c>
      <c r="AK276" s="5">
        <v>10</v>
      </c>
      <c r="AL276" s="5">
        <v>6</v>
      </c>
      <c r="AM276" s="5">
        <v>3</v>
      </c>
      <c r="AN276" s="5">
        <v>4</v>
      </c>
      <c r="AO276" s="5">
        <v>4</v>
      </c>
      <c r="AP276" s="5">
        <v>3</v>
      </c>
      <c r="AQ276" s="5">
        <v>5</v>
      </c>
      <c r="AT276" s="5" cm="1">
        <f t="array" ref="AT276">SUM(_xlfn.CHOOSECOLS(_xlfn.ANCHORARRAY(AH276),_xlfn.ANCHORARRAY(J276))*$L$154:$O$154) + SUM(_xlfn.CHOOSECOLS(_xlfn.ANCHORARRAY(AH276),_xlfn.ANCHORARRAY(AA276))*$P$154:$U$154)</f>
        <v>31.700000000000003</v>
      </c>
      <c r="AV276" s="5" t="b">
        <v>1</v>
      </c>
      <c r="AY276" s="5">
        <v>485.25</v>
      </c>
    </row>
    <row r="277" spans="2:51" ht="22.5" customHeight="1">
      <c r="B277" s="11">
        <v>100</v>
      </c>
      <c r="C277" s="11">
        <v>6</v>
      </c>
      <c r="D277" s="18">
        <v>10</v>
      </c>
      <c r="E277" s="34">
        <v>27</v>
      </c>
      <c r="F277" s="37"/>
      <c r="G277" s="17" t="s">
        <v>72</v>
      </c>
      <c r="H277" s="17" t="s">
        <v>122</v>
      </c>
      <c r="I277" s="3">
        <v>27</v>
      </c>
      <c r="J277" s="3" cm="1">
        <f t="array" ref="J277:M277">_xlfn.XLOOKUP(H277,Families!$B$6:$B$25,_xlfn.ANCHORARRAY(Families!$I$6))</f>
        <v>9</v>
      </c>
      <c r="K277" s="3">
        <v>7</v>
      </c>
      <c r="L277" s="3">
        <v>1</v>
      </c>
      <c r="M277" s="3">
        <v>10</v>
      </c>
      <c r="O277" s="5" cm="1">
        <f t="array" ref="O277:X277">_xlfn.SEQUENCE(1,10,1,1)</f>
        <v>1</v>
      </c>
      <c r="P277" s="5">
        <v>2</v>
      </c>
      <c r="Q277" s="5">
        <v>3</v>
      </c>
      <c r="R277" s="5">
        <v>4</v>
      </c>
      <c r="S277" s="5">
        <v>5</v>
      </c>
      <c r="T277" s="5">
        <v>6</v>
      </c>
      <c r="U277" s="5">
        <v>7</v>
      </c>
      <c r="V277" s="5">
        <v>8</v>
      </c>
      <c r="W277" s="5">
        <v>9</v>
      </c>
      <c r="X277" s="5">
        <v>10</v>
      </c>
      <c r="AA277" s="5" cm="1">
        <f t="array" ref="AA277:AF277">_xlfn._xlws.FILTER(_xlfn.ANCHORARRAY(O277), COUNTIF(_xlfn.ANCHORARRAY(J277),_xlfn.ANCHORARRAY(O277))=0)</f>
        <v>2</v>
      </c>
      <c r="AB277" s="5">
        <v>3</v>
      </c>
      <c r="AC277" s="5">
        <v>4</v>
      </c>
      <c r="AD277" s="5">
        <v>5</v>
      </c>
      <c r="AE277" s="5">
        <v>6</v>
      </c>
      <c r="AF277" s="5">
        <v>8</v>
      </c>
      <c r="AH277" s="3" cm="1">
        <f t="array" ref="AH277:AQ277">_xlfn.XLOOKUP(G277,Destinations!$B$6:$B$20,Destinations!$C$6:$L$20,,0,1)</f>
        <v>5</v>
      </c>
      <c r="AI277" s="5">
        <v>7</v>
      </c>
      <c r="AJ277" s="5">
        <v>4</v>
      </c>
      <c r="AK277" s="5">
        <v>5</v>
      </c>
      <c r="AL277" s="5">
        <v>6</v>
      </c>
      <c r="AM277" s="5">
        <v>5</v>
      </c>
      <c r="AN277" s="5">
        <v>5</v>
      </c>
      <c r="AO277" s="5">
        <v>4</v>
      </c>
      <c r="AP277" s="5">
        <v>6</v>
      </c>
      <c r="AQ277" s="5">
        <v>7</v>
      </c>
      <c r="AT277" s="5" cm="1">
        <f t="array" ref="AT277">SUM(_xlfn.CHOOSECOLS(_xlfn.ANCHORARRAY(AH277),_xlfn.ANCHORARRAY(J277))*$L$154:$O$154) + SUM(_xlfn.CHOOSECOLS(_xlfn.ANCHORARRAY(AH277),_xlfn.ANCHORARRAY(AA277))*$P$154:$U$154)</f>
        <v>31.799999999999997</v>
      </c>
      <c r="AV277" s="5" t="b">
        <v>0</v>
      </c>
      <c r="AY277" s="5">
        <v>510</v>
      </c>
    </row>
    <row r="278" spans="2:51" ht="15" customHeight="1">
      <c r="B278" s="5"/>
      <c r="C278" s="5"/>
      <c r="D278" s="5"/>
      <c r="E278" s="4"/>
      <c r="F278" s="22"/>
      <c r="G278" s="25"/>
    </row>
    <row r="279" spans="2:51" ht="15" customHeight="1" thickBot="1"/>
    <row r="280" spans="2:51" ht="21.75" customHeight="1" thickBot="1">
      <c r="B280" s="62" t="s">
        <v>174</v>
      </c>
      <c r="C280" s="66" t="s">
        <v>175</v>
      </c>
      <c r="D280" s="43"/>
      <c r="E280" s="21"/>
      <c r="F280" s="22"/>
      <c r="G280" s="23"/>
      <c r="H280" s="23"/>
    </row>
    <row r="281" spans="2:51" ht="15" customHeight="1">
      <c r="B281" s="15"/>
      <c r="C281" s="5"/>
      <c r="D281" s="5"/>
      <c r="E281" s="21"/>
      <c r="F281" s="22"/>
      <c r="G281" s="5"/>
      <c r="H281" s="5"/>
    </row>
    <row r="282" spans="2:51" ht="15" customHeight="1">
      <c r="B282" s="42" t="s">
        <v>176</v>
      </c>
      <c r="D282" s="3"/>
      <c r="E282" s="4"/>
      <c r="H282" s="3"/>
    </row>
    <row r="283" spans="2:51" ht="15" customHeight="1">
      <c r="B283" s="42" t="s">
        <v>177</v>
      </c>
      <c r="D283" s="3"/>
      <c r="E283" s="4"/>
      <c r="H283" s="3"/>
    </row>
    <row r="284" spans="2:51" ht="15" customHeight="1">
      <c r="B284" s="40" t="s">
        <v>178</v>
      </c>
      <c r="D284" s="3"/>
      <c r="E284" s="4"/>
      <c r="H284" s="3"/>
    </row>
    <row r="285" spans="2:51" ht="15" customHeight="1">
      <c r="B285" s="42" t="s">
        <v>179</v>
      </c>
      <c r="C285" s="30"/>
      <c r="H285" s="3"/>
    </row>
    <row r="287" spans="2:51" ht="15" customHeight="1">
      <c r="B287" s="42" t="s">
        <v>180</v>
      </c>
      <c r="C287" s="30"/>
      <c r="H287" s="3"/>
    </row>
    <row r="288" spans="2:51" ht="15" customHeight="1">
      <c r="B288" s="42" t="s">
        <v>181</v>
      </c>
      <c r="C288" s="30"/>
      <c r="H288" s="3"/>
    </row>
    <row r="289" spans="2:105" ht="15" customHeight="1">
      <c r="B289" s="42" t="s">
        <v>182</v>
      </c>
      <c r="C289" s="30"/>
      <c r="H289" s="3"/>
    </row>
    <row r="290" spans="2:105" ht="15" customHeight="1">
      <c r="B290" s="42" t="s">
        <v>183</v>
      </c>
      <c r="C290" s="30"/>
      <c r="H290" s="3"/>
    </row>
    <row r="291" spans="2:105" ht="15" customHeight="1">
      <c r="B291" s="42"/>
      <c r="C291" s="30"/>
      <c r="H291" s="3"/>
    </row>
    <row r="292" spans="2:105" ht="15" customHeight="1">
      <c r="B292" s="28" t="s">
        <v>50</v>
      </c>
      <c r="C292" s="30"/>
      <c r="H292" s="3"/>
    </row>
    <row r="293" spans="2:105" ht="15" customHeight="1">
      <c r="B293" s="42" t="s">
        <v>184</v>
      </c>
      <c r="C293" s="5"/>
      <c r="H293" s="3"/>
    </row>
    <row r="294" spans="2:105" ht="15" customHeight="1">
      <c r="B294" s="42" t="s">
        <v>185</v>
      </c>
      <c r="C294" s="5"/>
      <c r="H294" s="3"/>
    </row>
    <row r="295" spans="2:105" ht="15" customHeight="1">
      <c r="B295" s="42" t="s">
        <v>186</v>
      </c>
      <c r="C295" s="5"/>
      <c r="H295" s="3"/>
    </row>
    <row r="296" spans="2:105" ht="15" customHeight="1" thickBot="1">
      <c r="B296" s="5"/>
      <c r="C296" s="5"/>
      <c r="D296" s="5"/>
      <c r="E296" s="21"/>
      <c r="F296" s="22"/>
      <c r="G296" s="30"/>
      <c r="H296" s="30"/>
    </row>
    <row r="297" spans="2:105" ht="22.5" customHeight="1" thickBot="1">
      <c r="B297" s="59" t="s">
        <v>28</v>
      </c>
      <c r="C297" s="59" t="s">
        <v>55</v>
      </c>
      <c r="D297" s="59" t="s">
        <v>30</v>
      </c>
      <c r="E297" s="59" t="s">
        <v>56</v>
      </c>
      <c r="G297" s="59" t="s">
        <v>187</v>
      </c>
      <c r="H297" s="59" t="s">
        <v>118</v>
      </c>
    </row>
    <row r="298" spans="2:105" ht="15" customHeight="1">
      <c r="B298" s="3"/>
      <c r="C298" s="3"/>
      <c r="D298" s="3"/>
      <c r="E298" s="4"/>
      <c r="H298" s="3"/>
      <c r="AH298" s="3" t="str" cm="1">
        <f t="array" ref="AH298:AV298">Distances!Q4:AE4</f>
        <v>Whangarei</v>
      </c>
      <c r="AI298" s="5" t="str">
        <v>Auckland</v>
      </c>
      <c r="AJ298" s="5" t="str">
        <v>Tauranga</v>
      </c>
      <c r="AK298" s="5" t="str">
        <v>Hamilton</v>
      </c>
      <c r="AL298" s="5" t="str">
        <v>Rotorua</v>
      </c>
      <c r="AM298" s="5" t="str">
        <v>Gisborne</v>
      </c>
      <c r="AN298" s="5" t="str">
        <v>New Plymouth</v>
      </c>
      <c r="AO298" s="5" t="str">
        <v>Napier</v>
      </c>
      <c r="AP298" s="5" t="str">
        <v>Palmerston North</v>
      </c>
      <c r="AQ298" s="5" t="str">
        <v>Wellington</v>
      </c>
      <c r="AR298" s="5" t="str">
        <v>Nelson</v>
      </c>
      <c r="AS298" s="5" t="str">
        <v>Christchurch</v>
      </c>
      <c r="AT298" s="5" t="str">
        <v>Queenstown</v>
      </c>
      <c r="AU298" s="5" t="str">
        <v>Dunedin</v>
      </c>
      <c r="AV298" s="5" t="str">
        <v>Invercargill</v>
      </c>
    </row>
    <row r="299" spans="2:105" ht="22.5" customHeight="1">
      <c r="B299" s="11" t="s">
        <v>188</v>
      </c>
      <c r="C299" s="11">
        <v>7</v>
      </c>
      <c r="D299" s="18">
        <v>0</v>
      </c>
      <c r="E299" s="34" t="s">
        <v>189</v>
      </c>
      <c r="F299" s="37"/>
      <c r="G299" s="17" t="s">
        <v>70</v>
      </c>
      <c r="H299" s="17" t="s">
        <v>173</v>
      </c>
      <c r="I299" s="3" t="str">
        <f>IFERROR(_xlfn.XLOOKUP(G299,Distances!N11:N20,Distances!M11:M20,, 0, 1), "South Island")</f>
        <v>North Island</v>
      </c>
      <c r="J299" s="3" cm="1">
        <f t="array" ref="J299:M299">_xlfn.XLOOKUP(H299,Families!$B$6:$B$25,_xlfn.ANCHORARRAY(Families!$I$6))</f>
        <v>4</v>
      </c>
      <c r="K299" s="3">
        <v>10</v>
      </c>
      <c r="L299" s="3">
        <v>6</v>
      </c>
      <c r="M299" s="3">
        <v>3</v>
      </c>
      <c r="O299" s="5" cm="1">
        <f t="array" ref="O299:X299">_xlfn.SEQUENCE(1,10,1,1)</f>
        <v>1</v>
      </c>
      <c r="P299" s="5">
        <v>2</v>
      </c>
      <c r="Q299" s="5">
        <v>3</v>
      </c>
      <c r="R299" s="5">
        <v>4</v>
      </c>
      <c r="S299" s="5">
        <v>5</v>
      </c>
      <c r="T299" s="5">
        <v>6</v>
      </c>
      <c r="U299" s="5">
        <v>7</v>
      </c>
      <c r="V299" s="5">
        <v>8</v>
      </c>
      <c r="W299" s="5">
        <v>9</v>
      </c>
      <c r="X299" s="5">
        <v>10</v>
      </c>
      <c r="AA299" s="5" cm="1">
        <f t="array" ref="AA299:AF299">_xlfn._xlws.FILTER(_xlfn.ANCHORARRAY(O299), COUNTIF(_xlfn.ANCHORARRAY(J299),_xlfn.ANCHORARRAY(O299))=0)</f>
        <v>1</v>
      </c>
      <c r="AB299" s="5">
        <v>2</v>
      </c>
      <c r="AC299" s="5">
        <v>5</v>
      </c>
      <c r="AD299" s="5">
        <v>7</v>
      </c>
      <c r="AE299" s="5">
        <v>8</v>
      </c>
      <c r="AF299" s="5">
        <v>9</v>
      </c>
      <c r="AH299" s="3" cm="1">
        <f t="array" ref="AH299">SUM(_xlfn.CHOOSECOLS(_xlfn.XLOOKUP(AH$298,Destinations!$B$6:$B$20,Destinations!$C$6:$L$20,,0,1),_xlfn.ANCHORARRAY($J299))*$L$154:$O$154) + SUM(_xlfn.CHOOSECOLS(_xlfn.XLOOKUP(AH$298,Destinations!$B$6:$B$20,Destinations!$C$6:$L$20,,0,1),_xlfn.ANCHORARRAY($AA299))*$P$154:$U$154)</f>
        <v>31.599999999999998</v>
      </c>
      <c r="AI299" s="3" cm="1">
        <f t="array" ref="AI299">SUM(_xlfn.CHOOSECOLS(_xlfn.XLOOKUP(AI$298,Destinations!$B$6:$B$20,Destinations!$C$6:$L$20,,0,1),_xlfn.ANCHORARRAY($J299))*$L$154:$O$154) + SUM(_xlfn.CHOOSECOLS(_xlfn.XLOOKUP(AI$298,Destinations!$B$6:$B$20,Destinations!$C$6:$L$20,,0,1),_xlfn.ANCHORARRAY($AA299))*$P$154:$U$154)</f>
        <v>26.799999999999997</v>
      </c>
      <c r="AJ299" s="3" cm="1">
        <f t="array" ref="AJ299">SUM(_xlfn.CHOOSECOLS(_xlfn.XLOOKUP(AJ$298,Destinations!$B$6:$B$20,Destinations!$C$6:$L$20,,0,1),_xlfn.ANCHORARRAY($J299))*$L$154:$O$154) + SUM(_xlfn.CHOOSECOLS(_xlfn.XLOOKUP(AJ$298,Destinations!$B$6:$B$20,Destinations!$C$6:$L$20,,0,1),_xlfn.ANCHORARRAY($AA299))*$P$154:$U$154)</f>
        <v>29.1</v>
      </c>
      <c r="AK299" s="3" t="e" cm="1">
        <f t="array" ref="AK299">SUM(_xlfn.CHOOSECOLS(_xlfn.XLOOKUP(AK$298,Destinations!$B$6:$B$20,Destinations!$C$6:$L$20,,0,1),_xlfn.ANCHORARRAY($J299))*$L$154:$O$154) + SUM(_xlfn.CHOOSECOLS(_xlfn.XLOOKUP(AK$298,Destinations!$B$6:$B$20,Destinations!$C$6:$L$20,,0,1),_xlfn.ANCHORARRAY($AA299))*$P$154:$U$154)</f>
        <v>#VALUE!</v>
      </c>
      <c r="AL299" s="3" cm="1">
        <f t="array" ref="AL299">SUM(_xlfn.CHOOSECOLS(_xlfn.XLOOKUP(AL$298,Destinations!$B$6:$B$20,Destinations!$C$6:$L$20,,0,1),_xlfn.ANCHORARRAY($J299))*$L$154:$O$154) + SUM(_xlfn.CHOOSECOLS(_xlfn.XLOOKUP(AL$298,Destinations!$B$6:$B$20,Destinations!$C$6:$L$20,,0,1),_xlfn.ANCHORARRAY($AA299))*$P$154:$U$154)</f>
        <v>30.299999999999997</v>
      </c>
      <c r="AM299" s="3" t="e" cm="1">
        <f t="array" ref="AM299">SUM(_xlfn.CHOOSECOLS(_xlfn.XLOOKUP(AM$298,Destinations!$B$6:$B$20,Destinations!$C$6:$L$20,,0,1),_xlfn.ANCHORARRAY($J299))*$L$154:$O$154) + SUM(_xlfn.CHOOSECOLS(_xlfn.XLOOKUP(AM$298,Destinations!$B$6:$B$20,Destinations!$C$6:$L$20,,0,1),_xlfn.ANCHORARRAY($AA299))*$P$154:$U$154)</f>
        <v>#VALUE!</v>
      </c>
      <c r="AN299" s="3" cm="1">
        <f t="array" ref="AN299">SUM(_xlfn.CHOOSECOLS(_xlfn.XLOOKUP(AN$298,Destinations!$B$6:$B$20,Destinations!$C$6:$L$20,,0,1),_xlfn.ANCHORARRAY($J299))*$L$154:$O$154) + SUM(_xlfn.CHOOSECOLS(_xlfn.XLOOKUP(AN$298,Destinations!$B$6:$B$20,Destinations!$C$6:$L$20,,0,1),_xlfn.ANCHORARRAY($AA299))*$P$154:$U$154)</f>
        <v>33.9</v>
      </c>
      <c r="AO299" s="3" t="e" cm="1">
        <f t="array" ref="AO299">SUM(_xlfn.CHOOSECOLS(_xlfn.XLOOKUP(AO$298,Destinations!$B$6:$B$20,Destinations!$C$6:$L$20,,0,1),_xlfn.ANCHORARRAY($J299))*$L$154:$O$154) + SUM(_xlfn.CHOOSECOLS(_xlfn.XLOOKUP(AO$298,Destinations!$B$6:$B$20,Destinations!$C$6:$L$20,,0,1),_xlfn.ANCHORARRAY($AA299))*$P$154:$U$154)</f>
        <v>#VALUE!</v>
      </c>
      <c r="AP299" s="3" cm="1">
        <f t="array" ref="AP299">SUM(_xlfn.CHOOSECOLS(_xlfn.XLOOKUP(AP$298,Destinations!$B$6:$B$20,Destinations!$C$6:$L$20,,0,1),_xlfn.ANCHORARRAY($J299))*$L$154:$O$154) + SUM(_xlfn.CHOOSECOLS(_xlfn.XLOOKUP(AP$298,Destinations!$B$6:$B$20,Destinations!$C$6:$L$20,,0,1),_xlfn.ANCHORARRAY($AA299))*$P$154:$U$154)</f>
        <v>31.700000000000003</v>
      </c>
      <c r="AQ299" s="3" t="e" cm="1">
        <f t="array" ref="AQ299">SUM(_xlfn.CHOOSECOLS(_xlfn.XLOOKUP(AQ$298,Destinations!$B$6:$B$20,Destinations!$C$6:$L$20,,0,1),_xlfn.ANCHORARRAY($J299))*$L$154:$O$154) + SUM(_xlfn.CHOOSECOLS(_xlfn.XLOOKUP(AQ$298,Destinations!$B$6:$B$20,Destinations!$C$6:$L$20,,0,1),_xlfn.ANCHORARRAY($AA299))*$P$154:$U$154)</f>
        <v>#VALUE!</v>
      </c>
      <c r="AR299" s="3" cm="1">
        <f t="array" ref="AR299">SUM(_xlfn.CHOOSECOLS(_xlfn.XLOOKUP(AR$298,Destinations!$B$6:$B$20,Destinations!$C$6:$L$20,,0,1),_xlfn.ANCHORARRAY($J299))*$L$154:$O$154) + SUM(_xlfn.CHOOSECOLS(_xlfn.XLOOKUP(AR$298,Destinations!$B$6:$B$20,Destinations!$C$6:$L$20,,0,1),_xlfn.ANCHORARRAY($AA299))*$P$154:$U$154)</f>
        <v>32.799999999999997</v>
      </c>
      <c r="AS299" s="3" t="e" cm="1">
        <f t="array" ref="AS299">SUM(_xlfn.CHOOSECOLS(_xlfn.XLOOKUP(AS$298,Destinations!$B$6:$B$20,Destinations!$C$6:$L$20,,0,1),_xlfn.ANCHORARRAY($J299))*$L$154:$O$154) + SUM(_xlfn.CHOOSECOLS(_xlfn.XLOOKUP(AS$298,Destinations!$B$6:$B$20,Destinations!$C$6:$L$20,,0,1),_xlfn.ANCHORARRAY($AA299))*$P$154:$U$154)</f>
        <v>#VALUE!</v>
      </c>
      <c r="AT299" s="3" cm="1">
        <f t="array" ref="AT299">SUM(_xlfn.CHOOSECOLS(_xlfn.XLOOKUP(AT$298,Destinations!$B$6:$B$20,Destinations!$C$6:$L$20,,0,1),_xlfn.ANCHORARRAY($J299))*$L$154:$O$154) + SUM(_xlfn.CHOOSECOLS(_xlfn.XLOOKUP(AT$298,Destinations!$B$6:$B$20,Destinations!$C$6:$L$20,,0,1),_xlfn.ANCHORARRAY($AA299))*$P$154:$U$154)</f>
        <v>30.800000000000004</v>
      </c>
      <c r="AU299" s="3" t="e" cm="1">
        <f t="array" ref="AU299">SUM(_xlfn.CHOOSECOLS(_xlfn.XLOOKUP(AU$298,Destinations!$B$6:$B$20,Destinations!$C$6:$L$20,,0,1),_xlfn.ANCHORARRAY($J299))*$L$154:$O$154) + SUM(_xlfn.CHOOSECOLS(_xlfn.XLOOKUP(AU$298,Destinations!$B$6:$B$20,Destinations!$C$6:$L$20,,0,1),_xlfn.ANCHORARRAY($AA299))*$P$154:$U$154)</f>
        <v>#VALUE!</v>
      </c>
      <c r="AV299" s="3" cm="1">
        <f t="array" ref="AV299">SUM(_xlfn.CHOOSECOLS(_xlfn.XLOOKUP(AV$298,Destinations!$B$6:$B$20,Destinations!$C$6:$L$20,,0,1),_xlfn.ANCHORARRAY($J299))*$L$154:$O$154) + SUM(_xlfn.CHOOSECOLS(_xlfn.XLOOKUP(AV$298,Destinations!$B$6:$B$20,Destinations!$C$6:$L$20,,0,1),_xlfn.ANCHORARRAY($AA299))*$P$154:$U$154)</f>
        <v>34.200000000000003</v>
      </c>
      <c r="AX299" s="5" t="b" cm="1">
        <f t="array" ref="AX299:BL299">IFERROR(_xlfn.XLOOKUP(_xlfn.ANCHORARRAY($AH$298),Distances!$N$11:$N$20,Distances!$M$11:$M$20,, 0, 1), "South Island")=I299</f>
        <v>1</v>
      </c>
      <c r="AY299" s="5" t="b">
        <v>1</v>
      </c>
      <c r="AZ299" s="5" t="b">
        <v>1</v>
      </c>
      <c r="BA299" s="5" t="b">
        <v>1</v>
      </c>
      <c r="BB299" s="5" t="b">
        <v>1</v>
      </c>
      <c r="BC299" s="5" t="b">
        <v>1</v>
      </c>
      <c r="BD299" s="5" t="b">
        <v>1</v>
      </c>
      <c r="BE299" s="5" t="b">
        <v>1</v>
      </c>
      <c r="BF299" s="5" t="b">
        <v>1</v>
      </c>
      <c r="BG299" s="5" t="b">
        <v>1</v>
      </c>
      <c r="BH299" s="5" t="b">
        <v>0</v>
      </c>
      <c r="BI299" s="5" t="b">
        <v>0</v>
      </c>
      <c r="BJ299" s="5" t="b">
        <v>0</v>
      </c>
      <c r="BK299" s="5" t="b">
        <v>0</v>
      </c>
      <c r="BL299" s="5" t="b">
        <v>0</v>
      </c>
      <c r="BQ299" s="5" cm="1">
        <f t="array" ref="BQ299:CE299">INDEX(Distances!Q5:AE19,MATCH(Case!G299,Distances!$P$5:$P$19,0), _xlfn.XMATCH(_xlfn.ANCHORARRAY($AH$298),Distances!$Q$4:$AE$4,0,1))/80*60 + 120 + IF(NOT(_xlfn.ANCHORARRAY(AX299)),3.5*60)</f>
        <v>247.5</v>
      </c>
      <c r="BR299" s="5">
        <v>120</v>
      </c>
      <c r="BS299" s="5">
        <v>274.5</v>
      </c>
      <c r="BT299" s="5">
        <v>213.75</v>
      </c>
      <c r="BU299" s="5">
        <v>295.5</v>
      </c>
      <c r="BV299" s="5">
        <v>498</v>
      </c>
      <c r="BW299" s="5">
        <v>396.75</v>
      </c>
      <c r="BX299" s="5">
        <v>437.25</v>
      </c>
      <c r="BY299" s="5">
        <v>516</v>
      </c>
      <c r="BZ299" s="5">
        <v>615</v>
      </c>
      <c r="CA299" s="5">
        <v>963.75</v>
      </c>
      <c r="CB299" s="5">
        <v>1134.75</v>
      </c>
      <c r="CC299" s="5">
        <v>1492.5</v>
      </c>
      <c r="CD299" s="5">
        <v>1400.25</v>
      </c>
      <c r="CE299" s="5">
        <v>1554.75</v>
      </c>
      <c r="CG299" s="5" cm="1">
        <f t="array" ref="CG299:CU299">ROUND(AH299:AV299-_xlfn.ANCHORARRAY(BQ299)*0.01,0)</f>
        <v>29</v>
      </c>
      <c r="CH299" s="5">
        <v>26</v>
      </c>
      <c r="CI299" s="5">
        <v>26</v>
      </c>
      <c r="CJ299" s="5" t="e">
        <v>#VALUE!</v>
      </c>
      <c r="CK299" s="5">
        <v>27</v>
      </c>
      <c r="CL299" s="5" t="e">
        <v>#VALUE!</v>
      </c>
      <c r="CM299" s="5">
        <v>30</v>
      </c>
      <c r="CN299" s="5" t="e">
        <v>#VALUE!</v>
      </c>
      <c r="CO299" s="5">
        <v>27</v>
      </c>
      <c r="CP299" s="5" t="e">
        <v>#VALUE!</v>
      </c>
      <c r="CQ299" s="5">
        <v>23</v>
      </c>
      <c r="CR299" s="5" t="e">
        <v>#VALUE!</v>
      </c>
      <c r="CS299" s="5">
        <v>16</v>
      </c>
      <c r="CT299" s="5" t="e">
        <v>#VALUE!</v>
      </c>
      <c r="CU299" s="5">
        <v>19</v>
      </c>
      <c r="CX299" s="5" t="e">
        <f>MAX(_xlfn.ANCHORARRAY(CG299))</f>
        <v>#VALUE!</v>
      </c>
    </row>
    <row r="300" spans="2:105" ht="15" customHeight="1">
      <c r="B300" s="3"/>
      <c r="C300" s="3"/>
      <c r="D300" s="3"/>
      <c r="E300" s="3"/>
      <c r="H300" s="3"/>
    </row>
    <row r="301" spans="2:105" ht="22.5" customHeight="1">
      <c r="B301" s="11">
        <v>101</v>
      </c>
      <c r="C301" s="11">
        <v>7</v>
      </c>
      <c r="D301" s="18">
        <v>11</v>
      </c>
      <c r="E301" s="34" t="s">
        <v>214</v>
      </c>
      <c r="F301" s="37"/>
      <c r="G301" s="17" t="s">
        <v>78</v>
      </c>
      <c r="H301" s="17" t="s">
        <v>125</v>
      </c>
      <c r="I301" s="3" t="str" cm="1">
        <f t="array" ref="I301:I320">IFERROR(_xlfn.XLOOKUP(G301:G320,Distances!N11:N20,Distances!M11:M20,, 0, 1), "South Island")</f>
        <v>North Island</v>
      </c>
      <c r="J301" s="3" cm="1">
        <f t="array" ref="J301:M301">_xlfn.XLOOKUP(H301,Families!$B$6:$B$25,_xlfn.ANCHORARRAY(Families!$I$6))</f>
        <v>1</v>
      </c>
      <c r="K301" s="3">
        <v>9</v>
      </c>
      <c r="L301" s="3">
        <v>7</v>
      </c>
      <c r="M301" s="3">
        <v>2</v>
      </c>
      <c r="O301" s="5" cm="1">
        <f t="array" ref="O301:X301">_xlfn.SEQUENCE(1,10,1,1)</f>
        <v>1</v>
      </c>
      <c r="P301" s="5">
        <v>2</v>
      </c>
      <c r="Q301" s="5">
        <v>3</v>
      </c>
      <c r="R301" s="5">
        <v>4</v>
      </c>
      <c r="S301" s="5">
        <v>5</v>
      </c>
      <c r="T301" s="5">
        <v>6</v>
      </c>
      <c r="U301" s="5">
        <v>7</v>
      </c>
      <c r="V301" s="5">
        <v>8</v>
      </c>
      <c r="W301" s="5">
        <v>9</v>
      </c>
      <c r="X301" s="5">
        <v>10</v>
      </c>
      <c r="AA301" s="5" cm="1">
        <f t="array" ref="AA301:AF301">_xlfn._xlws.FILTER(_xlfn.ANCHORARRAY(O301), COUNTIF(_xlfn.ANCHORARRAY(J301),_xlfn.ANCHORARRAY(O301))=0)</f>
        <v>3</v>
      </c>
      <c r="AB301" s="5">
        <v>4</v>
      </c>
      <c r="AC301" s="5">
        <v>5</v>
      </c>
      <c r="AD301" s="5">
        <v>6</v>
      </c>
      <c r="AE301" s="5">
        <v>8</v>
      </c>
      <c r="AF301" s="5">
        <v>10</v>
      </c>
      <c r="AH301" s="3" cm="1">
        <f t="array" ref="AH301">SUM(_xlfn.CHOOSECOLS(_xlfn.XLOOKUP(AH$298,Destinations!$B$6:$B$20,Destinations!$C$6:$L$20,,0,1),_xlfn.ANCHORARRAY($J301))*$L$154:$O$154) + SUM(_xlfn.CHOOSECOLS(_xlfn.XLOOKUP(AH$298,Destinations!$B$6:$B$20,Destinations!$C$6:$L$20,,0,1),_xlfn.ANCHORARRAY($AA301))*$P$154:$U$154)</f>
        <v>31.400000000000002</v>
      </c>
      <c r="AI301" s="3" cm="1">
        <f t="array" ref="AI301">SUM(_xlfn.CHOOSECOLS(_xlfn.XLOOKUP(AI$298,Destinations!$B$6:$B$20,Destinations!$C$6:$L$20,,0,1),_xlfn.ANCHORARRAY($J301))*$L$154:$O$154) + SUM(_xlfn.CHOOSECOLS(_xlfn.XLOOKUP(AI$298,Destinations!$B$6:$B$20,Destinations!$C$6:$L$20,,0,1),_xlfn.ANCHORARRAY($AA301))*$P$154:$U$154)</f>
        <v>29.5</v>
      </c>
      <c r="AJ301" s="3" cm="1">
        <f t="array" ref="AJ301">SUM(_xlfn.CHOOSECOLS(_xlfn.XLOOKUP(AJ$298,Destinations!$B$6:$B$20,Destinations!$C$6:$L$20,,0,1),_xlfn.ANCHORARRAY($J301))*$L$154:$O$154) + SUM(_xlfn.CHOOSECOLS(_xlfn.XLOOKUP(AJ$298,Destinations!$B$6:$B$20,Destinations!$C$6:$L$20,,0,1),_xlfn.ANCHORARRAY($AA301))*$P$154:$U$154)</f>
        <v>29.7</v>
      </c>
      <c r="AK301" s="3" cm="1">
        <f t="array" ref="AK301">SUM(_xlfn.CHOOSECOLS(_xlfn.XLOOKUP(AK$298,Destinations!$B$6:$B$20,Destinations!$C$6:$L$20,,0,1),_xlfn.ANCHORARRAY($J301))*$L$154:$O$154) + SUM(_xlfn.CHOOSECOLS(_xlfn.XLOOKUP(AK$298,Destinations!$B$6:$B$20,Destinations!$C$6:$L$20,,0,1),_xlfn.ANCHORARRAY($AA301))*$P$154:$U$154)</f>
        <v>31.700000000000003</v>
      </c>
      <c r="AL301" s="3" cm="1">
        <f t="array" ref="AL301">SUM(_xlfn.CHOOSECOLS(_xlfn.XLOOKUP(AL$298,Destinations!$B$6:$B$20,Destinations!$C$6:$L$20,,0,1),_xlfn.ANCHORARRAY($J301))*$L$154:$O$154) + SUM(_xlfn.CHOOSECOLS(_xlfn.XLOOKUP(AL$298,Destinations!$B$6:$B$20,Destinations!$C$6:$L$20,,0,1),_xlfn.ANCHORARRAY($AA301))*$P$154:$U$154)</f>
        <v>32.5</v>
      </c>
      <c r="AM301" s="3" cm="1">
        <f t="array" ref="AM301">SUM(_xlfn.CHOOSECOLS(_xlfn.XLOOKUP(AM$298,Destinations!$B$6:$B$20,Destinations!$C$6:$L$20,,0,1),_xlfn.ANCHORARRAY($J301))*$L$154:$O$154) + SUM(_xlfn.CHOOSECOLS(_xlfn.XLOOKUP(AM$298,Destinations!$B$6:$B$20,Destinations!$C$6:$L$20,,0,1),_xlfn.ANCHORARRAY($AA301))*$P$154:$U$154)</f>
        <v>34.299999999999997</v>
      </c>
      <c r="AN301" s="3" cm="1">
        <f t="array" ref="AN301">SUM(_xlfn.CHOOSECOLS(_xlfn.XLOOKUP(AN$298,Destinations!$B$6:$B$20,Destinations!$C$6:$L$20,,0,1),_xlfn.ANCHORARRAY($J301))*$L$154:$O$154) + SUM(_xlfn.CHOOSECOLS(_xlfn.XLOOKUP(AN$298,Destinations!$B$6:$B$20,Destinations!$C$6:$L$20,,0,1),_xlfn.ANCHORARRAY($AA301))*$P$154:$U$154)</f>
        <v>31</v>
      </c>
      <c r="AO301" s="3" cm="1">
        <f t="array" ref="AO301">SUM(_xlfn.CHOOSECOLS(_xlfn.XLOOKUP(AO$298,Destinations!$B$6:$B$20,Destinations!$C$6:$L$20,,0,1),_xlfn.ANCHORARRAY($J301))*$L$154:$O$154) + SUM(_xlfn.CHOOSECOLS(_xlfn.XLOOKUP(AO$298,Destinations!$B$6:$B$20,Destinations!$C$6:$L$20,,0,1),_xlfn.ANCHORARRAY($AA301))*$P$154:$U$154)</f>
        <v>36.6</v>
      </c>
      <c r="AP301" s="3" cm="1">
        <f t="array" ref="AP301">SUM(_xlfn.CHOOSECOLS(_xlfn.XLOOKUP(AP$298,Destinations!$B$6:$B$20,Destinations!$C$6:$L$20,,0,1),_xlfn.ANCHORARRAY($J301))*$L$154:$O$154) + SUM(_xlfn.CHOOSECOLS(_xlfn.XLOOKUP(AP$298,Destinations!$B$6:$B$20,Destinations!$C$6:$L$20,,0,1),_xlfn.ANCHORARRAY($AA301))*$P$154:$U$154)</f>
        <v>30.200000000000003</v>
      </c>
      <c r="AQ301" s="3" cm="1">
        <f t="array" ref="AQ301">SUM(_xlfn.CHOOSECOLS(_xlfn.XLOOKUP(AQ$298,Destinations!$B$6:$B$20,Destinations!$C$6:$L$20,,0,1),_xlfn.ANCHORARRAY($J301))*$L$154:$O$154) + SUM(_xlfn.CHOOSECOLS(_xlfn.XLOOKUP(AQ$298,Destinations!$B$6:$B$20,Destinations!$C$6:$L$20,,0,1),_xlfn.ANCHORARRAY($AA301))*$P$154:$U$154)</f>
        <v>29.400000000000002</v>
      </c>
      <c r="AR301" s="3" cm="1">
        <f t="array" ref="AR301">SUM(_xlfn.CHOOSECOLS(_xlfn.XLOOKUP(AR$298,Destinations!$B$6:$B$20,Destinations!$C$6:$L$20,,0,1),_xlfn.ANCHORARRAY($J301))*$L$154:$O$154) + SUM(_xlfn.CHOOSECOLS(_xlfn.XLOOKUP(AR$298,Destinations!$B$6:$B$20,Destinations!$C$6:$L$20,,0,1),_xlfn.ANCHORARRAY($AA301))*$P$154:$U$154)</f>
        <v>30.700000000000003</v>
      </c>
      <c r="AS301" s="3" cm="1">
        <f t="array" ref="AS301">SUM(_xlfn.CHOOSECOLS(_xlfn.XLOOKUP(AS$298,Destinations!$B$6:$B$20,Destinations!$C$6:$L$20,,0,1),_xlfn.ANCHORARRAY($J301))*$L$154:$O$154) + SUM(_xlfn.CHOOSECOLS(_xlfn.XLOOKUP(AS$298,Destinations!$B$6:$B$20,Destinations!$C$6:$L$20,,0,1),_xlfn.ANCHORARRAY($AA301))*$P$154:$U$154)</f>
        <v>29.9</v>
      </c>
      <c r="AT301" s="3" cm="1">
        <f t="array" ref="AT301">SUM(_xlfn.CHOOSECOLS(_xlfn.XLOOKUP(AT$298,Destinations!$B$6:$B$20,Destinations!$C$6:$L$20,,0,1),_xlfn.ANCHORARRAY($J301))*$L$154:$O$154) + SUM(_xlfn.CHOOSECOLS(_xlfn.XLOOKUP(AT$298,Destinations!$B$6:$B$20,Destinations!$C$6:$L$20,,0,1),_xlfn.ANCHORARRAY($AA301))*$P$154:$U$154)</f>
        <v>32.300000000000004</v>
      </c>
      <c r="AU301" s="3" cm="1">
        <f t="array" ref="AU301">SUM(_xlfn.CHOOSECOLS(_xlfn.XLOOKUP(AU$298,Destinations!$B$6:$B$20,Destinations!$C$6:$L$20,,0,1),_xlfn.ANCHORARRAY($J301))*$L$154:$O$154) + SUM(_xlfn.CHOOSECOLS(_xlfn.XLOOKUP(AU$298,Destinations!$B$6:$B$20,Destinations!$C$6:$L$20,,0,1),_xlfn.ANCHORARRAY($AA301))*$P$154:$U$154)</f>
        <v>30.4</v>
      </c>
      <c r="AV301" s="3" cm="1">
        <f t="array" ref="AV301">SUM(_xlfn.CHOOSECOLS(_xlfn.XLOOKUP(AV$298,Destinations!$B$6:$B$20,Destinations!$C$6:$L$20,,0,1),_xlfn.ANCHORARRAY($J301))*$L$154:$O$154) + SUM(_xlfn.CHOOSECOLS(_xlfn.XLOOKUP(AV$298,Destinations!$B$6:$B$20,Destinations!$C$6:$L$20,,0,1),_xlfn.ANCHORARRAY($AA301))*$P$154:$U$154)</f>
        <v>32.900000000000006</v>
      </c>
      <c r="AX301" s="5" t="b" cm="1">
        <f t="array" ref="AX301:BL301">IFERROR(_xlfn.XLOOKUP(_xlfn.ANCHORARRAY($AH$298),Distances!$N$11:$N$20,Distances!$M$11:$M$20,, 0, 1), "South Island")=I301</f>
        <v>1</v>
      </c>
      <c r="AY301" s="5" t="b">
        <v>1</v>
      </c>
      <c r="AZ301" s="5" t="b">
        <v>1</v>
      </c>
      <c r="BA301" s="5" t="b">
        <v>1</v>
      </c>
      <c r="BB301" s="5" t="b">
        <v>1</v>
      </c>
      <c r="BC301" s="5" t="b">
        <v>1</v>
      </c>
      <c r="BD301" s="5" t="b">
        <v>1</v>
      </c>
      <c r="BE301" s="5" t="b">
        <v>1</v>
      </c>
      <c r="BF301" s="5" t="b">
        <v>1</v>
      </c>
      <c r="BG301" s="5" t="b">
        <v>1</v>
      </c>
      <c r="BH301" s="5" t="b">
        <v>0</v>
      </c>
      <c r="BI301" s="5" t="b">
        <v>0</v>
      </c>
      <c r="BJ301" s="5" t="b">
        <v>0</v>
      </c>
      <c r="BK301" s="5" t="b">
        <v>0</v>
      </c>
      <c r="BL301" s="5" t="b">
        <v>0</v>
      </c>
      <c r="BQ301" s="5" cm="1">
        <f t="array" ref="BQ301:CE320">INDEX(Distances!Q5:AE19,MATCH(Case!G301:G320,Distances!$P$5:$P$19,0), _xlfn.XMATCH(_xlfn.ANCHORARRAY($AH$298),Distances!$Q$4:$AE$4,0,1))/80*60 + 120 + IF(NOT(AX301:BL320),3.5*60)</f>
        <v>734.25</v>
      </c>
      <c r="BR301" s="5">
        <v>615</v>
      </c>
      <c r="BS301" s="5">
        <v>514.5</v>
      </c>
      <c r="BT301" s="5">
        <v>510</v>
      </c>
      <c r="BU301" s="5">
        <v>459.75</v>
      </c>
      <c r="BV301" s="5">
        <v>519.75</v>
      </c>
      <c r="BW301" s="5">
        <v>384.75</v>
      </c>
      <c r="BX301" s="5">
        <v>362.25</v>
      </c>
      <c r="BY301" s="5">
        <v>226.5</v>
      </c>
      <c r="BZ301" s="5">
        <v>120</v>
      </c>
      <c r="CA301" s="5">
        <v>485.25</v>
      </c>
      <c r="CB301" s="5">
        <v>656.25</v>
      </c>
      <c r="CC301" s="5">
        <v>1014</v>
      </c>
      <c r="CD301" s="5">
        <v>922.5</v>
      </c>
      <c r="CE301" s="5">
        <v>1076.25</v>
      </c>
      <c r="CG301" s="5" cm="1">
        <f t="array" ref="CG301:CU320">ROUND(AH301:AV320-_xlfn.ANCHORARRAY(BQ301)*0.01,0)</f>
        <v>24</v>
      </c>
      <c r="CH301" s="5">
        <v>23</v>
      </c>
      <c r="CI301" s="5">
        <v>25</v>
      </c>
      <c r="CJ301" s="5">
        <v>27</v>
      </c>
      <c r="CK301" s="5">
        <v>28</v>
      </c>
      <c r="CL301" s="5">
        <v>29</v>
      </c>
      <c r="CM301" s="5">
        <v>27</v>
      </c>
      <c r="CN301" s="5">
        <v>33</v>
      </c>
      <c r="CO301" s="5">
        <v>28</v>
      </c>
      <c r="CP301" s="5">
        <v>28</v>
      </c>
      <c r="CQ301" s="5">
        <v>26</v>
      </c>
      <c r="CR301" s="5">
        <v>23</v>
      </c>
      <c r="CS301" s="5">
        <v>22</v>
      </c>
      <c r="CT301" s="5">
        <v>21</v>
      </c>
      <c r="CU301" s="5">
        <v>22</v>
      </c>
      <c r="CW301" s="5">
        <f>MAX(CG301:CU301)</f>
        <v>33</v>
      </c>
      <c r="CX301" s="5">
        <f>MAX(_xlfn.ANCHORARRAY(CG301))</f>
        <v>33</v>
      </c>
      <c r="CZ301" s="5">
        <f>MATCH(CW301,CG301:CU301)</f>
        <v>8</v>
      </c>
      <c r="DA301" s="5" t="str" cm="1">
        <f t="array" ref="DA301">_xlfn.CHOOSECOLS(_xlfn.ANCHORARRAY($AH$298),MATCH(CW301,CG301:CU301))</f>
        <v>Napier</v>
      </c>
    </row>
    <row r="302" spans="2:105" ht="22.5" customHeight="1">
      <c r="B302" s="11">
        <v>102</v>
      </c>
      <c r="C302" s="11">
        <v>7</v>
      </c>
      <c r="D302" s="18">
        <v>11</v>
      </c>
      <c r="E302" s="34" t="s">
        <v>215</v>
      </c>
      <c r="F302" s="37"/>
      <c r="G302" s="17" t="s">
        <v>149</v>
      </c>
      <c r="H302" s="17" t="s">
        <v>168</v>
      </c>
      <c r="I302" s="3" t="str">
        <v>South Island</v>
      </c>
      <c r="J302" s="3" cm="1">
        <f t="array" ref="J302:M302">_xlfn.XLOOKUP(H302,Families!$B$6:$B$25,_xlfn.ANCHORARRAY(Families!$I$6))</f>
        <v>4</v>
      </c>
      <c r="K302" s="3">
        <v>8</v>
      </c>
      <c r="L302" s="3">
        <v>6</v>
      </c>
      <c r="M302" s="3">
        <v>2</v>
      </c>
      <c r="O302" s="5" cm="1">
        <f t="array" ref="O302:X302">_xlfn.SEQUENCE(1,10,1,1)</f>
        <v>1</v>
      </c>
      <c r="P302" s="5">
        <v>2</v>
      </c>
      <c r="Q302" s="5">
        <v>3</v>
      </c>
      <c r="R302" s="5">
        <v>4</v>
      </c>
      <c r="S302" s="5">
        <v>5</v>
      </c>
      <c r="T302" s="5">
        <v>6</v>
      </c>
      <c r="U302" s="5">
        <v>7</v>
      </c>
      <c r="V302" s="5">
        <v>8</v>
      </c>
      <c r="W302" s="5">
        <v>9</v>
      </c>
      <c r="X302" s="5">
        <v>10</v>
      </c>
      <c r="AA302" s="5" cm="1">
        <f t="array" ref="AA302:AF302">_xlfn._xlws.FILTER(_xlfn.ANCHORARRAY(O302), COUNTIF(_xlfn.ANCHORARRAY(J302),_xlfn.ANCHORARRAY(O302))=0)</f>
        <v>1</v>
      </c>
      <c r="AB302" s="5">
        <v>3</v>
      </c>
      <c r="AC302" s="5">
        <v>5</v>
      </c>
      <c r="AD302" s="5">
        <v>7</v>
      </c>
      <c r="AE302" s="5">
        <v>9</v>
      </c>
      <c r="AF302" s="5">
        <v>10</v>
      </c>
      <c r="AH302" s="3" cm="1">
        <f t="array" ref="AH302">SUM(_xlfn.CHOOSECOLS(_xlfn.XLOOKUP(AH$298,Destinations!$B$6:$B$20,Destinations!$C$6:$L$20,,0,1),_xlfn.ANCHORARRAY($J302))*$L$154:$O$154) + SUM(_xlfn.CHOOSECOLS(_xlfn.XLOOKUP(AH$298,Destinations!$B$6:$B$20,Destinations!$C$6:$L$20,,0,1),_xlfn.ANCHORARRAY($AA302))*$P$154:$U$154)</f>
        <v>31.1</v>
      </c>
      <c r="AI302" s="3" cm="1">
        <f t="array" ref="AI302">SUM(_xlfn.CHOOSECOLS(_xlfn.XLOOKUP(AI$298,Destinations!$B$6:$B$20,Destinations!$C$6:$L$20,,0,1),_xlfn.ANCHORARRAY($J302))*$L$154:$O$154) + SUM(_xlfn.CHOOSECOLS(_xlfn.XLOOKUP(AI$298,Destinations!$B$6:$B$20,Destinations!$C$6:$L$20,,0,1),_xlfn.ANCHORARRAY($AA302))*$P$154:$U$154)</f>
        <v>31.200000000000003</v>
      </c>
      <c r="AJ302" s="3" cm="1">
        <f t="array" ref="AJ302">SUM(_xlfn.CHOOSECOLS(_xlfn.XLOOKUP(AJ$298,Destinations!$B$6:$B$20,Destinations!$C$6:$L$20,,0,1),_xlfn.ANCHORARRAY($J302))*$L$154:$O$154) + SUM(_xlfn.CHOOSECOLS(_xlfn.XLOOKUP(AJ$298,Destinations!$B$6:$B$20,Destinations!$C$6:$L$20,,0,1),_xlfn.ANCHORARRAY($AA302))*$P$154:$U$154)</f>
        <v>31.9</v>
      </c>
      <c r="AK302" s="3" cm="1">
        <f t="array" ref="AK302">SUM(_xlfn.CHOOSECOLS(_xlfn.XLOOKUP(AK$298,Destinations!$B$6:$B$20,Destinations!$C$6:$L$20,,0,1),_xlfn.ANCHORARRAY($J302))*$L$154:$O$154) + SUM(_xlfn.CHOOSECOLS(_xlfn.XLOOKUP(AK$298,Destinations!$B$6:$B$20,Destinations!$C$6:$L$20,,0,1),_xlfn.ANCHORARRAY($AA302))*$P$154:$U$154)</f>
        <v>30.700000000000003</v>
      </c>
      <c r="AL302" s="3" cm="1">
        <f t="array" ref="AL302">SUM(_xlfn.CHOOSECOLS(_xlfn.XLOOKUP(AL$298,Destinations!$B$6:$B$20,Destinations!$C$6:$L$20,,0,1),_xlfn.ANCHORARRAY($J302))*$L$154:$O$154) + SUM(_xlfn.CHOOSECOLS(_xlfn.XLOOKUP(AL$298,Destinations!$B$6:$B$20,Destinations!$C$6:$L$20,,0,1),_xlfn.ANCHORARRAY($AA302))*$P$154:$U$154)</f>
        <v>28.5</v>
      </c>
      <c r="AM302" s="3" cm="1">
        <f t="array" ref="AM302">SUM(_xlfn.CHOOSECOLS(_xlfn.XLOOKUP(AM$298,Destinations!$B$6:$B$20,Destinations!$C$6:$L$20,,0,1),_xlfn.ANCHORARRAY($J302))*$L$154:$O$154) + SUM(_xlfn.CHOOSECOLS(_xlfn.XLOOKUP(AM$298,Destinations!$B$6:$B$20,Destinations!$C$6:$L$20,,0,1),_xlfn.ANCHORARRAY($AA302))*$P$154:$U$154)</f>
        <v>33.4</v>
      </c>
      <c r="AN302" s="3" cm="1">
        <f t="array" ref="AN302">SUM(_xlfn.CHOOSECOLS(_xlfn.XLOOKUP(AN$298,Destinations!$B$6:$B$20,Destinations!$C$6:$L$20,,0,1),_xlfn.ANCHORARRAY($J302))*$L$154:$O$154) + SUM(_xlfn.CHOOSECOLS(_xlfn.XLOOKUP(AN$298,Destinations!$B$6:$B$20,Destinations!$C$6:$L$20,,0,1),_xlfn.ANCHORARRAY($AA302))*$P$154:$U$154)</f>
        <v>31.900000000000002</v>
      </c>
      <c r="AO302" s="3" cm="1">
        <f t="array" ref="AO302">SUM(_xlfn.CHOOSECOLS(_xlfn.XLOOKUP(AO$298,Destinations!$B$6:$B$20,Destinations!$C$6:$L$20,,0,1),_xlfn.ANCHORARRAY($J302))*$L$154:$O$154) + SUM(_xlfn.CHOOSECOLS(_xlfn.XLOOKUP(AO$298,Destinations!$B$6:$B$20,Destinations!$C$6:$L$20,,0,1),_xlfn.ANCHORARRAY($AA302))*$P$154:$U$154)</f>
        <v>30.699999999999996</v>
      </c>
      <c r="AP302" s="3" cm="1">
        <f t="array" ref="AP302">SUM(_xlfn.CHOOSECOLS(_xlfn.XLOOKUP(AP$298,Destinations!$B$6:$B$20,Destinations!$C$6:$L$20,,0,1),_xlfn.ANCHORARRAY($J302))*$L$154:$O$154) + SUM(_xlfn.CHOOSECOLS(_xlfn.XLOOKUP(AP$298,Destinations!$B$6:$B$20,Destinations!$C$6:$L$20,,0,1),_xlfn.ANCHORARRAY($AA302))*$P$154:$U$154)</f>
        <v>29.3</v>
      </c>
      <c r="AQ302" s="3" cm="1">
        <f t="array" ref="AQ302">SUM(_xlfn.CHOOSECOLS(_xlfn.XLOOKUP(AQ$298,Destinations!$B$6:$B$20,Destinations!$C$6:$L$20,,0,1),_xlfn.ANCHORARRAY($J302))*$L$154:$O$154) + SUM(_xlfn.CHOOSECOLS(_xlfn.XLOOKUP(AQ$298,Destinations!$B$6:$B$20,Destinations!$C$6:$L$20,,0,1),_xlfn.ANCHORARRAY($AA302))*$P$154:$U$154)</f>
        <v>29.200000000000003</v>
      </c>
      <c r="AR302" s="3" cm="1">
        <f t="array" ref="AR302">SUM(_xlfn.CHOOSECOLS(_xlfn.XLOOKUP(AR$298,Destinations!$B$6:$B$20,Destinations!$C$6:$L$20,,0,1),_xlfn.ANCHORARRAY($J302))*$L$154:$O$154) + SUM(_xlfn.CHOOSECOLS(_xlfn.XLOOKUP(AR$298,Destinations!$B$6:$B$20,Destinations!$C$6:$L$20,,0,1),_xlfn.ANCHORARRAY($AA302))*$P$154:$U$154)</f>
        <v>33.200000000000003</v>
      </c>
      <c r="AS302" s="3" cm="1">
        <f t="array" ref="AS302">SUM(_xlfn.CHOOSECOLS(_xlfn.XLOOKUP(AS$298,Destinations!$B$6:$B$20,Destinations!$C$6:$L$20,,0,1),_xlfn.ANCHORARRAY($J302))*$L$154:$O$154) + SUM(_xlfn.CHOOSECOLS(_xlfn.XLOOKUP(AS$298,Destinations!$B$6:$B$20,Destinations!$C$6:$L$20,,0,1),_xlfn.ANCHORARRAY($AA302))*$P$154:$U$154)</f>
        <v>27.3</v>
      </c>
      <c r="AT302" s="3" cm="1">
        <f t="array" ref="AT302">SUM(_xlfn.CHOOSECOLS(_xlfn.XLOOKUP(AT$298,Destinations!$B$6:$B$20,Destinations!$C$6:$L$20,,0,1),_xlfn.ANCHORARRAY($J302))*$L$154:$O$154) + SUM(_xlfn.CHOOSECOLS(_xlfn.XLOOKUP(AT$298,Destinations!$B$6:$B$20,Destinations!$C$6:$L$20,,0,1),_xlfn.ANCHORARRAY($AA302))*$P$154:$U$154)</f>
        <v>34.700000000000003</v>
      </c>
      <c r="AU302" s="3" cm="1">
        <f t="array" ref="AU302">SUM(_xlfn.CHOOSECOLS(_xlfn.XLOOKUP(AU$298,Destinations!$B$6:$B$20,Destinations!$C$6:$L$20,,0,1),_xlfn.ANCHORARRAY($J302))*$L$154:$O$154) + SUM(_xlfn.CHOOSECOLS(_xlfn.XLOOKUP(AU$298,Destinations!$B$6:$B$20,Destinations!$C$6:$L$20,,0,1),_xlfn.ANCHORARRAY($AA302))*$P$154:$U$154)</f>
        <v>28.5</v>
      </c>
      <c r="AV302" s="3" cm="1">
        <f t="array" ref="AV302">SUM(_xlfn.CHOOSECOLS(_xlfn.XLOOKUP(AV$298,Destinations!$B$6:$B$20,Destinations!$C$6:$L$20,,0,1),_xlfn.ANCHORARRAY($J302))*$L$154:$O$154) + SUM(_xlfn.CHOOSECOLS(_xlfn.XLOOKUP(AV$298,Destinations!$B$6:$B$20,Destinations!$C$6:$L$20,,0,1),_xlfn.ANCHORARRAY($AA302))*$P$154:$U$154)</f>
        <v>30.100000000000005</v>
      </c>
      <c r="AX302" s="5" t="b" cm="1">
        <f t="array" ref="AX302:BL302">IFERROR(_xlfn.XLOOKUP(_xlfn.ANCHORARRAY($AH$298),Distances!$N$11:$N$20,Distances!$M$11:$M$20,, 0, 1), "South Island")=I302</f>
        <v>0</v>
      </c>
      <c r="AY302" s="5" t="b">
        <v>0</v>
      </c>
      <c r="AZ302" s="5" t="b">
        <v>0</v>
      </c>
      <c r="BA302" s="5" t="b">
        <v>0</v>
      </c>
      <c r="BB302" s="5" t="b">
        <v>0</v>
      </c>
      <c r="BC302" s="5" t="b">
        <v>0</v>
      </c>
      <c r="BD302" s="5" t="b">
        <v>0</v>
      </c>
      <c r="BE302" s="5" t="b">
        <v>0</v>
      </c>
      <c r="BF302" s="5" t="b">
        <v>0</v>
      </c>
      <c r="BG302" s="5" t="b">
        <v>0</v>
      </c>
      <c r="BH302" s="5" t="b">
        <v>1</v>
      </c>
      <c r="BI302" s="5" t="b">
        <v>1</v>
      </c>
      <c r="BJ302" s="5" t="b">
        <v>1</v>
      </c>
      <c r="BK302" s="5" t="b">
        <v>1</v>
      </c>
      <c r="BL302" s="5" t="b">
        <v>1</v>
      </c>
      <c r="BQ302" s="5">
        <v>1257</v>
      </c>
      <c r="BR302" s="5">
        <v>1134.75</v>
      </c>
      <c r="BS302" s="5">
        <v>1047</v>
      </c>
      <c r="BT302" s="5">
        <v>1042.5</v>
      </c>
      <c r="BU302" s="5">
        <v>992.25</v>
      </c>
      <c r="BV302" s="5">
        <v>1052.25</v>
      </c>
      <c r="BW302" s="5">
        <v>917.25</v>
      </c>
      <c r="BX302" s="5">
        <v>894.75</v>
      </c>
      <c r="BY302" s="5">
        <v>759</v>
      </c>
      <c r="BZ302" s="5">
        <v>656.25</v>
      </c>
      <c r="CA302" s="5">
        <v>430.5</v>
      </c>
      <c r="CB302" s="5">
        <v>120</v>
      </c>
      <c r="CC302" s="5">
        <v>481.5</v>
      </c>
      <c r="CD302" s="5">
        <v>390</v>
      </c>
      <c r="CE302" s="5">
        <v>543.75</v>
      </c>
      <c r="CG302" s="5">
        <v>19</v>
      </c>
      <c r="CH302" s="5">
        <v>20</v>
      </c>
      <c r="CI302" s="5">
        <v>21</v>
      </c>
      <c r="CJ302" s="5">
        <v>20</v>
      </c>
      <c r="CK302" s="5">
        <v>19</v>
      </c>
      <c r="CL302" s="5">
        <v>23</v>
      </c>
      <c r="CM302" s="5">
        <v>23</v>
      </c>
      <c r="CN302" s="5">
        <v>22</v>
      </c>
      <c r="CO302" s="5">
        <v>22</v>
      </c>
      <c r="CP302" s="5">
        <v>23</v>
      </c>
      <c r="CQ302" s="5">
        <v>29</v>
      </c>
      <c r="CR302" s="5">
        <v>26</v>
      </c>
      <c r="CS302" s="5">
        <v>30</v>
      </c>
      <c r="CT302" s="5">
        <v>25</v>
      </c>
      <c r="CU302" s="5">
        <v>25</v>
      </c>
      <c r="CW302" s="5">
        <f t="shared" ref="CW302:CW320" si="3">MAX(CG302:CU302)</f>
        <v>30</v>
      </c>
      <c r="CZ302" s="5">
        <f t="shared" ref="CZ302:CZ320" si="4">MATCH(CW302,CG302:CU302)</f>
        <v>15</v>
      </c>
      <c r="DA302" s="5" t="str" cm="1">
        <f t="array" ref="DA302">_xlfn.CHOOSECOLS(_xlfn.ANCHORARRAY($AH$298),MATCH(CW302,CG302:CU302))</f>
        <v>Invercargill</v>
      </c>
    </row>
    <row r="303" spans="2:105" ht="22.5" customHeight="1">
      <c r="B303" s="11">
        <v>103</v>
      </c>
      <c r="C303" s="11">
        <v>7</v>
      </c>
      <c r="D303" s="18">
        <v>11</v>
      </c>
      <c r="E303" s="34" t="s">
        <v>216</v>
      </c>
      <c r="F303" s="37"/>
      <c r="G303" s="17" t="s">
        <v>70</v>
      </c>
      <c r="H303" s="17" t="s">
        <v>120</v>
      </c>
      <c r="I303" s="3" t="str">
        <v>North Island</v>
      </c>
      <c r="J303" s="3" cm="1">
        <f t="array" ref="J303:M303">_xlfn.XLOOKUP(H303,Families!$B$6:$B$25,_xlfn.ANCHORARRAY(Families!$I$6))</f>
        <v>1</v>
      </c>
      <c r="K303" s="3">
        <v>5</v>
      </c>
      <c r="L303" s="3">
        <v>10</v>
      </c>
      <c r="M303" s="3">
        <v>2</v>
      </c>
      <c r="O303" s="5" cm="1">
        <f t="array" ref="O303:X303">_xlfn.SEQUENCE(1,10,1,1)</f>
        <v>1</v>
      </c>
      <c r="P303" s="5">
        <v>2</v>
      </c>
      <c r="Q303" s="5">
        <v>3</v>
      </c>
      <c r="R303" s="5">
        <v>4</v>
      </c>
      <c r="S303" s="5">
        <v>5</v>
      </c>
      <c r="T303" s="5">
        <v>6</v>
      </c>
      <c r="U303" s="5">
        <v>7</v>
      </c>
      <c r="V303" s="5">
        <v>8</v>
      </c>
      <c r="W303" s="5">
        <v>9</v>
      </c>
      <c r="X303" s="5">
        <v>10</v>
      </c>
      <c r="AA303" s="5" cm="1">
        <f t="array" ref="AA303:AF303">_xlfn._xlws.FILTER(_xlfn.ANCHORARRAY(O303), COUNTIF(_xlfn.ANCHORARRAY(J303),_xlfn.ANCHORARRAY(O303))=0)</f>
        <v>3</v>
      </c>
      <c r="AB303" s="5">
        <v>4</v>
      </c>
      <c r="AC303" s="5">
        <v>6</v>
      </c>
      <c r="AD303" s="5">
        <v>7</v>
      </c>
      <c r="AE303" s="5">
        <v>8</v>
      </c>
      <c r="AF303" s="5">
        <v>9</v>
      </c>
      <c r="AH303" s="3" cm="1">
        <f t="array" ref="AH303">SUM(_xlfn.CHOOSECOLS(_xlfn.XLOOKUP(AH$298,Destinations!$B$6:$B$20,Destinations!$C$6:$L$20,,0,1),_xlfn.ANCHORARRAY($J303))*$L$154:$O$154) + SUM(_xlfn.CHOOSECOLS(_xlfn.XLOOKUP(AH$298,Destinations!$B$6:$B$20,Destinations!$C$6:$L$20,,0,1),_xlfn.ANCHORARRAY($AA303))*$P$154:$U$154)</f>
        <v>33.5</v>
      </c>
      <c r="AI303" s="3" cm="1">
        <f t="array" ref="AI303">SUM(_xlfn.CHOOSECOLS(_xlfn.XLOOKUP(AI$298,Destinations!$B$6:$B$20,Destinations!$C$6:$L$20,,0,1),_xlfn.ANCHORARRAY($J303))*$L$154:$O$154) + SUM(_xlfn.CHOOSECOLS(_xlfn.XLOOKUP(AI$298,Destinations!$B$6:$B$20,Destinations!$C$6:$L$20,,0,1),_xlfn.ANCHORARRAY($AA303))*$P$154:$U$154)</f>
        <v>26.9</v>
      </c>
      <c r="AJ303" s="3" cm="1">
        <f t="array" ref="AJ303">SUM(_xlfn.CHOOSECOLS(_xlfn.XLOOKUP(AJ$298,Destinations!$B$6:$B$20,Destinations!$C$6:$L$20,,0,1),_xlfn.ANCHORARRAY($J303))*$L$154:$O$154) + SUM(_xlfn.CHOOSECOLS(_xlfn.XLOOKUP(AJ$298,Destinations!$B$6:$B$20,Destinations!$C$6:$L$20,,0,1),_xlfn.ANCHORARRAY($AA303))*$P$154:$U$154)</f>
        <v>29.8</v>
      </c>
      <c r="AK303" s="3" cm="1">
        <f t="array" ref="AK303">SUM(_xlfn.CHOOSECOLS(_xlfn.XLOOKUP(AK$298,Destinations!$B$6:$B$20,Destinations!$C$6:$L$20,,0,1),_xlfn.ANCHORARRAY($J303))*$L$154:$O$154) + SUM(_xlfn.CHOOSECOLS(_xlfn.XLOOKUP(AK$298,Destinations!$B$6:$B$20,Destinations!$C$6:$L$20,,0,1),_xlfn.ANCHORARRAY($AA303))*$P$154:$U$154)</f>
        <v>32.5</v>
      </c>
      <c r="AL303" s="3" cm="1">
        <f t="array" ref="AL303">SUM(_xlfn.CHOOSECOLS(_xlfn.XLOOKUP(AL$298,Destinations!$B$6:$B$20,Destinations!$C$6:$L$20,,0,1),_xlfn.ANCHORARRAY($J303))*$L$154:$O$154) + SUM(_xlfn.CHOOSECOLS(_xlfn.XLOOKUP(AL$298,Destinations!$B$6:$B$20,Destinations!$C$6:$L$20,,0,1),_xlfn.ANCHORARRAY($AA303))*$P$154:$U$154)</f>
        <v>31.9</v>
      </c>
      <c r="AM303" s="3" cm="1">
        <f t="array" ref="AM303">SUM(_xlfn.CHOOSECOLS(_xlfn.XLOOKUP(AM$298,Destinations!$B$6:$B$20,Destinations!$C$6:$L$20,,0,1),_xlfn.ANCHORARRAY($J303))*$L$154:$O$154) + SUM(_xlfn.CHOOSECOLS(_xlfn.XLOOKUP(AM$298,Destinations!$B$6:$B$20,Destinations!$C$6:$L$20,,0,1),_xlfn.ANCHORARRAY($AA303))*$P$154:$U$154)</f>
        <v>33.700000000000003</v>
      </c>
      <c r="AN303" s="3" cm="1">
        <f t="array" ref="AN303">SUM(_xlfn.CHOOSECOLS(_xlfn.XLOOKUP(AN$298,Destinations!$B$6:$B$20,Destinations!$C$6:$L$20,,0,1),_xlfn.ANCHORARRAY($J303))*$L$154:$O$154) + SUM(_xlfn.CHOOSECOLS(_xlfn.XLOOKUP(AN$298,Destinations!$B$6:$B$20,Destinations!$C$6:$L$20,,0,1),_xlfn.ANCHORARRAY($AA303))*$P$154:$U$154)</f>
        <v>32.700000000000003</v>
      </c>
      <c r="AO303" s="3" cm="1">
        <f t="array" ref="AO303">SUM(_xlfn.CHOOSECOLS(_xlfn.XLOOKUP(AO$298,Destinations!$B$6:$B$20,Destinations!$C$6:$L$20,,0,1),_xlfn.ANCHORARRAY($J303))*$L$154:$O$154) + SUM(_xlfn.CHOOSECOLS(_xlfn.XLOOKUP(AO$298,Destinations!$B$6:$B$20,Destinations!$C$6:$L$20,,0,1),_xlfn.ANCHORARRAY($AA303))*$P$154:$U$154)</f>
        <v>33.699999999999996</v>
      </c>
      <c r="AP303" s="3" cm="1">
        <f t="array" ref="AP303">SUM(_xlfn.CHOOSECOLS(_xlfn.XLOOKUP(AP$298,Destinations!$B$6:$B$20,Destinations!$C$6:$L$20,,0,1),_xlfn.ANCHORARRAY($J303))*$L$154:$O$154) + SUM(_xlfn.CHOOSECOLS(_xlfn.XLOOKUP(AP$298,Destinations!$B$6:$B$20,Destinations!$C$6:$L$20,,0,1),_xlfn.ANCHORARRAY($AA303))*$P$154:$U$154)</f>
        <v>30.700000000000003</v>
      </c>
      <c r="AQ303" s="3" cm="1">
        <f t="array" ref="AQ303">SUM(_xlfn.CHOOSECOLS(_xlfn.XLOOKUP(AQ$298,Destinations!$B$6:$B$20,Destinations!$C$6:$L$20,,0,1),_xlfn.ANCHORARRAY($J303))*$L$154:$O$154) + SUM(_xlfn.CHOOSECOLS(_xlfn.XLOOKUP(AQ$298,Destinations!$B$6:$B$20,Destinations!$C$6:$L$20,,0,1),_xlfn.ANCHORARRAY($AA303))*$P$154:$U$154)</f>
        <v>28.6</v>
      </c>
      <c r="AR303" s="3" cm="1">
        <f t="array" ref="AR303">SUM(_xlfn.CHOOSECOLS(_xlfn.XLOOKUP(AR$298,Destinations!$B$6:$B$20,Destinations!$C$6:$L$20,,0,1),_xlfn.ANCHORARRAY($J303))*$L$154:$O$154) + SUM(_xlfn.CHOOSECOLS(_xlfn.XLOOKUP(AR$298,Destinations!$B$6:$B$20,Destinations!$C$6:$L$20,,0,1),_xlfn.ANCHORARRAY($AA303))*$P$154:$U$154)</f>
        <v>32.6</v>
      </c>
      <c r="AS303" s="3" cm="1">
        <f t="array" ref="AS303">SUM(_xlfn.CHOOSECOLS(_xlfn.XLOOKUP(AS$298,Destinations!$B$6:$B$20,Destinations!$C$6:$L$20,,0,1),_xlfn.ANCHORARRAY($J303))*$L$154:$O$154) + SUM(_xlfn.CHOOSECOLS(_xlfn.XLOOKUP(AS$298,Destinations!$B$6:$B$20,Destinations!$C$6:$L$20,,0,1),_xlfn.ANCHORARRAY($AA303))*$P$154:$U$154)</f>
        <v>29.6</v>
      </c>
      <c r="AT303" s="3" cm="1">
        <f t="array" ref="AT303">SUM(_xlfn.CHOOSECOLS(_xlfn.XLOOKUP(AT$298,Destinations!$B$6:$B$20,Destinations!$C$6:$L$20,,0,1),_xlfn.ANCHORARRAY($J303))*$L$154:$O$154) + SUM(_xlfn.CHOOSECOLS(_xlfn.XLOOKUP(AT$298,Destinations!$B$6:$B$20,Destinations!$C$6:$L$20,,0,1),_xlfn.ANCHORARRAY($AA303))*$P$154:$U$154)</f>
        <v>30.900000000000002</v>
      </c>
      <c r="AU303" s="3" cm="1">
        <f t="array" ref="AU303">SUM(_xlfn.CHOOSECOLS(_xlfn.XLOOKUP(AU$298,Destinations!$B$6:$B$20,Destinations!$C$6:$L$20,,0,1),_xlfn.ANCHORARRAY($J303))*$L$154:$O$154) + SUM(_xlfn.CHOOSECOLS(_xlfn.XLOOKUP(AU$298,Destinations!$B$6:$B$20,Destinations!$C$6:$L$20,,0,1),_xlfn.ANCHORARRAY($AA303))*$P$154:$U$154)</f>
        <v>30.1</v>
      </c>
      <c r="AV303" s="3" cm="1">
        <f t="array" ref="AV303">SUM(_xlfn.CHOOSECOLS(_xlfn.XLOOKUP(AV$298,Destinations!$B$6:$B$20,Destinations!$C$6:$L$20,,0,1),_xlfn.ANCHORARRAY($J303))*$L$154:$O$154) + SUM(_xlfn.CHOOSECOLS(_xlfn.XLOOKUP(AV$298,Destinations!$B$6:$B$20,Destinations!$C$6:$L$20,,0,1),_xlfn.ANCHORARRAY($AA303))*$P$154:$U$154)</f>
        <v>36.400000000000006</v>
      </c>
      <c r="AX303" s="5" t="b" cm="1">
        <f t="array" ref="AX303:BL303">IFERROR(_xlfn.XLOOKUP(_xlfn.ANCHORARRAY($AH$298),Distances!$N$11:$N$20,Distances!$M$11:$M$20,, 0, 1), "South Island")=I303</f>
        <v>1</v>
      </c>
      <c r="AY303" s="5" t="b">
        <v>1</v>
      </c>
      <c r="AZ303" s="5" t="b">
        <v>1</v>
      </c>
      <c r="BA303" s="5" t="b">
        <v>1</v>
      </c>
      <c r="BB303" s="5" t="b">
        <v>1</v>
      </c>
      <c r="BC303" s="5" t="b">
        <v>1</v>
      </c>
      <c r="BD303" s="5" t="b">
        <v>1</v>
      </c>
      <c r="BE303" s="5" t="b">
        <v>1</v>
      </c>
      <c r="BF303" s="5" t="b">
        <v>1</v>
      </c>
      <c r="BG303" s="5" t="b">
        <v>1</v>
      </c>
      <c r="BH303" s="5" t="b">
        <v>0</v>
      </c>
      <c r="BI303" s="5" t="b">
        <v>0</v>
      </c>
      <c r="BJ303" s="5" t="b">
        <v>0</v>
      </c>
      <c r="BK303" s="5" t="b">
        <v>0</v>
      </c>
      <c r="BL303" s="5" t="b">
        <v>0</v>
      </c>
      <c r="BQ303" s="5">
        <v>247.5</v>
      </c>
      <c r="BR303" s="5">
        <v>120</v>
      </c>
      <c r="BS303" s="5">
        <v>274.5</v>
      </c>
      <c r="BT303" s="5">
        <v>213.75</v>
      </c>
      <c r="BU303" s="5">
        <v>295.5</v>
      </c>
      <c r="BV303" s="5">
        <v>498</v>
      </c>
      <c r="BW303" s="5">
        <v>396.75</v>
      </c>
      <c r="BX303" s="5">
        <v>437.25</v>
      </c>
      <c r="BY303" s="5">
        <v>516</v>
      </c>
      <c r="BZ303" s="5">
        <v>615</v>
      </c>
      <c r="CA303" s="5">
        <v>963.75</v>
      </c>
      <c r="CB303" s="5">
        <v>1134.75</v>
      </c>
      <c r="CC303" s="5">
        <v>1492.5</v>
      </c>
      <c r="CD303" s="5">
        <v>1400.25</v>
      </c>
      <c r="CE303" s="5">
        <v>1554.75</v>
      </c>
      <c r="CG303" s="5">
        <v>31</v>
      </c>
      <c r="CH303" s="5">
        <v>26</v>
      </c>
      <c r="CI303" s="5">
        <v>27</v>
      </c>
      <c r="CJ303" s="5">
        <v>30</v>
      </c>
      <c r="CK303" s="5">
        <v>29</v>
      </c>
      <c r="CL303" s="5">
        <v>29</v>
      </c>
      <c r="CM303" s="5">
        <v>29</v>
      </c>
      <c r="CN303" s="5">
        <v>29</v>
      </c>
      <c r="CO303" s="5">
        <v>26</v>
      </c>
      <c r="CP303" s="5">
        <v>22</v>
      </c>
      <c r="CQ303" s="5">
        <v>23</v>
      </c>
      <c r="CR303" s="5">
        <v>18</v>
      </c>
      <c r="CS303" s="5">
        <v>16</v>
      </c>
      <c r="CT303" s="5">
        <v>16</v>
      </c>
      <c r="CU303" s="5">
        <v>21</v>
      </c>
      <c r="CW303" s="5">
        <f t="shared" si="3"/>
        <v>31</v>
      </c>
      <c r="CZ303" s="5">
        <f t="shared" si="4"/>
        <v>15</v>
      </c>
      <c r="DA303" s="5" t="str" cm="1">
        <f t="array" ref="DA303">_xlfn.CHOOSECOLS(_xlfn.ANCHORARRAY($AH$298),MATCH(CW303,CG303:CU303))</f>
        <v>Invercargill</v>
      </c>
    </row>
    <row r="304" spans="2:105" ht="22.5" customHeight="1">
      <c r="B304" s="11">
        <v>104</v>
      </c>
      <c r="C304" s="11">
        <v>7</v>
      </c>
      <c r="D304" s="18">
        <v>11</v>
      </c>
      <c r="E304" s="34" t="s">
        <v>217</v>
      </c>
      <c r="F304" s="37"/>
      <c r="G304" s="17" t="s">
        <v>149</v>
      </c>
      <c r="H304" s="17" t="s">
        <v>169</v>
      </c>
      <c r="I304" s="3" t="str">
        <v>South Island</v>
      </c>
      <c r="J304" s="3" cm="1">
        <f t="array" ref="J304:M304">_xlfn.XLOOKUP(H304,Families!$B$6:$B$25,_xlfn.ANCHORARRAY(Families!$I$6))</f>
        <v>9</v>
      </c>
      <c r="K304" s="3">
        <v>1</v>
      </c>
      <c r="L304" s="3">
        <v>8</v>
      </c>
      <c r="M304" s="3">
        <v>5</v>
      </c>
      <c r="O304" s="5" cm="1">
        <f t="array" ref="O304:X304">_xlfn.SEQUENCE(1,10,1,1)</f>
        <v>1</v>
      </c>
      <c r="P304" s="5">
        <v>2</v>
      </c>
      <c r="Q304" s="5">
        <v>3</v>
      </c>
      <c r="R304" s="5">
        <v>4</v>
      </c>
      <c r="S304" s="5">
        <v>5</v>
      </c>
      <c r="T304" s="5">
        <v>6</v>
      </c>
      <c r="U304" s="5">
        <v>7</v>
      </c>
      <c r="V304" s="5">
        <v>8</v>
      </c>
      <c r="W304" s="5">
        <v>9</v>
      </c>
      <c r="X304" s="5">
        <v>10</v>
      </c>
      <c r="AA304" s="5" cm="1">
        <f t="array" ref="AA304:AF304">_xlfn._xlws.FILTER(_xlfn.ANCHORARRAY(O304), COUNTIF(_xlfn.ANCHORARRAY(J304),_xlfn.ANCHORARRAY(O304))=0)</f>
        <v>2</v>
      </c>
      <c r="AB304" s="5">
        <v>3</v>
      </c>
      <c r="AC304" s="5">
        <v>4</v>
      </c>
      <c r="AD304" s="5">
        <v>6</v>
      </c>
      <c r="AE304" s="5">
        <v>7</v>
      </c>
      <c r="AF304" s="5">
        <v>10</v>
      </c>
      <c r="AH304" s="3" cm="1">
        <f t="array" ref="AH304">SUM(_xlfn.CHOOSECOLS(_xlfn.XLOOKUP(AH$298,Destinations!$B$6:$B$20,Destinations!$C$6:$L$20,,0,1),_xlfn.ANCHORARRAY($J304))*$L$154:$O$154) + SUM(_xlfn.CHOOSECOLS(_xlfn.XLOOKUP(AH$298,Destinations!$B$6:$B$20,Destinations!$C$6:$L$20,,0,1),_xlfn.ANCHORARRAY($AA304))*$P$154:$U$154)</f>
        <v>30.5</v>
      </c>
      <c r="AI304" s="3" cm="1">
        <f t="array" ref="AI304">SUM(_xlfn.CHOOSECOLS(_xlfn.XLOOKUP(AI$298,Destinations!$B$6:$B$20,Destinations!$C$6:$L$20,,0,1),_xlfn.ANCHORARRAY($J304))*$L$154:$O$154) + SUM(_xlfn.CHOOSECOLS(_xlfn.XLOOKUP(AI$298,Destinations!$B$6:$B$20,Destinations!$C$6:$L$20,,0,1),_xlfn.ANCHORARRAY($AA304))*$P$154:$U$154)</f>
        <v>29.7</v>
      </c>
      <c r="AJ304" s="3" cm="1">
        <f t="array" ref="AJ304">SUM(_xlfn.CHOOSECOLS(_xlfn.XLOOKUP(AJ$298,Destinations!$B$6:$B$20,Destinations!$C$6:$L$20,,0,1),_xlfn.ANCHORARRAY($J304))*$L$154:$O$154) + SUM(_xlfn.CHOOSECOLS(_xlfn.XLOOKUP(AJ$298,Destinations!$B$6:$B$20,Destinations!$C$6:$L$20,,0,1),_xlfn.ANCHORARRAY($AA304))*$P$154:$U$154)</f>
        <v>29.099999999999998</v>
      </c>
      <c r="AK304" s="3" cm="1">
        <f t="array" ref="AK304">SUM(_xlfn.CHOOSECOLS(_xlfn.XLOOKUP(AK$298,Destinations!$B$6:$B$20,Destinations!$C$6:$L$20,,0,1),_xlfn.ANCHORARRAY($J304))*$L$154:$O$154) + SUM(_xlfn.CHOOSECOLS(_xlfn.XLOOKUP(AK$298,Destinations!$B$6:$B$20,Destinations!$C$6:$L$20,,0,1),_xlfn.ANCHORARRAY($AA304))*$P$154:$U$154)</f>
        <v>31.1</v>
      </c>
      <c r="AL304" s="3" cm="1">
        <f t="array" ref="AL304">SUM(_xlfn.CHOOSECOLS(_xlfn.XLOOKUP(AL$298,Destinations!$B$6:$B$20,Destinations!$C$6:$L$20,,0,1),_xlfn.ANCHORARRAY($J304))*$L$154:$O$154) + SUM(_xlfn.CHOOSECOLS(_xlfn.XLOOKUP(AL$298,Destinations!$B$6:$B$20,Destinations!$C$6:$L$20,,0,1),_xlfn.ANCHORARRAY($AA304))*$P$154:$U$154)</f>
        <v>32.1</v>
      </c>
      <c r="AM304" s="3" cm="1">
        <f t="array" ref="AM304">SUM(_xlfn.CHOOSECOLS(_xlfn.XLOOKUP(AM$298,Destinations!$B$6:$B$20,Destinations!$C$6:$L$20,,0,1),_xlfn.ANCHORARRAY($J304))*$L$154:$O$154) + SUM(_xlfn.CHOOSECOLS(_xlfn.XLOOKUP(AM$298,Destinations!$B$6:$B$20,Destinations!$C$6:$L$20,,0,1),_xlfn.ANCHORARRAY($AA304))*$P$154:$U$154)</f>
        <v>30.599999999999998</v>
      </c>
      <c r="AN304" s="3" cm="1">
        <f t="array" ref="AN304">SUM(_xlfn.CHOOSECOLS(_xlfn.XLOOKUP(AN$298,Destinations!$B$6:$B$20,Destinations!$C$6:$L$20,,0,1),_xlfn.ANCHORARRAY($J304))*$L$154:$O$154) + SUM(_xlfn.CHOOSECOLS(_xlfn.XLOOKUP(AN$298,Destinations!$B$6:$B$20,Destinations!$C$6:$L$20,,0,1),_xlfn.ANCHORARRAY($AA304))*$P$154:$U$154)</f>
        <v>30.9</v>
      </c>
      <c r="AO304" s="3" cm="1">
        <f t="array" ref="AO304">SUM(_xlfn.CHOOSECOLS(_xlfn.XLOOKUP(AO$298,Destinations!$B$6:$B$20,Destinations!$C$6:$L$20,,0,1),_xlfn.ANCHORARRAY($J304))*$L$154:$O$154) + SUM(_xlfn.CHOOSECOLS(_xlfn.XLOOKUP(AO$298,Destinations!$B$6:$B$20,Destinations!$C$6:$L$20,,0,1),_xlfn.ANCHORARRAY($AA304))*$P$154:$U$154)</f>
        <v>35.1</v>
      </c>
      <c r="AP304" s="3" cm="1">
        <f t="array" ref="AP304">SUM(_xlfn.CHOOSECOLS(_xlfn.XLOOKUP(AP$298,Destinations!$B$6:$B$20,Destinations!$C$6:$L$20,,0,1),_xlfn.ANCHORARRAY($J304))*$L$154:$O$154) + SUM(_xlfn.CHOOSECOLS(_xlfn.XLOOKUP(AP$298,Destinations!$B$6:$B$20,Destinations!$C$6:$L$20,,0,1),_xlfn.ANCHORARRAY($AA304))*$P$154:$U$154)</f>
        <v>28.5</v>
      </c>
      <c r="AQ304" s="3" cm="1">
        <f t="array" ref="AQ304">SUM(_xlfn.CHOOSECOLS(_xlfn.XLOOKUP(AQ$298,Destinations!$B$6:$B$20,Destinations!$C$6:$L$20,,0,1),_xlfn.ANCHORARRAY($J304))*$L$154:$O$154) + SUM(_xlfn.CHOOSECOLS(_xlfn.XLOOKUP(AQ$298,Destinations!$B$6:$B$20,Destinations!$C$6:$L$20,,0,1),_xlfn.ANCHORARRAY($AA304))*$P$154:$U$154)</f>
        <v>27.700000000000003</v>
      </c>
      <c r="AR304" s="3" cm="1">
        <f t="array" ref="AR304">SUM(_xlfn.CHOOSECOLS(_xlfn.XLOOKUP(AR$298,Destinations!$B$6:$B$20,Destinations!$C$6:$L$20,,0,1),_xlfn.ANCHORARRAY($J304))*$L$154:$O$154) + SUM(_xlfn.CHOOSECOLS(_xlfn.XLOOKUP(AR$298,Destinations!$B$6:$B$20,Destinations!$C$6:$L$20,,0,1),_xlfn.ANCHORARRAY($AA304))*$P$154:$U$154)</f>
        <v>29.799999999999997</v>
      </c>
      <c r="AS304" s="3" cm="1">
        <f t="array" ref="AS304">SUM(_xlfn.CHOOSECOLS(_xlfn.XLOOKUP(AS$298,Destinations!$B$6:$B$20,Destinations!$C$6:$L$20,,0,1),_xlfn.ANCHORARRAY($J304))*$L$154:$O$154) + SUM(_xlfn.CHOOSECOLS(_xlfn.XLOOKUP(AS$298,Destinations!$B$6:$B$20,Destinations!$C$6:$L$20,,0,1),_xlfn.ANCHORARRAY($AA304))*$P$154:$U$154)</f>
        <v>28.7</v>
      </c>
      <c r="AT304" s="3" cm="1">
        <f t="array" ref="AT304">SUM(_xlfn.CHOOSECOLS(_xlfn.XLOOKUP(AT$298,Destinations!$B$6:$B$20,Destinations!$C$6:$L$20,,0,1),_xlfn.ANCHORARRAY($J304))*$L$154:$O$154) + SUM(_xlfn.CHOOSECOLS(_xlfn.XLOOKUP(AT$298,Destinations!$B$6:$B$20,Destinations!$C$6:$L$20,,0,1),_xlfn.ANCHORARRAY($AA304))*$P$154:$U$154)</f>
        <v>32.900000000000006</v>
      </c>
      <c r="AU304" s="3" cm="1">
        <f t="array" ref="AU304">SUM(_xlfn.CHOOSECOLS(_xlfn.XLOOKUP(AU$298,Destinations!$B$6:$B$20,Destinations!$C$6:$L$20,,0,1),_xlfn.ANCHORARRAY($J304))*$L$154:$O$154) + SUM(_xlfn.CHOOSECOLS(_xlfn.XLOOKUP(AU$298,Destinations!$B$6:$B$20,Destinations!$C$6:$L$20,,0,1),_xlfn.ANCHORARRAY($AA304))*$P$154:$U$154)</f>
        <v>29.8</v>
      </c>
      <c r="AV304" s="3" cm="1">
        <f t="array" ref="AV304">SUM(_xlfn.CHOOSECOLS(_xlfn.XLOOKUP(AV$298,Destinations!$B$6:$B$20,Destinations!$C$6:$L$20,,0,1),_xlfn.ANCHORARRAY($J304))*$L$154:$O$154) + SUM(_xlfn.CHOOSECOLS(_xlfn.XLOOKUP(AV$298,Destinations!$B$6:$B$20,Destinations!$C$6:$L$20,,0,1),_xlfn.ANCHORARRAY($AA304))*$P$154:$U$154)</f>
        <v>34.099999999999994</v>
      </c>
      <c r="AX304" s="5" t="b" cm="1">
        <f t="array" ref="AX304:BL304">IFERROR(_xlfn.XLOOKUP(_xlfn.ANCHORARRAY($AH$298),Distances!$N$11:$N$20,Distances!$M$11:$M$20,, 0, 1), "South Island")=I304</f>
        <v>0</v>
      </c>
      <c r="AY304" s="5" t="b">
        <v>0</v>
      </c>
      <c r="AZ304" s="5" t="b">
        <v>0</v>
      </c>
      <c r="BA304" s="5" t="b">
        <v>0</v>
      </c>
      <c r="BB304" s="5" t="b">
        <v>0</v>
      </c>
      <c r="BC304" s="5" t="b">
        <v>0</v>
      </c>
      <c r="BD304" s="5" t="b">
        <v>0</v>
      </c>
      <c r="BE304" s="5" t="b">
        <v>0</v>
      </c>
      <c r="BF304" s="5" t="b">
        <v>0</v>
      </c>
      <c r="BG304" s="5" t="b">
        <v>0</v>
      </c>
      <c r="BH304" s="5" t="b">
        <v>1</v>
      </c>
      <c r="BI304" s="5" t="b">
        <v>1</v>
      </c>
      <c r="BJ304" s="5" t="b">
        <v>1</v>
      </c>
      <c r="BK304" s="5" t="b">
        <v>1</v>
      </c>
      <c r="BL304" s="5" t="b">
        <v>1</v>
      </c>
      <c r="BQ304" s="5">
        <v>1257</v>
      </c>
      <c r="BR304" s="5">
        <v>1134.75</v>
      </c>
      <c r="BS304" s="5">
        <v>1047</v>
      </c>
      <c r="BT304" s="5">
        <v>1042.5</v>
      </c>
      <c r="BU304" s="5">
        <v>992.25</v>
      </c>
      <c r="BV304" s="5">
        <v>1052.25</v>
      </c>
      <c r="BW304" s="5">
        <v>917.25</v>
      </c>
      <c r="BX304" s="5">
        <v>894.75</v>
      </c>
      <c r="BY304" s="5">
        <v>759</v>
      </c>
      <c r="BZ304" s="5">
        <v>656.25</v>
      </c>
      <c r="CA304" s="5">
        <v>430.5</v>
      </c>
      <c r="CB304" s="5">
        <v>120</v>
      </c>
      <c r="CC304" s="5">
        <v>481.5</v>
      </c>
      <c r="CD304" s="5">
        <v>390</v>
      </c>
      <c r="CE304" s="5">
        <v>543.75</v>
      </c>
      <c r="CG304" s="5">
        <v>18</v>
      </c>
      <c r="CH304" s="5">
        <v>18</v>
      </c>
      <c r="CI304" s="5">
        <v>19</v>
      </c>
      <c r="CJ304" s="5">
        <v>21</v>
      </c>
      <c r="CK304" s="5">
        <v>22</v>
      </c>
      <c r="CL304" s="5">
        <v>20</v>
      </c>
      <c r="CM304" s="5">
        <v>22</v>
      </c>
      <c r="CN304" s="5">
        <v>26</v>
      </c>
      <c r="CO304" s="5">
        <v>21</v>
      </c>
      <c r="CP304" s="5">
        <v>21</v>
      </c>
      <c r="CQ304" s="5">
        <v>25</v>
      </c>
      <c r="CR304" s="5">
        <v>28</v>
      </c>
      <c r="CS304" s="5">
        <v>28</v>
      </c>
      <c r="CT304" s="5">
        <v>26</v>
      </c>
      <c r="CU304" s="5">
        <v>29</v>
      </c>
      <c r="CW304" s="5">
        <f t="shared" si="3"/>
        <v>29</v>
      </c>
      <c r="CZ304" s="5">
        <f t="shared" si="4"/>
        <v>15</v>
      </c>
      <c r="DA304" s="5" t="str" cm="1">
        <f t="array" ref="DA304">_xlfn.CHOOSECOLS(_xlfn.ANCHORARRAY($AH$298),MATCH(CW304,CG304:CU304))</f>
        <v>Invercargill</v>
      </c>
    </row>
    <row r="305" spans="2:105" ht="22.5" customHeight="1">
      <c r="B305" s="11">
        <v>105</v>
      </c>
      <c r="C305" s="11">
        <v>7</v>
      </c>
      <c r="D305" s="18">
        <v>11</v>
      </c>
      <c r="E305" s="34" t="s">
        <v>217</v>
      </c>
      <c r="F305" s="37"/>
      <c r="G305" s="17" t="s">
        <v>149</v>
      </c>
      <c r="H305" s="17" t="s">
        <v>173</v>
      </c>
      <c r="I305" s="3" t="str">
        <v>South Island</v>
      </c>
      <c r="J305" s="3" cm="1">
        <f t="array" ref="J305:M305">_xlfn.XLOOKUP(H305,Families!$B$6:$B$25,_xlfn.ANCHORARRAY(Families!$I$6))</f>
        <v>4</v>
      </c>
      <c r="K305" s="3">
        <v>10</v>
      </c>
      <c r="L305" s="3">
        <v>6</v>
      </c>
      <c r="M305" s="3">
        <v>3</v>
      </c>
      <c r="O305" s="5" cm="1">
        <f t="array" ref="O305:X305">_xlfn.SEQUENCE(1,10,1,1)</f>
        <v>1</v>
      </c>
      <c r="P305" s="5">
        <v>2</v>
      </c>
      <c r="Q305" s="5">
        <v>3</v>
      </c>
      <c r="R305" s="5">
        <v>4</v>
      </c>
      <c r="S305" s="5">
        <v>5</v>
      </c>
      <c r="T305" s="5">
        <v>6</v>
      </c>
      <c r="U305" s="5">
        <v>7</v>
      </c>
      <c r="V305" s="5">
        <v>8</v>
      </c>
      <c r="W305" s="5">
        <v>9</v>
      </c>
      <c r="X305" s="5">
        <v>10</v>
      </c>
      <c r="AA305" s="5" cm="1">
        <f t="array" ref="AA305:AF305">_xlfn._xlws.FILTER(_xlfn.ANCHORARRAY(O305), COUNTIF(_xlfn.ANCHORARRAY(J305),_xlfn.ANCHORARRAY(O305))=0)</f>
        <v>1</v>
      </c>
      <c r="AB305" s="5">
        <v>2</v>
      </c>
      <c r="AC305" s="5">
        <v>5</v>
      </c>
      <c r="AD305" s="5">
        <v>7</v>
      </c>
      <c r="AE305" s="5">
        <v>8</v>
      </c>
      <c r="AF305" s="5">
        <v>9</v>
      </c>
      <c r="AH305" s="3" cm="1">
        <f t="array" ref="AH305">SUM(_xlfn.CHOOSECOLS(_xlfn.XLOOKUP(AH$298,Destinations!$B$6:$B$20,Destinations!$C$6:$L$20,,0,1),_xlfn.ANCHORARRAY($J305))*$L$154:$O$154) + SUM(_xlfn.CHOOSECOLS(_xlfn.XLOOKUP(AH$298,Destinations!$B$6:$B$20,Destinations!$C$6:$L$20,,0,1),_xlfn.ANCHORARRAY($AA305))*$P$154:$U$154)</f>
        <v>31.599999999999998</v>
      </c>
      <c r="AI305" s="3" cm="1">
        <f t="array" ref="AI305">SUM(_xlfn.CHOOSECOLS(_xlfn.XLOOKUP(AI$298,Destinations!$B$6:$B$20,Destinations!$C$6:$L$20,,0,1),_xlfn.ANCHORARRAY($J305))*$L$154:$O$154) + SUM(_xlfn.CHOOSECOLS(_xlfn.XLOOKUP(AI$298,Destinations!$B$6:$B$20,Destinations!$C$6:$L$20,,0,1),_xlfn.ANCHORARRAY($AA305))*$P$154:$U$154)</f>
        <v>26.799999999999997</v>
      </c>
      <c r="AJ305" s="3" cm="1">
        <f t="array" ref="AJ305">SUM(_xlfn.CHOOSECOLS(_xlfn.XLOOKUP(AJ$298,Destinations!$B$6:$B$20,Destinations!$C$6:$L$20,,0,1),_xlfn.ANCHORARRAY($J305))*$L$154:$O$154) + SUM(_xlfn.CHOOSECOLS(_xlfn.XLOOKUP(AJ$298,Destinations!$B$6:$B$20,Destinations!$C$6:$L$20,,0,1),_xlfn.ANCHORARRAY($AA305))*$P$154:$U$154)</f>
        <v>29.1</v>
      </c>
      <c r="AK305" s="3" cm="1">
        <f t="array" ref="AK305">SUM(_xlfn.CHOOSECOLS(_xlfn.XLOOKUP(AK$298,Destinations!$B$6:$B$20,Destinations!$C$6:$L$20,,0,1),_xlfn.ANCHORARRAY($J305))*$L$154:$O$154) + SUM(_xlfn.CHOOSECOLS(_xlfn.XLOOKUP(AK$298,Destinations!$B$6:$B$20,Destinations!$C$6:$L$20,,0,1),_xlfn.ANCHORARRAY($AA305))*$P$154:$U$154)</f>
        <v>31.300000000000004</v>
      </c>
      <c r="AL305" s="3" cm="1">
        <f t="array" ref="AL305">SUM(_xlfn.CHOOSECOLS(_xlfn.XLOOKUP(AL$298,Destinations!$B$6:$B$20,Destinations!$C$6:$L$20,,0,1),_xlfn.ANCHORARRAY($J305))*$L$154:$O$154) + SUM(_xlfn.CHOOSECOLS(_xlfn.XLOOKUP(AL$298,Destinations!$B$6:$B$20,Destinations!$C$6:$L$20,,0,1),_xlfn.ANCHORARRAY($AA305))*$P$154:$U$154)</f>
        <v>30.299999999999997</v>
      </c>
      <c r="AM305" s="3" cm="1">
        <f t="array" ref="AM305">SUM(_xlfn.CHOOSECOLS(_xlfn.XLOOKUP(AM$298,Destinations!$B$6:$B$20,Destinations!$C$6:$L$20,,0,1),_xlfn.ANCHORARRAY($J305))*$L$154:$O$154) + SUM(_xlfn.CHOOSECOLS(_xlfn.XLOOKUP(AM$298,Destinations!$B$6:$B$20,Destinations!$C$6:$L$20,,0,1),_xlfn.ANCHORARRAY($AA305))*$P$154:$U$154)</f>
        <v>33.700000000000003</v>
      </c>
      <c r="AN305" s="3" cm="1">
        <f t="array" ref="AN305">SUM(_xlfn.CHOOSECOLS(_xlfn.XLOOKUP(AN$298,Destinations!$B$6:$B$20,Destinations!$C$6:$L$20,,0,1),_xlfn.ANCHORARRAY($J305))*$L$154:$O$154) + SUM(_xlfn.CHOOSECOLS(_xlfn.XLOOKUP(AN$298,Destinations!$B$6:$B$20,Destinations!$C$6:$L$20,,0,1),_xlfn.ANCHORARRAY($AA305))*$P$154:$U$154)</f>
        <v>33.9</v>
      </c>
      <c r="AO305" s="3" cm="1">
        <f t="array" ref="AO305">SUM(_xlfn.CHOOSECOLS(_xlfn.XLOOKUP(AO$298,Destinations!$B$6:$B$20,Destinations!$C$6:$L$20,,0,1),_xlfn.ANCHORARRAY($J305))*$L$154:$O$154) + SUM(_xlfn.CHOOSECOLS(_xlfn.XLOOKUP(AO$298,Destinations!$B$6:$B$20,Destinations!$C$6:$L$20,,0,1),_xlfn.ANCHORARRAY($AA305))*$P$154:$U$154)</f>
        <v>30.3</v>
      </c>
      <c r="AP305" s="3" cm="1">
        <f t="array" ref="AP305">SUM(_xlfn.CHOOSECOLS(_xlfn.XLOOKUP(AP$298,Destinations!$B$6:$B$20,Destinations!$C$6:$L$20,,0,1),_xlfn.ANCHORARRAY($J305))*$L$154:$O$154) + SUM(_xlfn.CHOOSECOLS(_xlfn.XLOOKUP(AP$298,Destinations!$B$6:$B$20,Destinations!$C$6:$L$20,,0,1),_xlfn.ANCHORARRAY($AA305))*$P$154:$U$154)</f>
        <v>31.700000000000003</v>
      </c>
      <c r="AQ305" s="3" cm="1">
        <f t="array" ref="AQ305">SUM(_xlfn.CHOOSECOLS(_xlfn.XLOOKUP(AQ$298,Destinations!$B$6:$B$20,Destinations!$C$6:$L$20,,0,1),_xlfn.ANCHORARRAY($J305))*$L$154:$O$154) + SUM(_xlfn.CHOOSECOLS(_xlfn.XLOOKUP(AQ$298,Destinations!$B$6:$B$20,Destinations!$C$6:$L$20,,0,1),_xlfn.ANCHORARRAY($AA305))*$P$154:$U$154)</f>
        <v>29.200000000000003</v>
      </c>
      <c r="AR305" s="3" cm="1">
        <f t="array" ref="AR305">SUM(_xlfn.CHOOSECOLS(_xlfn.XLOOKUP(AR$298,Destinations!$B$6:$B$20,Destinations!$C$6:$L$20,,0,1),_xlfn.ANCHORARRAY($J305))*$L$154:$O$154) + SUM(_xlfn.CHOOSECOLS(_xlfn.XLOOKUP(AR$298,Destinations!$B$6:$B$20,Destinations!$C$6:$L$20,,0,1),_xlfn.ANCHORARRAY($AA305))*$P$154:$U$154)</f>
        <v>32.799999999999997</v>
      </c>
      <c r="AS305" s="3" cm="1">
        <f t="array" ref="AS305">SUM(_xlfn.CHOOSECOLS(_xlfn.XLOOKUP(AS$298,Destinations!$B$6:$B$20,Destinations!$C$6:$L$20,,0,1),_xlfn.ANCHORARRAY($J305))*$L$154:$O$154) + SUM(_xlfn.CHOOSECOLS(_xlfn.XLOOKUP(AS$298,Destinations!$B$6:$B$20,Destinations!$C$6:$L$20,,0,1),_xlfn.ANCHORARRAY($AA305))*$P$154:$U$154)</f>
        <v>26.700000000000003</v>
      </c>
      <c r="AT305" s="3" cm="1">
        <f t="array" ref="AT305">SUM(_xlfn.CHOOSECOLS(_xlfn.XLOOKUP(AT$298,Destinations!$B$6:$B$20,Destinations!$C$6:$L$20,,0,1),_xlfn.ANCHORARRAY($J305))*$L$154:$O$154) + SUM(_xlfn.CHOOSECOLS(_xlfn.XLOOKUP(AT$298,Destinations!$B$6:$B$20,Destinations!$C$6:$L$20,,0,1),_xlfn.ANCHORARRAY($AA305))*$P$154:$U$154)</f>
        <v>30.800000000000004</v>
      </c>
      <c r="AU305" s="3" cm="1">
        <f t="array" ref="AU305">SUM(_xlfn.CHOOSECOLS(_xlfn.XLOOKUP(AU$298,Destinations!$B$6:$B$20,Destinations!$C$6:$L$20,,0,1),_xlfn.ANCHORARRAY($J305))*$L$154:$O$154) + SUM(_xlfn.CHOOSECOLS(_xlfn.XLOOKUP(AU$298,Destinations!$B$6:$B$20,Destinations!$C$6:$L$20,,0,1),_xlfn.ANCHORARRAY($AA305))*$P$154:$U$154)</f>
        <v>28.8</v>
      </c>
      <c r="AV305" s="3" cm="1">
        <f t="array" ref="AV305">SUM(_xlfn.CHOOSECOLS(_xlfn.XLOOKUP(AV$298,Destinations!$B$6:$B$20,Destinations!$C$6:$L$20,,0,1),_xlfn.ANCHORARRAY($J305))*$L$154:$O$154) + SUM(_xlfn.CHOOSECOLS(_xlfn.XLOOKUP(AV$298,Destinations!$B$6:$B$20,Destinations!$C$6:$L$20,,0,1),_xlfn.ANCHORARRAY($AA305))*$P$154:$U$154)</f>
        <v>34.200000000000003</v>
      </c>
      <c r="AX305" s="5" t="b" cm="1">
        <f t="array" ref="AX305:BL305">IFERROR(_xlfn.XLOOKUP(_xlfn.ANCHORARRAY($AH$298),Distances!$N$11:$N$20,Distances!$M$11:$M$20,, 0, 1), "South Island")=I305</f>
        <v>0</v>
      </c>
      <c r="AY305" s="5" t="b">
        <v>0</v>
      </c>
      <c r="AZ305" s="5" t="b">
        <v>0</v>
      </c>
      <c r="BA305" s="5" t="b">
        <v>0</v>
      </c>
      <c r="BB305" s="5" t="b">
        <v>0</v>
      </c>
      <c r="BC305" s="5" t="b">
        <v>0</v>
      </c>
      <c r="BD305" s="5" t="b">
        <v>0</v>
      </c>
      <c r="BE305" s="5" t="b">
        <v>0</v>
      </c>
      <c r="BF305" s="5" t="b">
        <v>0</v>
      </c>
      <c r="BG305" s="5" t="b">
        <v>0</v>
      </c>
      <c r="BH305" s="5" t="b">
        <v>1</v>
      </c>
      <c r="BI305" s="5" t="b">
        <v>1</v>
      </c>
      <c r="BJ305" s="5" t="b">
        <v>1</v>
      </c>
      <c r="BK305" s="5" t="b">
        <v>1</v>
      </c>
      <c r="BL305" s="5" t="b">
        <v>1</v>
      </c>
      <c r="BQ305" s="5">
        <v>1257</v>
      </c>
      <c r="BR305" s="5">
        <v>1134.75</v>
      </c>
      <c r="BS305" s="5">
        <v>1047</v>
      </c>
      <c r="BT305" s="5">
        <v>1042.5</v>
      </c>
      <c r="BU305" s="5">
        <v>992.25</v>
      </c>
      <c r="BV305" s="5">
        <v>1052.25</v>
      </c>
      <c r="BW305" s="5">
        <v>917.25</v>
      </c>
      <c r="BX305" s="5">
        <v>894.75</v>
      </c>
      <c r="BY305" s="5">
        <v>759</v>
      </c>
      <c r="BZ305" s="5">
        <v>656.25</v>
      </c>
      <c r="CA305" s="5">
        <v>430.5</v>
      </c>
      <c r="CB305" s="5">
        <v>120</v>
      </c>
      <c r="CC305" s="5">
        <v>481.5</v>
      </c>
      <c r="CD305" s="5">
        <v>390</v>
      </c>
      <c r="CE305" s="5">
        <v>543.75</v>
      </c>
      <c r="CG305" s="5">
        <v>19</v>
      </c>
      <c r="CH305" s="5">
        <v>15</v>
      </c>
      <c r="CI305" s="5">
        <v>19</v>
      </c>
      <c r="CJ305" s="5">
        <v>21</v>
      </c>
      <c r="CK305" s="5">
        <v>20</v>
      </c>
      <c r="CL305" s="5">
        <v>23</v>
      </c>
      <c r="CM305" s="5">
        <v>25</v>
      </c>
      <c r="CN305" s="5">
        <v>21</v>
      </c>
      <c r="CO305" s="5">
        <v>24</v>
      </c>
      <c r="CP305" s="5">
        <v>23</v>
      </c>
      <c r="CQ305" s="5">
        <v>28</v>
      </c>
      <c r="CR305" s="5">
        <v>26</v>
      </c>
      <c r="CS305" s="5">
        <v>26</v>
      </c>
      <c r="CT305" s="5">
        <v>25</v>
      </c>
      <c r="CU305" s="5">
        <v>29</v>
      </c>
      <c r="CW305" s="5">
        <f t="shared" si="3"/>
        <v>29</v>
      </c>
      <c r="CZ305" s="5">
        <f t="shared" si="4"/>
        <v>15</v>
      </c>
      <c r="DA305" s="5" t="str" cm="1">
        <f t="array" ref="DA305">_xlfn.CHOOSECOLS(_xlfn.ANCHORARRAY($AH$298),MATCH(CW305,CG305:CU305))</f>
        <v>Invercargill</v>
      </c>
    </row>
    <row r="306" spans="2:105" ht="22.5" customHeight="1">
      <c r="B306" s="11">
        <v>106</v>
      </c>
      <c r="C306" s="11">
        <v>7</v>
      </c>
      <c r="D306" s="18">
        <v>11</v>
      </c>
      <c r="E306" s="34" t="s">
        <v>218</v>
      </c>
      <c r="F306" s="37"/>
      <c r="G306" s="17" t="s">
        <v>78</v>
      </c>
      <c r="H306" s="17" t="s">
        <v>127</v>
      </c>
      <c r="I306" s="3" t="str">
        <v>North Island</v>
      </c>
      <c r="J306" s="3" cm="1">
        <f t="array" ref="J306:M306">_xlfn.XLOOKUP(H306,Families!$B$6:$B$25,_xlfn.ANCHORARRAY(Families!$I$6))</f>
        <v>2</v>
      </c>
      <c r="K306" s="3">
        <v>1</v>
      </c>
      <c r="L306" s="3">
        <v>9</v>
      </c>
      <c r="M306" s="3">
        <v>8</v>
      </c>
      <c r="O306" s="5" cm="1">
        <f t="array" ref="O306:X306">_xlfn.SEQUENCE(1,10,1,1)</f>
        <v>1</v>
      </c>
      <c r="P306" s="5">
        <v>2</v>
      </c>
      <c r="Q306" s="5">
        <v>3</v>
      </c>
      <c r="R306" s="5">
        <v>4</v>
      </c>
      <c r="S306" s="5">
        <v>5</v>
      </c>
      <c r="T306" s="5">
        <v>6</v>
      </c>
      <c r="U306" s="5">
        <v>7</v>
      </c>
      <c r="V306" s="5">
        <v>8</v>
      </c>
      <c r="W306" s="5">
        <v>9</v>
      </c>
      <c r="X306" s="5">
        <v>10</v>
      </c>
      <c r="AA306" s="5" cm="1">
        <f t="array" ref="AA306:AF306">_xlfn._xlws.FILTER(_xlfn.ANCHORARRAY(O306), COUNTIF(_xlfn.ANCHORARRAY(J306),_xlfn.ANCHORARRAY(O306))=0)</f>
        <v>3</v>
      </c>
      <c r="AB306" s="5">
        <v>4</v>
      </c>
      <c r="AC306" s="5">
        <v>5</v>
      </c>
      <c r="AD306" s="5">
        <v>6</v>
      </c>
      <c r="AE306" s="5">
        <v>7</v>
      </c>
      <c r="AF306" s="5">
        <v>10</v>
      </c>
      <c r="AH306" s="3" cm="1">
        <f t="array" ref="AH306">SUM(_xlfn.CHOOSECOLS(_xlfn.XLOOKUP(AH$298,Destinations!$B$6:$B$20,Destinations!$C$6:$L$20,,0,1),_xlfn.ANCHORARRAY($J306))*$L$154:$O$154) + SUM(_xlfn.CHOOSECOLS(_xlfn.XLOOKUP(AH$298,Destinations!$B$6:$B$20,Destinations!$C$6:$L$20,,0,1),_xlfn.ANCHORARRAY($AA306))*$P$154:$U$154)</f>
        <v>32.700000000000003</v>
      </c>
      <c r="AI306" s="3" cm="1">
        <f t="array" ref="AI306">SUM(_xlfn.CHOOSECOLS(_xlfn.XLOOKUP(AI$298,Destinations!$B$6:$B$20,Destinations!$C$6:$L$20,,0,1),_xlfn.ANCHORARRAY($J306))*$L$154:$O$154) + SUM(_xlfn.CHOOSECOLS(_xlfn.XLOOKUP(AI$298,Destinations!$B$6:$B$20,Destinations!$C$6:$L$20,,0,1),_xlfn.ANCHORARRAY($AA306))*$P$154:$U$154)</f>
        <v>30.6</v>
      </c>
      <c r="AJ306" s="3" cm="1">
        <f t="array" ref="AJ306">SUM(_xlfn.CHOOSECOLS(_xlfn.XLOOKUP(AJ$298,Destinations!$B$6:$B$20,Destinations!$C$6:$L$20,,0,1),_xlfn.ANCHORARRAY($J306))*$L$154:$O$154) + SUM(_xlfn.CHOOSECOLS(_xlfn.XLOOKUP(AJ$298,Destinations!$B$6:$B$20,Destinations!$C$6:$L$20,,0,1),_xlfn.ANCHORARRAY($AA306))*$P$154:$U$154)</f>
        <v>31.8</v>
      </c>
      <c r="AK306" s="3" cm="1">
        <f t="array" ref="AK306">SUM(_xlfn.CHOOSECOLS(_xlfn.XLOOKUP(AK$298,Destinations!$B$6:$B$20,Destinations!$C$6:$L$20,,0,1),_xlfn.ANCHORARRAY($J306))*$L$154:$O$154) + SUM(_xlfn.CHOOSECOLS(_xlfn.XLOOKUP(AK$298,Destinations!$B$6:$B$20,Destinations!$C$6:$L$20,,0,1),_xlfn.ANCHORARRAY($AA306))*$P$154:$U$154)</f>
        <v>31.900000000000002</v>
      </c>
      <c r="AL306" s="3" cm="1">
        <f t="array" ref="AL306">SUM(_xlfn.CHOOSECOLS(_xlfn.XLOOKUP(AL$298,Destinations!$B$6:$B$20,Destinations!$C$6:$L$20,,0,1),_xlfn.ANCHORARRAY($J306))*$L$154:$O$154) + SUM(_xlfn.CHOOSECOLS(_xlfn.XLOOKUP(AL$298,Destinations!$B$6:$B$20,Destinations!$C$6:$L$20,,0,1),_xlfn.ANCHORARRAY($AA306))*$P$154:$U$154)</f>
        <v>32.1</v>
      </c>
      <c r="AM306" s="3" cm="1">
        <f t="array" ref="AM306">SUM(_xlfn.CHOOSECOLS(_xlfn.XLOOKUP(AM$298,Destinations!$B$6:$B$20,Destinations!$C$6:$L$20,,0,1),_xlfn.ANCHORARRAY($J306))*$L$154:$O$154) + SUM(_xlfn.CHOOSECOLS(_xlfn.XLOOKUP(AM$298,Destinations!$B$6:$B$20,Destinations!$C$6:$L$20,,0,1),_xlfn.ANCHORARRAY($AA306))*$P$154:$U$154)</f>
        <v>33.1</v>
      </c>
      <c r="AN306" s="3" cm="1">
        <f t="array" ref="AN306">SUM(_xlfn.CHOOSECOLS(_xlfn.XLOOKUP(AN$298,Destinations!$B$6:$B$20,Destinations!$C$6:$L$20,,0,1),_xlfn.ANCHORARRAY($J306))*$L$154:$O$154) + SUM(_xlfn.CHOOSECOLS(_xlfn.XLOOKUP(AN$298,Destinations!$B$6:$B$20,Destinations!$C$6:$L$20,,0,1),_xlfn.ANCHORARRAY($AA306))*$P$154:$U$154)</f>
        <v>30.700000000000003</v>
      </c>
      <c r="AO306" s="3" cm="1">
        <f t="array" ref="AO306">SUM(_xlfn.CHOOSECOLS(_xlfn.XLOOKUP(AO$298,Destinations!$B$6:$B$20,Destinations!$C$6:$L$20,,0,1),_xlfn.ANCHORARRAY($J306))*$L$154:$O$154) + SUM(_xlfn.CHOOSECOLS(_xlfn.XLOOKUP(AO$298,Destinations!$B$6:$B$20,Destinations!$C$6:$L$20,,0,1),_xlfn.ANCHORARRAY($AA306))*$P$154:$U$154)</f>
        <v>36.099999999999994</v>
      </c>
      <c r="AP306" s="3" cm="1">
        <f t="array" ref="AP306">SUM(_xlfn.CHOOSECOLS(_xlfn.XLOOKUP(AP$298,Destinations!$B$6:$B$20,Destinations!$C$6:$L$20,,0,1),_xlfn.ANCHORARRAY($J306))*$L$154:$O$154) + SUM(_xlfn.CHOOSECOLS(_xlfn.XLOOKUP(AP$298,Destinations!$B$6:$B$20,Destinations!$C$6:$L$20,,0,1),_xlfn.ANCHORARRAY($AA306))*$P$154:$U$154)</f>
        <v>30.9</v>
      </c>
      <c r="AQ306" s="3" cm="1">
        <f t="array" ref="AQ306">SUM(_xlfn.CHOOSECOLS(_xlfn.XLOOKUP(AQ$298,Destinations!$B$6:$B$20,Destinations!$C$6:$L$20,,0,1),_xlfn.ANCHORARRAY($J306))*$L$154:$O$154) + SUM(_xlfn.CHOOSECOLS(_xlfn.XLOOKUP(AQ$298,Destinations!$B$6:$B$20,Destinations!$C$6:$L$20,,0,1),_xlfn.ANCHORARRAY($AA306))*$P$154:$U$154)</f>
        <v>28.700000000000003</v>
      </c>
      <c r="AR306" s="3" cm="1">
        <f t="array" ref="AR306">SUM(_xlfn.CHOOSECOLS(_xlfn.XLOOKUP(AR$298,Destinations!$B$6:$B$20,Destinations!$C$6:$L$20,,0,1),_xlfn.ANCHORARRAY($J306))*$L$154:$O$154) + SUM(_xlfn.CHOOSECOLS(_xlfn.XLOOKUP(AR$298,Destinations!$B$6:$B$20,Destinations!$C$6:$L$20,,0,1),_xlfn.ANCHORARRAY($AA306))*$P$154:$U$154)</f>
        <v>31.800000000000004</v>
      </c>
      <c r="AS306" s="3" cm="1">
        <f t="array" ref="AS306">SUM(_xlfn.CHOOSECOLS(_xlfn.XLOOKUP(AS$298,Destinations!$B$6:$B$20,Destinations!$C$6:$L$20,,0,1),_xlfn.ANCHORARRAY($J306))*$L$154:$O$154) + SUM(_xlfn.CHOOSECOLS(_xlfn.XLOOKUP(AS$298,Destinations!$B$6:$B$20,Destinations!$C$6:$L$20,,0,1),_xlfn.ANCHORARRAY($AA306))*$P$154:$U$154)</f>
        <v>29</v>
      </c>
      <c r="AT306" s="3" cm="1">
        <f t="array" ref="AT306">SUM(_xlfn.CHOOSECOLS(_xlfn.XLOOKUP(AT$298,Destinations!$B$6:$B$20,Destinations!$C$6:$L$20,,0,1),_xlfn.ANCHORARRAY($J306))*$L$154:$O$154) + SUM(_xlfn.CHOOSECOLS(_xlfn.XLOOKUP(AT$298,Destinations!$B$6:$B$20,Destinations!$C$6:$L$20,,0,1),_xlfn.ANCHORARRAY($AA306))*$P$154:$U$154)</f>
        <v>33.9</v>
      </c>
      <c r="AU306" s="3" cm="1">
        <f t="array" ref="AU306">SUM(_xlfn.CHOOSECOLS(_xlfn.XLOOKUP(AU$298,Destinations!$B$6:$B$20,Destinations!$C$6:$L$20,,0,1),_xlfn.ANCHORARRAY($J306))*$L$154:$O$154) + SUM(_xlfn.CHOOSECOLS(_xlfn.XLOOKUP(AU$298,Destinations!$B$6:$B$20,Destinations!$C$6:$L$20,,0,1),_xlfn.ANCHORARRAY($AA306))*$P$154:$U$154)</f>
        <v>29.6</v>
      </c>
      <c r="AV306" s="3" cm="1">
        <f t="array" ref="AV306">SUM(_xlfn.CHOOSECOLS(_xlfn.XLOOKUP(AV$298,Destinations!$B$6:$B$20,Destinations!$C$6:$L$20,,0,1),_xlfn.ANCHORARRAY($J306))*$L$154:$O$154) + SUM(_xlfn.CHOOSECOLS(_xlfn.XLOOKUP(AV$298,Destinations!$B$6:$B$20,Destinations!$C$6:$L$20,,0,1),_xlfn.ANCHORARRAY($AA306))*$P$154:$U$154)</f>
        <v>31.800000000000004</v>
      </c>
      <c r="AX306" s="5" t="b" cm="1">
        <f t="array" ref="AX306:BL306">IFERROR(_xlfn.XLOOKUP(_xlfn.ANCHORARRAY($AH$298),Distances!$N$11:$N$20,Distances!$M$11:$M$20,, 0, 1), "South Island")=I306</f>
        <v>1</v>
      </c>
      <c r="AY306" s="5" t="b">
        <v>1</v>
      </c>
      <c r="AZ306" s="5" t="b">
        <v>1</v>
      </c>
      <c r="BA306" s="5" t="b">
        <v>1</v>
      </c>
      <c r="BB306" s="5" t="b">
        <v>1</v>
      </c>
      <c r="BC306" s="5" t="b">
        <v>1</v>
      </c>
      <c r="BD306" s="5" t="b">
        <v>1</v>
      </c>
      <c r="BE306" s="5" t="b">
        <v>1</v>
      </c>
      <c r="BF306" s="5" t="b">
        <v>1</v>
      </c>
      <c r="BG306" s="5" t="b">
        <v>1</v>
      </c>
      <c r="BH306" s="5" t="b">
        <v>0</v>
      </c>
      <c r="BI306" s="5" t="b">
        <v>0</v>
      </c>
      <c r="BJ306" s="5" t="b">
        <v>0</v>
      </c>
      <c r="BK306" s="5" t="b">
        <v>0</v>
      </c>
      <c r="BL306" s="5" t="b">
        <v>0</v>
      </c>
      <c r="BQ306" s="5">
        <v>734.25</v>
      </c>
      <c r="BR306" s="5">
        <v>615</v>
      </c>
      <c r="BS306" s="5">
        <v>514.5</v>
      </c>
      <c r="BT306" s="5">
        <v>510</v>
      </c>
      <c r="BU306" s="5">
        <v>459.75</v>
      </c>
      <c r="BV306" s="5">
        <v>519.75</v>
      </c>
      <c r="BW306" s="5">
        <v>384.75</v>
      </c>
      <c r="BX306" s="5">
        <v>362.25</v>
      </c>
      <c r="BY306" s="5">
        <v>226.5</v>
      </c>
      <c r="BZ306" s="5">
        <v>120</v>
      </c>
      <c r="CA306" s="5">
        <v>485.25</v>
      </c>
      <c r="CB306" s="5">
        <v>656.25</v>
      </c>
      <c r="CC306" s="5">
        <v>1014</v>
      </c>
      <c r="CD306" s="5">
        <v>922.5</v>
      </c>
      <c r="CE306" s="5">
        <v>1076.25</v>
      </c>
      <c r="CG306" s="5">
        <v>25</v>
      </c>
      <c r="CH306" s="5">
        <v>24</v>
      </c>
      <c r="CI306" s="5">
        <v>27</v>
      </c>
      <c r="CJ306" s="5">
        <v>27</v>
      </c>
      <c r="CK306" s="5">
        <v>28</v>
      </c>
      <c r="CL306" s="5">
        <v>28</v>
      </c>
      <c r="CM306" s="5">
        <v>27</v>
      </c>
      <c r="CN306" s="5">
        <v>32</v>
      </c>
      <c r="CO306" s="5">
        <v>29</v>
      </c>
      <c r="CP306" s="5">
        <v>28</v>
      </c>
      <c r="CQ306" s="5">
        <v>27</v>
      </c>
      <c r="CR306" s="5">
        <v>22</v>
      </c>
      <c r="CS306" s="5">
        <v>24</v>
      </c>
      <c r="CT306" s="5">
        <v>20</v>
      </c>
      <c r="CU306" s="5">
        <v>21</v>
      </c>
      <c r="CW306" s="5">
        <f t="shared" si="3"/>
        <v>32</v>
      </c>
      <c r="CZ306" s="5">
        <f t="shared" si="4"/>
        <v>8</v>
      </c>
      <c r="DA306" s="5" t="str" cm="1">
        <f t="array" ref="DA306">_xlfn.CHOOSECOLS(_xlfn.ANCHORARRAY($AH$298),MATCH(CW306,CG306:CU306))</f>
        <v>Napier</v>
      </c>
    </row>
    <row r="307" spans="2:105" ht="22.5" customHeight="1">
      <c r="B307" s="11">
        <v>107</v>
      </c>
      <c r="C307" s="11">
        <v>7</v>
      </c>
      <c r="D307" s="18">
        <v>11</v>
      </c>
      <c r="E307" s="34" t="s">
        <v>218</v>
      </c>
      <c r="F307" s="37"/>
      <c r="G307" s="17" t="s">
        <v>78</v>
      </c>
      <c r="H307" s="17" t="s">
        <v>122</v>
      </c>
      <c r="I307" s="3" t="str">
        <v>North Island</v>
      </c>
      <c r="J307" s="3" cm="1">
        <f t="array" ref="J307:M307">_xlfn.XLOOKUP(H307,Families!$B$6:$B$25,_xlfn.ANCHORARRAY(Families!$I$6))</f>
        <v>9</v>
      </c>
      <c r="K307" s="3">
        <v>7</v>
      </c>
      <c r="L307" s="3">
        <v>1</v>
      </c>
      <c r="M307" s="3">
        <v>10</v>
      </c>
      <c r="O307" s="5" cm="1">
        <f t="array" ref="O307:X307">_xlfn.SEQUENCE(1,10,1,1)</f>
        <v>1</v>
      </c>
      <c r="P307" s="5">
        <v>2</v>
      </c>
      <c r="Q307" s="5">
        <v>3</v>
      </c>
      <c r="R307" s="5">
        <v>4</v>
      </c>
      <c r="S307" s="5">
        <v>5</v>
      </c>
      <c r="T307" s="5">
        <v>6</v>
      </c>
      <c r="U307" s="5">
        <v>7</v>
      </c>
      <c r="V307" s="5">
        <v>8</v>
      </c>
      <c r="W307" s="5">
        <v>9</v>
      </c>
      <c r="X307" s="5">
        <v>10</v>
      </c>
      <c r="AA307" s="5" cm="1">
        <f t="array" ref="AA307:AF307">_xlfn._xlws.FILTER(_xlfn.ANCHORARRAY(O307), COUNTIF(_xlfn.ANCHORARRAY(J307),_xlfn.ANCHORARRAY(O307))=0)</f>
        <v>2</v>
      </c>
      <c r="AB307" s="5">
        <v>3</v>
      </c>
      <c r="AC307" s="5">
        <v>4</v>
      </c>
      <c r="AD307" s="5">
        <v>5</v>
      </c>
      <c r="AE307" s="5">
        <v>6</v>
      </c>
      <c r="AF307" s="5">
        <v>8</v>
      </c>
      <c r="AH307" s="3" cm="1">
        <f t="array" ref="AH307">SUM(_xlfn.CHOOSECOLS(_xlfn.XLOOKUP(AH$298,Destinations!$B$6:$B$20,Destinations!$C$6:$L$20,,0,1),_xlfn.ANCHORARRAY($J307))*$L$154:$O$154) + SUM(_xlfn.CHOOSECOLS(_xlfn.XLOOKUP(AH$298,Destinations!$B$6:$B$20,Destinations!$C$6:$L$20,,0,1),_xlfn.ANCHORARRAY($AA307))*$P$154:$U$154)</f>
        <v>31</v>
      </c>
      <c r="AI307" s="3" cm="1">
        <f t="array" ref="AI307">SUM(_xlfn.CHOOSECOLS(_xlfn.XLOOKUP(AI$298,Destinations!$B$6:$B$20,Destinations!$C$6:$L$20,,0,1),_xlfn.ANCHORARRAY($J307))*$L$154:$O$154) + SUM(_xlfn.CHOOSECOLS(_xlfn.XLOOKUP(AI$298,Destinations!$B$6:$B$20,Destinations!$C$6:$L$20,,0,1),_xlfn.ANCHORARRAY($AA307))*$P$154:$U$154)</f>
        <v>27.8</v>
      </c>
      <c r="AJ307" s="3" cm="1">
        <f t="array" ref="AJ307">SUM(_xlfn.CHOOSECOLS(_xlfn.XLOOKUP(AJ$298,Destinations!$B$6:$B$20,Destinations!$C$6:$L$20,,0,1),_xlfn.ANCHORARRAY($J307))*$L$154:$O$154) + SUM(_xlfn.CHOOSECOLS(_xlfn.XLOOKUP(AJ$298,Destinations!$B$6:$B$20,Destinations!$C$6:$L$20,,0,1),_xlfn.ANCHORARRAY($AA307))*$P$154:$U$154)</f>
        <v>27.9</v>
      </c>
      <c r="AK307" s="3" cm="1">
        <f t="array" ref="AK307">SUM(_xlfn.CHOOSECOLS(_xlfn.XLOOKUP(AK$298,Destinations!$B$6:$B$20,Destinations!$C$6:$L$20,,0,1),_xlfn.ANCHORARRAY($J307))*$L$154:$O$154) + SUM(_xlfn.CHOOSECOLS(_xlfn.XLOOKUP(AK$298,Destinations!$B$6:$B$20,Destinations!$C$6:$L$20,,0,1),_xlfn.ANCHORARRAY($AA307))*$P$154:$U$154)</f>
        <v>31.799999999999997</v>
      </c>
      <c r="AL307" s="3" cm="1">
        <f t="array" ref="AL307">SUM(_xlfn.CHOOSECOLS(_xlfn.XLOOKUP(AL$298,Destinations!$B$6:$B$20,Destinations!$C$6:$L$20,,0,1),_xlfn.ANCHORARRAY($J307))*$L$154:$O$154) + SUM(_xlfn.CHOOSECOLS(_xlfn.XLOOKUP(AL$298,Destinations!$B$6:$B$20,Destinations!$C$6:$L$20,,0,1),_xlfn.ANCHORARRAY($AA307))*$P$154:$U$154)</f>
        <v>31.7</v>
      </c>
      <c r="AM307" s="3" cm="1">
        <f t="array" ref="AM307">SUM(_xlfn.CHOOSECOLS(_xlfn.XLOOKUP(AM$298,Destinations!$B$6:$B$20,Destinations!$C$6:$L$20,,0,1),_xlfn.ANCHORARRAY($J307))*$L$154:$O$154) + SUM(_xlfn.CHOOSECOLS(_xlfn.XLOOKUP(AM$298,Destinations!$B$6:$B$20,Destinations!$C$6:$L$20,,0,1),_xlfn.ANCHORARRAY($AA307))*$P$154:$U$154)</f>
        <v>34</v>
      </c>
      <c r="AN307" s="3" cm="1">
        <f t="array" ref="AN307">SUM(_xlfn.CHOOSECOLS(_xlfn.XLOOKUP(AN$298,Destinations!$B$6:$B$20,Destinations!$C$6:$L$20,,0,1),_xlfn.ANCHORARRAY($J307))*$L$154:$O$154) + SUM(_xlfn.CHOOSECOLS(_xlfn.XLOOKUP(AN$298,Destinations!$B$6:$B$20,Destinations!$C$6:$L$20,,0,1),_xlfn.ANCHORARRAY($AA307))*$P$154:$U$154)</f>
        <v>31.900000000000002</v>
      </c>
      <c r="AO307" s="3" cm="1">
        <f t="array" ref="AO307">SUM(_xlfn.CHOOSECOLS(_xlfn.XLOOKUP(AO$298,Destinations!$B$6:$B$20,Destinations!$C$6:$L$20,,0,1),_xlfn.ANCHORARRAY($J307))*$L$154:$O$154) + SUM(_xlfn.CHOOSECOLS(_xlfn.XLOOKUP(AO$298,Destinations!$B$6:$B$20,Destinations!$C$6:$L$20,,0,1),_xlfn.ANCHORARRAY($AA307))*$P$154:$U$154)</f>
        <v>35.299999999999997</v>
      </c>
      <c r="AP307" s="3" cm="1">
        <f t="array" ref="AP307">SUM(_xlfn.CHOOSECOLS(_xlfn.XLOOKUP(AP$298,Destinations!$B$6:$B$20,Destinations!$C$6:$L$20,,0,1),_xlfn.ANCHORARRAY($J307))*$L$154:$O$154) + SUM(_xlfn.CHOOSECOLS(_xlfn.XLOOKUP(AP$298,Destinations!$B$6:$B$20,Destinations!$C$6:$L$20,,0,1),_xlfn.ANCHORARRAY($AA307))*$P$154:$U$154)</f>
        <v>30.700000000000003</v>
      </c>
      <c r="AQ307" s="3" cm="1">
        <f t="array" ref="AQ307">SUM(_xlfn.CHOOSECOLS(_xlfn.XLOOKUP(AQ$298,Destinations!$B$6:$B$20,Destinations!$C$6:$L$20,,0,1),_xlfn.ANCHORARRAY($J307))*$L$154:$O$154) + SUM(_xlfn.CHOOSECOLS(_xlfn.XLOOKUP(AQ$298,Destinations!$B$6:$B$20,Destinations!$C$6:$L$20,,0,1),_xlfn.ANCHORARRAY($AA307))*$P$154:$U$154)</f>
        <v>29.200000000000003</v>
      </c>
      <c r="AR307" s="3" cm="1">
        <f t="array" ref="AR307">SUM(_xlfn.CHOOSECOLS(_xlfn.XLOOKUP(AR$298,Destinations!$B$6:$B$20,Destinations!$C$6:$L$20,,0,1),_xlfn.ANCHORARRAY($J307))*$L$154:$O$154) + SUM(_xlfn.CHOOSECOLS(_xlfn.XLOOKUP(AR$298,Destinations!$B$6:$B$20,Destinations!$C$6:$L$20,,0,1),_xlfn.ANCHORARRAY($AA307))*$P$154:$U$154)</f>
        <v>29.3</v>
      </c>
      <c r="AS307" s="3" cm="1">
        <f t="array" ref="AS307">SUM(_xlfn.CHOOSECOLS(_xlfn.XLOOKUP(AS$298,Destinations!$B$6:$B$20,Destinations!$C$6:$L$20,,0,1),_xlfn.ANCHORARRAY($J307))*$L$154:$O$154) + SUM(_xlfn.CHOOSECOLS(_xlfn.XLOOKUP(AS$298,Destinations!$B$6:$B$20,Destinations!$C$6:$L$20,,0,1),_xlfn.ANCHORARRAY($AA307))*$P$154:$U$154)</f>
        <v>29</v>
      </c>
      <c r="AT307" s="3" cm="1">
        <f t="array" ref="AT307">SUM(_xlfn.CHOOSECOLS(_xlfn.XLOOKUP(AT$298,Destinations!$B$6:$B$20,Destinations!$C$6:$L$20,,0,1),_xlfn.ANCHORARRAY($J307))*$L$154:$O$154) + SUM(_xlfn.CHOOSECOLS(_xlfn.XLOOKUP(AT$298,Destinations!$B$6:$B$20,Destinations!$C$6:$L$20,,0,1),_xlfn.ANCHORARRAY($AA307))*$P$154:$U$154)</f>
        <v>29.500000000000004</v>
      </c>
      <c r="AU307" s="3" cm="1">
        <f t="array" ref="AU307">SUM(_xlfn.CHOOSECOLS(_xlfn.XLOOKUP(AU$298,Destinations!$B$6:$B$20,Destinations!$C$6:$L$20,,0,1),_xlfn.ANCHORARRAY($J307))*$L$154:$O$154) + SUM(_xlfn.CHOOSECOLS(_xlfn.XLOOKUP(AU$298,Destinations!$B$6:$B$20,Destinations!$C$6:$L$20,,0,1),_xlfn.ANCHORARRAY($AA307))*$P$154:$U$154)</f>
        <v>30</v>
      </c>
      <c r="AV307" s="3" cm="1">
        <f t="array" ref="AV307">SUM(_xlfn.CHOOSECOLS(_xlfn.XLOOKUP(AV$298,Destinations!$B$6:$B$20,Destinations!$C$6:$L$20,,0,1),_xlfn.ANCHORARRAY($J307))*$L$154:$O$154) + SUM(_xlfn.CHOOSECOLS(_xlfn.XLOOKUP(AV$298,Destinations!$B$6:$B$20,Destinations!$C$6:$L$20,,0,1),_xlfn.ANCHORARRAY($AA307))*$P$154:$U$154)</f>
        <v>34.9</v>
      </c>
      <c r="AX307" s="5" t="b" cm="1">
        <f t="array" ref="AX307:BL307">IFERROR(_xlfn.XLOOKUP(_xlfn.ANCHORARRAY($AH$298),Distances!$N$11:$N$20,Distances!$M$11:$M$20,, 0, 1), "South Island")=I307</f>
        <v>1</v>
      </c>
      <c r="AY307" s="5" t="b">
        <v>1</v>
      </c>
      <c r="AZ307" s="5" t="b">
        <v>1</v>
      </c>
      <c r="BA307" s="5" t="b">
        <v>1</v>
      </c>
      <c r="BB307" s="5" t="b">
        <v>1</v>
      </c>
      <c r="BC307" s="5" t="b">
        <v>1</v>
      </c>
      <c r="BD307" s="5" t="b">
        <v>1</v>
      </c>
      <c r="BE307" s="5" t="b">
        <v>1</v>
      </c>
      <c r="BF307" s="5" t="b">
        <v>1</v>
      </c>
      <c r="BG307" s="5" t="b">
        <v>1</v>
      </c>
      <c r="BH307" s="5" t="b">
        <v>0</v>
      </c>
      <c r="BI307" s="5" t="b">
        <v>0</v>
      </c>
      <c r="BJ307" s="5" t="b">
        <v>0</v>
      </c>
      <c r="BK307" s="5" t="b">
        <v>0</v>
      </c>
      <c r="BL307" s="5" t="b">
        <v>0</v>
      </c>
      <c r="BQ307" s="5">
        <v>734.25</v>
      </c>
      <c r="BR307" s="5">
        <v>615</v>
      </c>
      <c r="BS307" s="5">
        <v>514.5</v>
      </c>
      <c r="BT307" s="5">
        <v>510</v>
      </c>
      <c r="BU307" s="5">
        <v>459.75</v>
      </c>
      <c r="BV307" s="5">
        <v>519.75</v>
      </c>
      <c r="BW307" s="5">
        <v>384.75</v>
      </c>
      <c r="BX307" s="5">
        <v>362.25</v>
      </c>
      <c r="BY307" s="5">
        <v>226.5</v>
      </c>
      <c r="BZ307" s="5">
        <v>120</v>
      </c>
      <c r="CA307" s="5">
        <v>485.25</v>
      </c>
      <c r="CB307" s="5">
        <v>656.25</v>
      </c>
      <c r="CC307" s="5">
        <v>1014</v>
      </c>
      <c r="CD307" s="5">
        <v>922.5</v>
      </c>
      <c r="CE307" s="5">
        <v>1076.25</v>
      </c>
      <c r="CG307" s="5">
        <v>24</v>
      </c>
      <c r="CH307" s="5">
        <v>22</v>
      </c>
      <c r="CI307" s="5">
        <v>23</v>
      </c>
      <c r="CJ307" s="5">
        <v>27</v>
      </c>
      <c r="CK307" s="5">
        <v>27</v>
      </c>
      <c r="CL307" s="5">
        <v>29</v>
      </c>
      <c r="CM307" s="5">
        <v>28</v>
      </c>
      <c r="CN307" s="5">
        <v>32</v>
      </c>
      <c r="CO307" s="5">
        <v>28</v>
      </c>
      <c r="CP307" s="5">
        <v>28</v>
      </c>
      <c r="CQ307" s="5">
        <v>24</v>
      </c>
      <c r="CR307" s="5">
        <v>22</v>
      </c>
      <c r="CS307" s="5">
        <v>19</v>
      </c>
      <c r="CT307" s="5">
        <v>21</v>
      </c>
      <c r="CU307" s="5">
        <v>24</v>
      </c>
      <c r="CW307" s="5">
        <f t="shared" si="3"/>
        <v>32</v>
      </c>
      <c r="CZ307" s="5">
        <f t="shared" si="4"/>
        <v>8</v>
      </c>
      <c r="DA307" s="5" t="str" cm="1">
        <f t="array" ref="DA307">_xlfn.CHOOSECOLS(_xlfn.ANCHORARRAY($AH$298),MATCH(CW307,CG307:CU307))</f>
        <v>Napier</v>
      </c>
    </row>
    <row r="308" spans="2:105" ht="22.5" customHeight="1">
      <c r="B308" s="11">
        <v>108</v>
      </c>
      <c r="C308" s="11">
        <v>7</v>
      </c>
      <c r="D308" s="18">
        <v>11</v>
      </c>
      <c r="E308" s="34" t="s">
        <v>219</v>
      </c>
      <c r="F308" s="37"/>
      <c r="G308" s="17" t="s">
        <v>149</v>
      </c>
      <c r="H308" s="17" t="s">
        <v>131</v>
      </c>
      <c r="I308" s="3" t="str">
        <v>South Island</v>
      </c>
      <c r="J308" s="3" cm="1">
        <f t="array" ref="J308:M308">_xlfn.XLOOKUP(H308,Families!$B$6:$B$25,_xlfn.ANCHORARRAY(Families!$I$6))</f>
        <v>9</v>
      </c>
      <c r="K308" s="3">
        <v>3</v>
      </c>
      <c r="L308" s="3">
        <v>1</v>
      </c>
      <c r="M308" s="3">
        <v>5</v>
      </c>
      <c r="O308" s="5" cm="1">
        <f t="array" ref="O308:X308">_xlfn.SEQUENCE(1,10,1,1)</f>
        <v>1</v>
      </c>
      <c r="P308" s="5">
        <v>2</v>
      </c>
      <c r="Q308" s="5">
        <v>3</v>
      </c>
      <c r="R308" s="5">
        <v>4</v>
      </c>
      <c r="S308" s="5">
        <v>5</v>
      </c>
      <c r="T308" s="5">
        <v>6</v>
      </c>
      <c r="U308" s="5">
        <v>7</v>
      </c>
      <c r="V308" s="5">
        <v>8</v>
      </c>
      <c r="W308" s="5">
        <v>9</v>
      </c>
      <c r="X308" s="5">
        <v>10</v>
      </c>
      <c r="AA308" s="5" cm="1">
        <f t="array" ref="AA308:AF308">_xlfn._xlws.FILTER(_xlfn.ANCHORARRAY(O308), COUNTIF(_xlfn.ANCHORARRAY(J308),_xlfn.ANCHORARRAY(O308))=0)</f>
        <v>2</v>
      </c>
      <c r="AB308" s="5">
        <v>4</v>
      </c>
      <c r="AC308" s="5">
        <v>6</v>
      </c>
      <c r="AD308" s="5">
        <v>7</v>
      </c>
      <c r="AE308" s="5">
        <v>8</v>
      </c>
      <c r="AF308" s="5">
        <v>10</v>
      </c>
      <c r="AH308" s="3" cm="1">
        <f t="array" ref="AH308">SUM(_xlfn.CHOOSECOLS(_xlfn.XLOOKUP(AH$298,Destinations!$B$6:$B$20,Destinations!$C$6:$L$20,,0,1),_xlfn.ANCHORARRAY($J308))*$L$154:$O$154) + SUM(_xlfn.CHOOSECOLS(_xlfn.XLOOKUP(AH$298,Destinations!$B$6:$B$20,Destinations!$C$6:$L$20,,0,1),_xlfn.ANCHORARRAY($AA308))*$P$154:$U$154)</f>
        <v>30.4</v>
      </c>
      <c r="AI308" s="3" cm="1">
        <f t="array" ref="AI308">SUM(_xlfn.CHOOSECOLS(_xlfn.XLOOKUP(AI$298,Destinations!$B$6:$B$20,Destinations!$C$6:$L$20,,0,1),_xlfn.ANCHORARRAY($J308))*$L$154:$O$154) + SUM(_xlfn.CHOOSECOLS(_xlfn.XLOOKUP(AI$298,Destinations!$B$6:$B$20,Destinations!$C$6:$L$20,,0,1),_xlfn.ANCHORARRAY($AA308))*$P$154:$U$154)</f>
        <v>27.400000000000002</v>
      </c>
      <c r="AJ308" s="3" cm="1">
        <f t="array" ref="AJ308">SUM(_xlfn.CHOOSECOLS(_xlfn.XLOOKUP(AJ$298,Destinations!$B$6:$B$20,Destinations!$C$6:$L$20,,0,1),_xlfn.ANCHORARRAY($J308))*$L$154:$O$154) + SUM(_xlfn.CHOOSECOLS(_xlfn.XLOOKUP(AJ$298,Destinations!$B$6:$B$20,Destinations!$C$6:$L$20,,0,1),_xlfn.ANCHORARRAY($AA308))*$P$154:$U$154)</f>
        <v>28.8</v>
      </c>
      <c r="AK308" s="3" cm="1">
        <f t="array" ref="AK308">SUM(_xlfn.CHOOSECOLS(_xlfn.XLOOKUP(AK$298,Destinations!$B$6:$B$20,Destinations!$C$6:$L$20,,0,1),_xlfn.ANCHORARRAY($J308))*$L$154:$O$154) + SUM(_xlfn.CHOOSECOLS(_xlfn.XLOOKUP(AK$298,Destinations!$B$6:$B$20,Destinations!$C$6:$L$20,,0,1),_xlfn.ANCHORARRAY($AA308))*$P$154:$U$154)</f>
        <v>31</v>
      </c>
      <c r="AL308" s="3" cm="1">
        <f t="array" ref="AL308">SUM(_xlfn.CHOOSECOLS(_xlfn.XLOOKUP(AL$298,Destinations!$B$6:$B$20,Destinations!$C$6:$L$20,,0,1),_xlfn.ANCHORARRAY($J308))*$L$154:$O$154) + SUM(_xlfn.CHOOSECOLS(_xlfn.XLOOKUP(AL$298,Destinations!$B$6:$B$20,Destinations!$C$6:$L$20,,0,1),_xlfn.ANCHORARRAY($AA308))*$P$154:$U$154)</f>
        <v>34.1</v>
      </c>
      <c r="AM308" s="3" cm="1">
        <f t="array" ref="AM308">SUM(_xlfn.CHOOSECOLS(_xlfn.XLOOKUP(AM$298,Destinations!$B$6:$B$20,Destinations!$C$6:$L$20,,0,1),_xlfn.ANCHORARRAY($J308))*$L$154:$O$154) + SUM(_xlfn.CHOOSECOLS(_xlfn.XLOOKUP(AM$298,Destinations!$B$6:$B$20,Destinations!$C$6:$L$20,,0,1),_xlfn.ANCHORARRAY($AA308))*$P$154:$U$154)</f>
        <v>31.5</v>
      </c>
      <c r="AN308" s="3" cm="1">
        <f t="array" ref="AN308">SUM(_xlfn.CHOOSECOLS(_xlfn.XLOOKUP(AN$298,Destinations!$B$6:$B$20,Destinations!$C$6:$L$20,,0,1),_xlfn.ANCHORARRAY($J308))*$L$154:$O$154) + SUM(_xlfn.CHOOSECOLS(_xlfn.XLOOKUP(AN$298,Destinations!$B$6:$B$20,Destinations!$C$6:$L$20,,0,1),_xlfn.ANCHORARRAY($AA308))*$P$154:$U$154)</f>
        <v>31.3</v>
      </c>
      <c r="AO308" s="3" cm="1">
        <f t="array" ref="AO308">SUM(_xlfn.CHOOSECOLS(_xlfn.XLOOKUP(AO$298,Destinations!$B$6:$B$20,Destinations!$C$6:$L$20,,0,1),_xlfn.ANCHORARRAY($J308))*$L$154:$O$154) + SUM(_xlfn.CHOOSECOLS(_xlfn.XLOOKUP(AO$298,Destinations!$B$6:$B$20,Destinations!$C$6:$L$20,,0,1),_xlfn.ANCHORARRAY($AA308))*$P$154:$U$154)</f>
        <v>35.6</v>
      </c>
      <c r="AP308" s="3" cm="1">
        <f t="array" ref="AP308">SUM(_xlfn.CHOOSECOLS(_xlfn.XLOOKUP(AP$298,Destinations!$B$6:$B$20,Destinations!$C$6:$L$20,,0,1),_xlfn.ANCHORARRAY($J308))*$L$154:$O$154) + SUM(_xlfn.CHOOSECOLS(_xlfn.XLOOKUP(AP$298,Destinations!$B$6:$B$20,Destinations!$C$6:$L$20,,0,1),_xlfn.ANCHORARRAY($AA308))*$P$154:$U$154)</f>
        <v>29.900000000000006</v>
      </c>
      <c r="AQ308" s="3" cm="1">
        <f t="array" ref="AQ308">SUM(_xlfn.CHOOSECOLS(_xlfn.XLOOKUP(AQ$298,Destinations!$B$6:$B$20,Destinations!$C$6:$L$20,,0,1),_xlfn.ANCHORARRAY($J308))*$L$154:$O$154) + SUM(_xlfn.CHOOSECOLS(_xlfn.XLOOKUP(AQ$298,Destinations!$B$6:$B$20,Destinations!$C$6:$L$20,,0,1),_xlfn.ANCHORARRAY($AA308))*$P$154:$U$154)</f>
        <v>27.6</v>
      </c>
      <c r="AR308" s="3" cm="1">
        <f t="array" ref="AR308">SUM(_xlfn.CHOOSECOLS(_xlfn.XLOOKUP(AR$298,Destinations!$B$6:$B$20,Destinations!$C$6:$L$20,,0,1),_xlfn.ANCHORARRAY($J308))*$L$154:$O$154) + SUM(_xlfn.CHOOSECOLS(_xlfn.XLOOKUP(AR$298,Destinations!$B$6:$B$20,Destinations!$C$6:$L$20,,0,1),_xlfn.ANCHORARRAY($AA308))*$P$154:$U$154)</f>
        <v>30.1</v>
      </c>
      <c r="AS308" s="3" cm="1">
        <f t="array" ref="AS308">SUM(_xlfn.CHOOSECOLS(_xlfn.XLOOKUP(AS$298,Destinations!$B$6:$B$20,Destinations!$C$6:$L$20,,0,1),_xlfn.ANCHORARRAY($J308))*$L$154:$O$154) + SUM(_xlfn.CHOOSECOLS(_xlfn.XLOOKUP(AS$298,Destinations!$B$6:$B$20,Destinations!$C$6:$L$20,,0,1),_xlfn.ANCHORARRAY($AA308))*$P$154:$U$154)</f>
        <v>27.8</v>
      </c>
      <c r="AT308" s="3" cm="1">
        <f t="array" ref="AT308">SUM(_xlfn.CHOOSECOLS(_xlfn.XLOOKUP(AT$298,Destinations!$B$6:$B$20,Destinations!$C$6:$L$20,,0,1),_xlfn.ANCHORARRAY($J308))*$L$154:$O$154) + SUM(_xlfn.CHOOSECOLS(_xlfn.XLOOKUP(AT$298,Destinations!$B$6:$B$20,Destinations!$C$6:$L$20,,0,1),_xlfn.ANCHORARRAY($AA308))*$P$154:$U$154)</f>
        <v>30.6</v>
      </c>
      <c r="AU308" s="3" cm="1">
        <f t="array" ref="AU308">SUM(_xlfn.CHOOSECOLS(_xlfn.XLOOKUP(AU$298,Destinations!$B$6:$B$20,Destinations!$C$6:$L$20,,0,1),_xlfn.ANCHORARRAY($J308))*$L$154:$O$154) + SUM(_xlfn.CHOOSECOLS(_xlfn.XLOOKUP(AU$298,Destinations!$B$6:$B$20,Destinations!$C$6:$L$20,,0,1),_xlfn.ANCHORARRAY($AA308))*$P$154:$U$154)</f>
        <v>30.599999999999998</v>
      </c>
      <c r="AV308" s="3" cm="1">
        <f t="array" ref="AV308">SUM(_xlfn.CHOOSECOLS(_xlfn.XLOOKUP(AV$298,Destinations!$B$6:$B$20,Destinations!$C$6:$L$20,,0,1),_xlfn.ANCHORARRAY($J308))*$L$154:$O$154) + SUM(_xlfn.CHOOSECOLS(_xlfn.XLOOKUP(AV$298,Destinations!$B$6:$B$20,Destinations!$C$6:$L$20,,0,1),_xlfn.ANCHORARRAY($AA308))*$P$154:$U$154)</f>
        <v>35.4</v>
      </c>
      <c r="AX308" s="5" t="b" cm="1">
        <f t="array" ref="AX308:BL308">IFERROR(_xlfn.XLOOKUP(_xlfn.ANCHORARRAY($AH$298),Distances!$N$11:$N$20,Distances!$M$11:$M$20,, 0, 1), "South Island")=I308</f>
        <v>0</v>
      </c>
      <c r="AY308" s="5" t="b">
        <v>0</v>
      </c>
      <c r="AZ308" s="5" t="b">
        <v>0</v>
      </c>
      <c r="BA308" s="5" t="b">
        <v>0</v>
      </c>
      <c r="BB308" s="5" t="b">
        <v>0</v>
      </c>
      <c r="BC308" s="5" t="b">
        <v>0</v>
      </c>
      <c r="BD308" s="5" t="b">
        <v>0</v>
      </c>
      <c r="BE308" s="5" t="b">
        <v>0</v>
      </c>
      <c r="BF308" s="5" t="b">
        <v>0</v>
      </c>
      <c r="BG308" s="5" t="b">
        <v>0</v>
      </c>
      <c r="BH308" s="5" t="b">
        <v>1</v>
      </c>
      <c r="BI308" s="5" t="b">
        <v>1</v>
      </c>
      <c r="BJ308" s="5" t="b">
        <v>1</v>
      </c>
      <c r="BK308" s="5" t="b">
        <v>1</v>
      </c>
      <c r="BL308" s="5" t="b">
        <v>1</v>
      </c>
      <c r="BQ308" s="5">
        <v>1257</v>
      </c>
      <c r="BR308" s="5">
        <v>1134.75</v>
      </c>
      <c r="BS308" s="5">
        <v>1047</v>
      </c>
      <c r="BT308" s="5">
        <v>1042.5</v>
      </c>
      <c r="BU308" s="5">
        <v>992.25</v>
      </c>
      <c r="BV308" s="5">
        <v>1052.25</v>
      </c>
      <c r="BW308" s="5">
        <v>917.25</v>
      </c>
      <c r="BX308" s="5">
        <v>894.75</v>
      </c>
      <c r="BY308" s="5">
        <v>759</v>
      </c>
      <c r="BZ308" s="5">
        <v>656.25</v>
      </c>
      <c r="CA308" s="5">
        <v>430.5</v>
      </c>
      <c r="CB308" s="5">
        <v>120</v>
      </c>
      <c r="CC308" s="5">
        <v>481.5</v>
      </c>
      <c r="CD308" s="5">
        <v>390</v>
      </c>
      <c r="CE308" s="5">
        <v>543.75</v>
      </c>
      <c r="CG308" s="5">
        <v>18</v>
      </c>
      <c r="CH308" s="5">
        <v>16</v>
      </c>
      <c r="CI308" s="5">
        <v>18</v>
      </c>
      <c r="CJ308" s="5">
        <v>21</v>
      </c>
      <c r="CK308" s="5">
        <v>24</v>
      </c>
      <c r="CL308" s="5">
        <v>21</v>
      </c>
      <c r="CM308" s="5">
        <v>22</v>
      </c>
      <c r="CN308" s="5">
        <v>27</v>
      </c>
      <c r="CO308" s="5">
        <v>22</v>
      </c>
      <c r="CP308" s="5">
        <v>21</v>
      </c>
      <c r="CQ308" s="5">
        <v>26</v>
      </c>
      <c r="CR308" s="5">
        <v>27</v>
      </c>
      <c r="CS308" s="5">
        <v>26</v>
      </c>
      <c r="CT308" s="5">
        <v>27</v>
      </c>
      <c r="CU308" s="5">
        <v>30</v>
      </c>
      <c r="CW308" s="5">
        <f t="shared" si="3"/>
        <v>30</v>
      </c>
      <c r="CZ308" s="5">
        <f t="shared" si="4"/>
        <v>15</v>
      </c>
      <c r="DA308" s="5" t="str" cm="1">
        <f t="array" ref="DA308">_xlfn.CHOOSECOLS(_xlfn.ANCHORARRAY($AH$298),MATCH(CW308,CG308:CU308))</f>
        <v>Invercargill</v>
      </c>
    </row>
    <row r="309" spans="2:105" ht="22.5" customHeight="1">
      <c r="B309" s="11">
        <v>109</v>
      </c>
      <c r="C309" s="11">
        <v>7</v>
      </c>
      <c r="D309" s="18">
        <v>11</v>
      </c>
      <c r="E309" s="34" t="s">
        <v>218</v>
      </c>
      <c r="F309" s="37"/>
      <c r="G309" s="17" t="s">
        <v>70</v>
      </c>
      <c r="H309" s="17" t="s">
        <v>132</v>
      </c>
      <c r="I309" s="3" t="str">
        <v>North Island</v>
      </c>
      <c r="J309" s="3" cm="1">
        <f t="array" ref="J309:M309">_xlfn.XLOOKUP(H309,Families!$B$6:$B$25,_xlfn.ANCHORARRAY(Families!$I$6))</f>
        <v>1</v>
      </c>
      <c r="K309" s="3">
        <v>2</v>
      </c>
      <c r="L309" s="3">
        <v>7</v>
      </c>
      <c r="M309" s="3">
        <v>9</v>
      </c>
      <c r="O309" s="5" cm="1">
        <f t="array" ref="O309:X309">_xlfn.SEQUENCE(1,10,1,1)</f>
        <v>1</v>
      </c>
      <c r="P309" s="5">
        <v>2</v>
      </c>
      <c r="Q309" s="5">
        <v>3</v>
      </c>
      <c r="R309" s="5">
        <v>4</v>
      </c>
      <c r="S309" s="5">
        <v>5</v>
      </c>
      <c r="T309" s="5">
        <v>6</v>
      </c>
      <c r="U309" s="5">
        <v>7</v>
      </c>
      <c r="V309" s="5">
        <v>8</v>
      </c>
      <c r="W309" s="5">
        <v>9</v>
      </c>
      <c r="X309" s="5">
        <v>10</v>
      </c>
      <c r="AA309" s="5" cm="1">
        <f t="array" ref="AA309:AF309">_xlfn._xlws.FILTER(_xlfn.ANCHORARRAY(O309), COUNTIF(_xlfn.ANCHORARRAY(J309),_xlfn.ANCHORARRAY(O309))=0)</f>
        <v>3</v>
      </c>
      <c r="AB309" s="5">
        <v>4</v>
      </c>
      <c r="AC309" s="5">
        <v>5</v>
      </c>
      <c r="AD309" s="5">
        <v>6</v>
      </c>
      <c r="AE309" s="5">
        <v>8</v>
      </c>
      <c r="AF309" s="5">
        <v>10</v>
      </c>
      <c r="AH309" s="3" cm="1">
        <f t="array" ref="AH309">SUM(_xlfn.CHOOSECOLS(_xlfn.XLOOKUP(AH$298,Destinations!$B$6:$B$20,Destinations!$C$6:$L$20,,0,1),_xlfn.ANCHORARRAY($J309))*$L$154:$O$154) + SUM(_xlfn.CHOOSECOLS(_xlfn.XLOOKUP(AH$298,Destinations!$B$6:$B$20,Destinations!$C$6:$L$20,,0,1),_xlfn.ANCHORARRAY($AA309))*$P$154:$U$154)</f>
        <v>32.200000000000003</v>
      </c>
      <c r="AI309" s="3" cm="1">
        <f t="array" ref="AI309">SUM(_xlfn.CHOOSECOLS(_xlfn.XLOOKUP(AI$298,Destinations!$B$6:$B$20,Destinations!$C$6:$L$20,,0,1),_xlfn.ANCHORARRAY($J309))*$L$154:$O$154) + SUM(_xlfn.CHOOSECOLS(_xlfn.XLOOKUP(AI$298,Destinations!$B$6:$B$20,Destinations!$C$6:$L$20,,0,1),_xlfn.ANCHORARRAY($AA309))*$P$154:$U$154)</f>
        <v>29.700000000000003</v>
      </c>
      <c r="AJ309" s="3" cm="1">
        <f t="array" ref="AJ309">SUM(_xlfn.CHOOSECOLS(_xlfn.XLOOKUP(AJ$298,Destinations!$B$6:$B$20,Destinations!$C$6:$L$20,,0,1),_xlfn.ANCHORARRAY($J309))*$L$154:$O$154) + SUM(_xlfn.CHOOSECOLS(_xlfn.XLOOKUP(AJ$298,Destinations!$B$6:$B$20,Destinations!$C$6:$L$20,,0,1),_xlfn.ANCHORARRAY($AA309))*$P$154:$U$154)</f>
        <v>30.7</v>
      </c>
      <c r="AK309" s="3" cm="1">
        <f t="array" ref="AK309">SUM(_xlfn.CHOOSECOLS(_xlfn.XLOOKUP(AK$298,Destinations!$B$6:$B$20,Destinations!$C$6:$L$20,,0,1),_xlfn.ANCHORARRAY($J309))*$L$154:$O$154) + SUM(_xlfn.CHOOSECOLS(_xlfn.XLOOKUP(AK$298,Destinations!$B$6:$B$20,Destinations!$C$6:$L$20,,0,1),_xlfn.ANCHORARRAY($AA309))*$P$154:$U$154)</f>
        <v>31.9</v>
      </c>
      <c r="AL309" s="3" cm="1">
        <f t="array" ref="AL309">SUM(_xlfn.CHOOSECOLS(_xlfn.XLOOKUP(AL$298,Destinations!$B$6:$B$20,Destinations!$C$6:$L$20,,0,1),_xlfn.ANCHORARRAY($J309))*$L$154:$O$154) + SUM(_xlfn.CHOOSECOLS(_xlfn.XLOOKUP(AL$298,Destinations!$B$6:$B$20,Destinations!$C$6:$L$20,,0,1),_xlfn.ANCHORARRAY($AA309))*$P$154:$U$154)</f>
        <v>32.299999999999997</v>
      </c>
      <c r="AM309" s="3" cm="1">
        <f t="array" ref="AM309">SUM(_xlfn.CHOOSECOLS(_xlfn.XLOOKUP(AM$298,Destinations!$B$6:$B$20,Destinations!$C$6:$L$20,,0,1),_xlfn.ANCHORARRAY($J309))*$L$154:$O$154) + SUM(_xlfn.CHOOSECOLS(_xlfn.XLOOKUP(AM$298,Destinations!$B$6:$B$20,Destinations!$C$6:$L$20,,0,1),_xlfn.ANCHORARRAY($AA309))*$P$154:$U$154)</f>
        <v>35.300000000000004</v>
      </c>
      <c r="AN309" s="3" cm="1">
        <f t="array" ref="AN309">SUM(_xlfn.CHOOSECOLS(_xlfn.XLOOKUP(AN$298,Destinations!$B$6:$B$20,Destinations!$C$6:$L$20,,0,1),_xlfn.ANCHORARRAY($J309))*$L$154:$O$154) + SUM(_xlfn.CHOOSECOLS(_xlfn.XLOOKUP(AN$298,Destinations!$B$6:$B$20,Destinations!$C$6:$L$20,,0,1),_xlfn.ANCHORARRAY($AA309))*$P$154:$U$154)</f>
        <v>31</v>
      </c>
      <c r="AO309" s="3" cm="1">
        <f t="array" ref="AO309">SUM(_xlfn.CHOOSECOLS(_xlfn.XLOOKUP(AO$298,Destinations!$B$6:$B$20,Destinations!$C$6:$L$20,,0,1),_xlfn.ANCHORARRAY($J309))*$L$154:$O$154) + SUM(_xlfn.CHOOSECOLS(_xlfn.XLOOKUP(AO$298,Destinations!$B$6:$B$20,Destinations!$C$6:$L$20,,0,1),_xlfn.ANCHORARRAY($AA309))*$P$154:$U$154)</f>
        <v>36.200000000000003</v>
      </c>
      <c r="AP309" s="3" cm="1">
        <f t="array" ref="AP309">SUM(_xlfn.CHOOSECOLS(_xlfn.XLOOKUP(AP$298,Destinations!$B$6:$B$20,Destinations!$C$6:$L$20,,0,1),_xlfn.ANCHORARRAY($J309))*$L$154:$O$154) + SUM(_xlfn.CHOOSECOLS(_xlfn.XLOOKUP(AP$298,Destinations!$B$6:$B$20,Destinations!$C$6:$L$20,,0,1),_xlfn.ANCHORARRAY($AA309))*$P$154:$U$154)</f>
        <v>30.6</v>
      </c>
      <c r="AQ309" s="3" cm="1">
        <f t="array" ref="AQ309">SUM(_xlfn.CHOOSECOLS(_xlfn.XLOOKUP(AQ$298,Destinations!$B$6:$B$20,Destinations!$C$6:$L$20,,0,1),_xlfn.ANCHORARRAY($J309))*$L$154:$O$154) + SUM(_xlfn.CHOOSECOLS(_xlfn.XLOOKUP(AQ$298,Destinations!$B$6:$B$20,Destinations!$C$6:$L$20,,0,1),_xlfn.ANCHORARRAY($AA309))*$P$154:$U$154)</f>
        <v>29.800000000000004</v>
      </c>
      <c r="AR309" s="3" cm="1">
        <f t="array" ref="AR309">SUM(_xlfn.CHOOSECOLS(_xlfn.XLOOKUP(AR$298,Destinations!$B$6:$B$20,Destinations!$C$6:$L$20,,0,1),_xlfn.ANCHORARRAY($J309))*$L$154:$O$154) + SUM(_xlfn.CHOOSECOLS(_xlfn.XLOOKUP(AR$298,Destinations!$B$6:$B$20,Destinations!$C$6:$L$20,,0,1),_xlfn.ANCHORARRAY($AA309))*$P$154:$U$154)</f>
        <v>31.700000000000003</v>
      </c>
      <c r="AS309" s="3" cm="1">
        <f t="array" ref="AS309">SUM(_xlfn.CHOOSECOLS(_xlfn.XLOOKUP(AS$298,Destinations!$B$6:$B$20,Destinations!$C$6:$L$20,,0,1),_xlfn.ANCHORARRAY($J309))*$L$154:$O$154) + SUM(_xlfn.CHOOSECOLS(_xlfn.XLOOKUP(AS$298,Destinations!$B$6:$B$20,Destinations!$C$6:$L$20,,0,1),_xlfn.ANCHORARRAY($AA309))*$P$154:$U$154)</f>
        <v>30.1</v>
      </c>
      <c r="AT309" s="3" cm="1">
        <f t="array" ref="AT309">SUM(_xlfn.CHOOSECOLS(_xlfn.XLOOKUP(AT$298,Destinations!$B$6:$B$20,Destinations!$C$6:$L$20,,0,1),_xlfn.ANCHORARRAY($J309))*$L$154:$O$154) + SUM(_xlfn.CHOOSECOLS(_xlfn.XLOOKUP(AT$298,Destinations!$B$6:$B$20,Destinations!$C$6:$L$20,,0,1),_xlfn.ANCHORARRAY($AA309))*$P$154:$U$154)</f>
        <v>32.5</v>
      </c>
      <c r="AU309" s="3" cm="1">
        <f t="array" ref="AU309">SUM(_xlfn.CHOOSECOLS(_xlfn.XLOOKUP(AU$298,Destinations!$B$6:$B$20,Destinations!$C$6:$L$20,,0,1),_xlfn.ANCHORARRAY($J309))*$L$154:$O$154) + SUM(_xlfn.CHOOSECOLS(_xlfn.XLOOKUP(AU$298,Destinations!$B$6:$B$20,Destinations!$C$6:$L$20,,0,1),_xlfn.ANCHORARRAY($AA309))*$P$154:$U$154)</f>
        <v>30.4</v>
      </c>
      <c r="AV309" s="3" cm="1">
        <f t="array" ref="AV309">SUM(_xlfn.CHOOSECOLS(_xlfn.XLOOKUP(AV$298,Destinations!$B$6:$B$20,Destinations!$C$6:$L$20,,0,1),_xlfn.ANCHORARRAY($J309))*$L$154:$O$154) + SUM(_xlfn.CHOOSECOLS(_xlfn.XLOOKUP(AV$298,Destinations!$B$6:$B$20,Destinations!$C$6:$L$20,,0,1),_xlfn.ANCHORARRAY($AA309))*$P$154:$U$154)</f>
        <v>32.299999999999997</v>
      </c>
      <c r="AX309" s="5" t="b" cm="1">
        <f t="array" ref="AX309:BL309">IFERROR(_xlfn.XLOOKUP(_xlfn.ANCHORARRAY($AH$298),Distances!$N$11:$N$20,Distances!$M$11:$M$20,, 0, 1), "South Island")=I309</f>
        <v>1</v>
      </c>
      <c r="AY309" s="5" t="b">
        <v>1</v>
      </c>
      <c r="AZ309" s="5" t="b">
        <v>1</v>
      </c>
      <c r="BA309" s="5" t="b">
        <v>1</v>
      </c>
      <c r="BB309" s="5" t="b">
        <v>1</v>
      </c>
      <c r="BC309" s="5" t="b">
        <v>1</v>
      </c>
      <c r="BD309" s="5" t="b">
        <v>1</v>
      </c>
      <c r="BE309" s="5" t="b">
        <v>1</v>
      </c>
      <c r="BF309" s="5" t="b">
        <v>1</v>
      </c>
      <c r="BG309" s="5" t="b">
        <v>1</v>
      </c>
      <c r="BH309" s="5" t="b">
        <v>0</v>
      </c>
      <c r="BI309" s="5" t="b">
        <v>0</v>
      </c>
      <c r="BJ309" s="5" t="b">
        <v>0</v>
      </c>
      <c r="BK309" s="5" t="b">
        <v>0</v>
      </c>
      <c r="BL309" s="5" t="b">
        <v>0</v>
      </c>
      <c r="BQ309" s="5">
        <v>247.5</v>
      </c>
      <c r="BR309" s="5">
        <v>120</v>
      </c>
      <c r="BS309" s="5">
        <v>274.5</v>
      </c>
      <c r="BT309" s="5">
        <v>213.75</v>
      </c>
      <c r="BU309" s="5">
        <v>295.5</v>
      </c>
      <c r="BV309" s="5">
        <v>498</v>
      </c>
      <c r="BW309" s="5">
        <v>396.75</v>
      </c>
      <c r="BX309" s="5">
        <v>437.25</v>
      </c>
      <c r="BY309" s="5">
        <v>516</v>
      </c>
      <c r="BZ309" s="5">
        <v>615</v>
      </c>
      <c r="CA309" s="5">
        <v>963.75</v>
      </c>
      <c r="CB309" s="5">
        <v>1134.75</v>
      </c>
      <c r="CC309" s="5">
        <v>1492.5</v>
      </c>
      <c r="CD309" s="5">
        <v>1400.25</v>
      </c>
      <c r="CE309" s="5">
        <v>1554.75</v>
      </c>
      <c r="CG309" s="5">
        <v>30</v>
      </c>
      <c r="CH309" s="5">
        <v>29</v>
      </c>
      <c r="CI309" s="5">
        <v>28</v>
      </c>
      <c r="CJ309" s="5">
        <v>30</v>
      </c>
      <c r="CK309" s="5">
        <v>29</v>
      </c>
      <c r="CL309" s="5">
        <v>30</v>
      </c>
      <c r="CM309" s="5">
        <v>27</v>
      </c>
      <c r="CN309" s="5">
        <v>32</v>
      </c>
      <c r="CO309" s="5">
        <v>25</v>
      </c>
      <c r="CP309" s="5">
        <v>24</v>
      </c>
      <c r="CQ309" s="5">
        <v>22</v>
      </c>
      <c r="CR309" s="5">
        <v>19</v>
      </c>
      <c r="CS309" s="5">
        <v>18</v>
      </c>
      <c r="CT309" s="5">
        <v>16</v>
      </c>
      <c r="CU309" s="5">
        <v>17</v>
      </c>
      <c r="CW309" s="5">
        <f t="shared" si="3"/>
        <v>32</v>
      </c>
      <c r="CZ309" s="5">
        <f t="shared" si="4"/>
        <v>8</v>
      </c>
      <c r="DA309" s="5" t="str" cm="1">
        <f t="array" ref="DA309">_xlfn.CHOOSECOLS(_xlfn.ANCHORARRAY($AH$298),MATCH(CW309,CG309:CU309))</f>
        <v>Napier</v>
      </c>
    </row>
    <row r="310" spans="2:105" ht="22.5" customHeight="1">
      <c r="B310" s="11">
        <v>110</v>
      </c>
      <c r="C310" s="11">
        <v>7</v>
      </c>
      <c r="D310" s="18">
        <v>11</v>
      </c>
      <c r="E310" s="34" t="s">
        <v>220</v>
      </c>
      <c r="F310" s="37"/>
      <c r="G310" s="17" t="s">
        <v>149</v>
      </c>
      <c r="H310" s="17" t="s">
        <v>130</v>
      </c>
      <c r="I310" s="3" t="str">
        <v>South Island</v>
      </c>
      <c r="J310" s="3" cm="1">
        <f t="array" ref="J310:M310">_xlfn.XLOOKUP(H310,Families!$B$6:$B$25,_xlfn.ANCHORARRAY(Families!$I$6))</f>
        <v>6</v>
      </c>
      <c r="K310" s="3">
        <v>3</v>
      </c>
      <c r="L310" s="3">
        <v>8</v>
      </c>
      <c r="M310" s="3">
        <v>4</v>
      </c>
      <c r="O310" s="5" cm="1">
        <f t="array" ref="O310:X310">_xlfn.SEQUENCE(1,10,1,1)</f>
        <v>1</v>
      </c>
      <c r="P310" s="5">
        <v>2</v>
      </c>
      <c r="Q310" s="5">
        <v>3</v>
      </c>
      <c r="R310" s="5">
        <v>4</v>
      </c>
      <c r="S310" s="5">
        <v>5</v>
      </c>
      <c r="T310" s="5">
        <v>6</v>
      </c>
      <c r="U310" s="5">
        <v>7</v>
      </c>
      <c r="V310" s="5">
        <v>8</v>
      </c>
      <c r="W310" s="5">
        <v>9</v>
      </c>
      <c r="X310" s="5">
        <v>10</v>
      </c>
      <c r="AA310" s="5" cm="1">
        <f t="array" ref="AA310:AF310">_xlfn._xlws.FILTER(_xlfn.ANCHORARRAY(O310), COUNTIF(_xlfn.ANCHORARRAY(J310),_xlfn.ANCHORARRAY(O310))=0)</f>
        <v>1</v>
      </c>
      <c r="AB310" s="5">
        <v>2</v>
      </c>
      <c r="AC310" s="5">
        <v>5</v>
      </c>
      <c r="AD310" s="5">
        <v>7</v>
      </c>
      <c r="AE310" s="5">
        <v>9</v>
      </c>
      <c r="AF310" s="5">
        <v>10</v>
      </c>
      <c r="AH310" s="3" cm="1">
        <f t="array" ref="AH310">SUM(_xlfn.CHOOSECOLS(_xlfn.XLOOKUP(AH$298,Destinations!$B$6:$B$20,Destinations!$C$6:$L$20,,0,1),_xlfn.ANCHORARRAY($J310))*$L$154:$O$154) + SUM(_xlfn.CHOOSECOLS(_xlfn.XLOOKUP(AH$298,Destinations!$B$6:$B$20,Destinations!$C$6:$L$20,,0,1),_xlfn.ANCHORARRAY($AA310))*$P$154:$U$154)</f>
        <v>28.8</v>
      </c>
      <c r="AI310" s="3" cm="1">
        <f t="array" ref="AI310">SUM(_xlfn.CHOOSECOLS(_xlfn.XLOOKUP(AI$298,Destinations!$B$6:$B$20,Destinations!$C$6:$L$20,,0,1),_xlfn.ANCHORARRAY($J310))*$L$154:$O$154) + SUM(_xlfn.CHOOSECOLS(_xlfn.XLOOKUP(AI$298,Destinations!$B$6:$B$20,Destinations!$C$6:$L$20,,0,1),_xlfn.ANCHORARRAY($AA310))*$P$154:$U$154)</f>
        <v>30</v>
      </c>
      <c r="AJ310" s="3" cm="1">
        <f t="array" ref="AJ310">SUM(_xlfn.CHOOSECOLS(_xlfn.XLOOKUP(AJ$298,Destinations!$B$6:$B$20,Destinations!$C$6:$L$20,,0,1),_xlfn.ANCHORARRAY($J310))*$L$154:$O$154) + SUM(_xlfn.CHOOSECOLS(_xlfn.XLOOKUP(AJ$298,Destinations!$B$6:$B$20,Destinations!$C$6:$L$20,,0,1),_xlfn.ANCHORARRAY($AA310))*$P$154:$U$154)</f>
        <v>30.8</v>
      </c>
      <c r="AK310" s="3" cm="1">
        <f t="array" ref="AK310">SUM(_xlfn.CHOOSECOLS(_xlfn.XLOOKUP(AK$298,Destinations!$B$6:$B$20,Destinations!$C$6:$L$20,,0,1),_xlfn.ANCHORARRAY($J310))*$L$154:$O$154) + SUM(_xlfn.CHOOSECOLS(_xlfn.XLOOKUP(AK$298,Destinations!$B$6:$B$20,Destinations!$C$6:$L$20,,0,1),_xlfn.ANCHORARRAY($AA310))*$P$154:$U$154)</f>
        <v>29.700000000000003</v>
      </c>
      <c r="AL310" s="3" cm="1">
        <f t="array" ref="AL310">SUM(_xlfn.CHOOSECOLS(_xlfn.XLOOKUP(AL$298,Destinations!$B$6:$B$20,Destinations!$C$6:$L$20,,0,1),_xlfn.ANCHORARRAY($J310))*$L$154:$O$154) + SUM(_xlfn.CHOOSECOLS(_xlfn.XLOOKUP(AL$298,Destinations!$B$6:$B$20,Destinations!$C$6:$L$20,,0,1),_xlfn.ANCHORARRAY($AA310))*$P$154:$U$154)</f>
        <v>31.200000000000003</v>
      </c>
      <c r="AM310" s="3" cm="1">
        <f t="array" ref="AM310">SUM(_xlfn.CHOOSECOLS(_xlfn.XLOOKUP(AM$298,Destinations!$B$6:$B$20,Destinations!$C$6:$L$20,,0,1),_xlfn.ANCHORARRAY($J310))*$L$154:$O$154) + SUM(_xlfn.CHOOSECOLS(_xlfn.XLOOKUP(AM$298,Destinations!$B$6:$B$20,Destinations!$C$6:$L$20,,0,1),_xlfn.ANCHORARRAY($AA310))*$P$154:$U$154)</f>
        <v>31.1</v>
      </c>
      <c r="AN310" s="3" cm="1">
        <f t="array" ref="AN310">SUM(_xlfn.CHOOSECOLS(_xlfn.XLOOKUP(AN$298,Destinations!$B$6:$B$20,Destinations!$C$6:$L$20,,0,1),_xlfn.ANCHORARRAY($J310))*$L$154:$O$154) + SUM(_xlfn.CHOOSECOLS(_xlfn.XLOOKUP(AN$298,Destinations!$B$6:$B$20,Destinations!$C$6:$L$20,,0,1),_xlfn.ANCHORARRAY($AA310))*$P$154:$U$154)</f>
        <v>30.9</v>
      </c>
      <c r="AO310" s="3" cm="1">
        <f t="array" ref="AO310">SUM(_xlfn.CHOOSECOLS(_xlfn.XLOOKUP(AO$298,Destinations!$B$6:$B$20,Destinations!$C$6:$L$20,,0,1),_xlfn.ANCHORARRAY($J310))*$L$154:$O$154) + SUM(_xlfn.CHOOSECOLS(_xlfn.XLOOKUP(AO$298,Destinations!$B$6:$B$20,Destinations!$C$6:$L$20,,0,1),_xlfn.ANCHORARRAY($AA310))*$P$154:$U$154)</f>
        <v>29.1</v>
      </c>
      <c r="AP310" s="3" cm="1">
        <f t="array" ref="AP310">SUM(_xlfn.CHOOSECOLS(_xlfn.XLOOKUP(AP$298,Destinations!$B$6:$B$20,Destinations!$C$6:$L$20,,0,1),_xlfn.ANCHORARRAY($J310))*$L$154:$O$154) + SUM(_xlfn.CHOOSECOLS(_xlfn.XLOOKUP(AP$298,Destinations!$B$6:$B$20,Destinations!$C$6:$L$20,,0,1),_xlfn.ANCHORARRAY($AA310))*$P$154:$U$154)</f>
        <v>28.900000000000002</v>
      </c>
      <c r="AQ310" s="3" cm="1">
        <f t="array" ref="AQ310">SUM(_xlfn.CHOOSECOLS(_xlfn.XLOOKUP(AQ$298,Destinations!$B$6:$B$20,Destinations!$C$6:$L$20,,0,1),_xlfn.ANCHORARRAY($J310))*$L$154:$O$154) + SUM(_xlfn.CHOOSECOLS(_xlfn.XLOOKUP(AQ$298,Destinations!$B$6:$B$20,Destinations!$C$6:$L$20,,0,1),_xlfn.ANCHORARRAY($AA310))*$P$154:$U$154)</f>
        <v>29.900000000000002</v>
      </c>
      <c r="AR310" s="3" cm="1">
        <f t="array" ref="AR310">SUM(_xlfn.CHOOSECOLS(_xlfn.XLOOKUP(AR$298,Destinations!$B$6:$B$20,Destinations!$C$6:$L$20,,0,1),_xlfn.ANCHORARRAY($J310))*$L$154:$O$154) + SUM(_xlfn.CHOOSECOLS(_xlfn.XLOOKUP(AR$298,Destinations!$B$6:$B$20,Destinations!$C$6:$L$20,,0,1),_xlfn.ANCHORARRAY($AA310))*$P$154:$U$154)</f>
        <v>30.5</v>
      </c>
      <c r="AS310" s="3" cm="1">
        <f t="array" ref="AS310">SUM(_xlfn.CHOOSECOLS(_xlfn.XLOOKUP(AS$298,Destinations!$B$6:$B$20,Destinations!$C$6:$L$20,,0,1),_xlfn.ANCHORARRAY($J310))*$L$154:$O$154) + SUM(_xlfn.CHOOSECOLS(_xlfn.XLOOKUP(AS$298,Destinations!$B$6:$B$20,Destinations!$C$6:$L$20,,0,1),_xlfn.ANCHORARRAY($AA310))*$P$154:$U$154)</f>
        <v>26.200000000000003</v>
      </c>
      <c r="AT310" s="3" cm="1">
        <f t="array" ref="AT310">SUM(_xlfn.CHOOSECOLS(_xlfn.XLOOKUP(AT$298,Destinations!$B$6:$B$20,Destinations!$C$6:$L$20,,0,1),_xlfn.ANCHORARRAY($J310))*$L$154:$O$154) + SUM(_xlfn.CHOOSECOLS(_xlfn.XLOOKUP(AT$298,Destinations!$B$6:$B$20,Destinations!$C$6:$L$20,,0,1),_xlfn.ANCHORARRAY($AA310))*$P$154:$U$154)</f>
        <v>32.400000000000006</v>
      </c>
      <c r="AU310" s="3" cm="1">
        <f t="array" ref="AU310">SUM(_xlfn.CHOOSECOLS(_xlfn.XLOOKUP(AU$298,Destinations!$B$6:$B$20,Destinations!$C$6:$L$20,,0,1),_xlfn.ANCHORARRAY($J310))*$L$154:$O$154) + SUM(_xlfn.CHOOSECOLS(_xlfn.XLOOKUP(AU$298,Destinations!$B$6:$B$20,Destinations!$C$6:$L$20,,0,1),_xlfn.ANCHORARRAY($AA310))*$P$154:$U$154)</f>
        <v>28.900000000000002</v>
      </c>
      <c r="AV310" s="3" cm="1">
        <f t="array" ref="AV310">SUM(_xlfn.CHOOSECOLS(_xlfn.XLOOKUP(AV$298,Destinations!$B$6:$B$20,Destinations!$C$6:$L$20,,0,1),_xlfn.ANCHORARRAY($J310))*$L$154:$O$154) + SUM(_xlfn.CHOOSECOLS(_xlfn.XLOOKUP(AV$298,Destinations!$B$6:$B$20,Destinations!$C$6:$L$20,,0,1),_xlfn.ANCHORARRAY($AA310))*$P$154:$U$154)</f>
        <v>30.7</v>
      </c>
      <c r="AX310" s="5" t="b" cm="1">
        <f t="array" ref="AX310:BL310">IFERROR(_xlfn.XLOOKUP(_xlfn.ANCHORARRAY($AH$298),Distances!$N$11:$N$20,Distances!$M$11:$M$20,, 0, 1), "South Island")=I310</f>
        <v>0</v>
      </c>
      <c r="AY310" s="5" t="b">
        <v>0</v>
      </c>
      <c r="AZ310" s="5" t="b">
        <v>0</v>
      </c>
      <c r="BA310" s="5" t="b">
        <v>0</v>
      </c>
      <c r="BB310" s="5" t="b">
        <v>0</v>
      </c>
      <c r="BC310" s="5" t="b">
        <v>0</v>
      </c>
      <c r="BD310" s="5" t="b">
        <v>0</v>
      </c>
      <c r="BE310" s="5" t="b">
        <v>0</v>
      </c>
      <c r="BF310" s="5" t="b">
        <v>0</v>
      </c>
      <c r="BG310" s="5" t="b">
        <v>0</v>
      </c>
      <c r="BH310" s="5" t="b">
        <v>1</v>
      </c>
      <c r="BI310" s="5" t="b">
        <v>1</v>
      </c>
      <c r="BJ310" s="5" t="b">
        <v>1</v>
      </c>
      <c r="BK310" s="5" t="b">
        <v>1</v>
      </c>
      <c r="BL310" s="5" t="b">
        <v>1</v>
      </c>
      <c r="BQ310" s="5">
        <v>1257</v>
      </c>
      <c r="BR310" s="5">
        <v>1134.75</v>
      </c>
      <c r="BS310" s="5">
        <v>1047</v>
      </c>
      <c r="BT310" s="5">
        <v>1042.5</v>
      </c>
      <c r="BU310" s="5">
        <v>992.25</v>
      </c>
      <c r="BV310" s="5">
        <v>1052.25</v>
      </c>
      <c r="BW310" s="5">
        <v>917.25</v>
      </c>
      <c r="BX310" s="5">
        <v>894.75</v>
      </c>
      <c r="BY310" s="5">
        <v>759</v>
      </c>
      <c r="BZ310" s="5">
        <v>656.25</v>
      </c>
      <c r="CA310" s="5">
        <v>430.5</v>
      </c>
      <c r="CB310" s="5">
        <v>120</v>
      </c>
      <c r="CC310" s="5">
        <v>481.5</v>
      </c>
      <c r="CD310" s="5">
        <v>390</v>
      </c>
      <c r="CE310" s="5">
        <v>543.75</v>
      </c>
      <c r="CG310" s="5">
        <v>16</v>
      </c>
      <c r="CH310" s="5">
        <v>19</v>
      </c>
      <c r="CI310" s="5">
        <v>20</v>
      </c>
      <c r="CJ310" s="5">
        <v>19</v>
      </c>
      <c r="CK310" s="5">
        <v>21</v>
      </c>
      <c r="CL310" s="5">
        <v>21</v>
      </c>
      <c r="CM310" s="5">
        <v>22</v>
      </c>
      <c r="CN310" s="5">
        <v>20</v>
      </c>
      <c r="CO310" s="5">
        <v>21</v>
      </c>
      <c r="CP310" s="5">
        <v>23</v>
      </c>
      <c r="CQ310" s="5">
        <v>26</v>
      </c>
      <c r="CR310" s="5">
        <v>25</v>
      </c>
      <c r="CS310" s="5">
        <v>28</v>
      </c>
      <c r="CT310" s="5">
        <v>25</v>
      </c>
      <c r="CU310" s="5">
        <v>25</v>
      </c>
      <c r="CW310" s="5">
        <f t="shared" si="3"/>
        <v>28</v>
      </c>
      <c r="CZ310" s="5">
        <f t="shared" si="4"/>
        <v>15</v>
      </c>
      <c r="DA310" s="5" t="str" cm="1">
        <f t="array" ref="DA310">_xlfn.CHOOSECOLS(_xlfn.ANCHORARRAY($AH$298),MATCH(CW310,CG310:CU310))</f>
        <v>Invercargill</v>
      </c>
    </row>
    <row r="311" spans="2:105" ht="22.5" customHeight="1">
      <c r="B311" s="11">
        <v>111</v>
      </c>
      <c r="C311" s="11">
        <v>7</v>
      </c>
      <c r="D311" s="18">
        <v>11</v>
      </c>
      <c r="E311" s="34" t="s">
        <v>221</v>
      </c>
      <c r="F311" s="37"/>
      <c r="G311" s="17" t="s">
        <v>78</v>
      </c>
      <c r="H311" s="17" t="s">
        <v>121</v>
      </c>
      <c r="I311" s="3" t="str">
        <v>North Island</v>
      </c>
      <c r="J311" s="3" cm="1">
        <f t="array" ref="J311:M311">_xlfn.XLOOKUP(H311,Families!$B$6:$B$25,_xlfn.ANCHORARRAY(Families!$I$6))</f>
        <v>3</v>
      </c>
      <c r="K311" s="3">
        <v>5</v>
      </c>
      <c r="L311" s="3">
        <v>10</v>
      </c>
      <c r="M311" s="3">
        <v>7</v>
      </c>
      <c r="O311" s="5" cm="1">
        <f t="array" ref="O311:X311">_xlfn.SEQUENCE(1,10,1,1)</f>
        <v>1</v>
      </c>
      <c r="P311" s="5">
        <v>2</v>
      </c>
      <c r="Q311" s="5">
        <v>3</v>
      </c>
      <c r="R311" s="5">
        <v>4</v>
      </c>
      <c r="S311" s="5">
        <v>5</v>
      </c>
      <c r="T311" s="5">
        <v>6</v>
      </c>
      <c r="U311" s="5">
        <v>7</v>
      </c>
      <c r="V311" s="5">
        <v>8</v>
      </c>
      <c r="W311" s="5">
        <v>9</v>
      </c>
      <c r="X311" s="5">
        <v>10</v>
      </c>
      <c r="AA311" s="5" cm="1">
        <f t="array" ref="AA311:AF311">_xlfn._xlws.FILTER(_xlfn.ANCHORARRAY(O311), COUNTIF(_xlfn.ANCHORARRAY(J311),_xlfn.ANCHORARRAY(O311))=0)</f>
        <v>1</v>
      </c>
      <c r="AB311" s="5">
        <v>2</v>
      </c>
      <c r="AC311" s="5">
        <v>4</v>
      </c>
      <c r="AD311" s="5">
        <v>6</v>
      </c>
      <c r="AE311" s="5">
        <v>8</v>
      </c>
      <c r="AF311" s="5">
        <v>9</v>
      </c>
      <c r="AH311" s="3" cm="1">
        <f t="array" ref="AH311">SUM(_xlfn.CHOOSECOLS(_xlfn.XLOOKUP(AH$298,Destinations!$B$6:$B$20,Destinations!$C$6:$L$20,,0,1),_xlfn.ANCHORARRAY($J311))*$L$154:$O$154) + SUM(_xlfn.CHOOSECOLS(_xlfn.XLOOKUP(AH$298,Destinations!$B$6:$B$20,Destinations!$C$6:$L$20,,0,1),_xlfn.ANCHORARRAY($AA311))*$P$154:$U$154)</f>
        <v>31.4</v>
      </c>
      <c r="AI311" s="3" cm="1">
        <f t="array" ref="AI311">SUM(_xlfn.CHOOSECOLS(_xlfn.XLOOKUP(AI$298,Destinations!$B$6:$B$20,Destinations!$C$6:$L$20,,0,1),_xlfn.ANCHORARRAY($J311))*$L$154:$O$154) + SUM(_xlfn.CHOOSECOLS(_xlfn.XLOOKUP(AI$298,Destinations!$B$6:$B$20,Destinations!$C$6:$L$20,,0,1),_xlfn.ANCHORARRAY($AA311))*$P$154:$U$154)</f>
        <v>24.8</v>
      </c>
      <c r="AJ311" s="3" cm="1">
        <f t="array" ref="AJ311">SUM(_xlfn.CHOOSECOLS(_xlfn.XLOOKUP(AJ$298,Destinations!$B$6:$B$20,Destinations!$C$6:$L$20,,0,1),_xlfn.ANCHORARRAY($J311))*$L$154:$O$154) + SUM(_xlfn.CHOOSECOLS(_xlfn.XLOOKUP(AJ$298,Destinations!$B$6:$B$20,Destinations!$C$6:$L$20,,0,1),_xlfn.ANCHORARRAY($AA311))*$P$154:$U$154)</f>
        <v>28.6</v>
      </c>
      <c r="AK311" s="3" cm="1">
        <f t="array" ref="AK311">SUM(_xlfn.CHOOSECOLS(_xlfn.XLOOKUP(AK$298,Destinations!$B$6:$B$20,Destinations!$C$6:$L$20,,0,1),_xlfn.ANCHORARRAY($J311))*$L$154:$O$154) + SUM(_xlfn.CHOOSECOLS(_xlfn.XLOOKUP(AK$298,Destinations!$B$6:$B$20,Destinations!$C$6:$L$20,,0,1),_xlfn.ANCHORARRAY($AA311))*$P$154:$U$154)</f>
        <v>31.3</v>
      </c>
      <c r="AL311" s="3" cm="1">
        <f t="array" ref="AL311">SUM(_xlfn.CHOOSECOLS(_xlfn.XLOOKUP(AL$298,Destinations!$B$6:$B$20,Destinations!$C$6:$L$20,,0,1),_xlfn.ANCHORARRAY($J311))*$L$154:$O$154) + SUM(_xlfn.CHOOSECOLS(_xlfn.XLOOKUP(AL$298,Destinations!$B$6:$B$20,Destinations!$C$6:$L$20,,0,1),_xlfn.ANCHORARRAY($AA311))*$P$154:$U$154)</f>
        <v>31.9</v>
      </c>
      <c r="AM311" s="3" cm="1">
        <f t="array" ref="AM311">SUM(_xlfn.CHOOSECOLS(_xlfn.XLOOKUP(AM$298,Destinations!$B$6:$B$20,Destinations!$C$6:$L$20,,0,1),_xlfn.ANCHORARRAY($J311))*$L$154:$O$154) + SUM(_xlfn.CHOOSECOLS(_xlfn.XLOOKUP(AM$298,Destinations!$B$6:$B$20,Destinations!$C$6:$L$20,,0,1),_xlfn.ANCHORARRAY($AA311))*$P$154:$U$154)</f>
        <v>34.6</v>
      </c>
      <c r="AN311" s="3" cm="1">
        <f t="array" ref="AN311">SUM(_xlfn.CHOOSECOLS(_xlfn.XLOOKUP(AN$298,Destinations!$B$6:$B$20,Destinations!$C$6:$L$20,,0,1),_xlfn.ANCHORARRAY($J311))*$L$154:$O$154) + SUM(_xlfn.CHOOSECOLS(_xlfn.XLOOKUP(AN$298,Destinations!$B$6:$B$20,Destinations!$C$6:$L$20,,0,1),_xlfn.ANCHORARRAY($AA311))*$P$154:$U$154)</f>
        <v>32.700000000000003</v>
      </c>
      <c r="AO311" s="3" cm="1">
        <f t="array" ref="AO311">SUM(_xlfn.CHOOSECOLS(_xlfn.XLOOKUP(AO$298,Destinations!$B$6:$B$20,Destinations!$C$6:$L$20,,0,1),_xlfn.ANCHORARRAY($J311))*$L$154:$O$154) + SUM(_xlfn.CHOOSECOLS(_xlfn.XLOOKUP(AO$298,Destinations!$B$6:$B$20,Destinations!$C$6:$L$20,,0,1),_xlfn.ANCHORARRAY($AA311))*$P$154:$U$154)</f>
        <v>31</v>
      </c>
      <c r="AP311" s="3" cm="1">
        <f t="array" ref="AP311">SUM(_xlfn.CHOOSECOLS(_xlfn.XLOOKUP(AP$298,Destinations!$B$6:$B$20,Destinations!$C$6:$L$20,,0,1),_xlfn.ANCHORARRAY($J311))*$L$154:$O$154) + SUM(_xlfn.CHOOSECOLS(_xlfn.XLOOKUP(AP$298,Destinations!$B$6:$B$20,Destinations!$C$6:$L$20,,0,1),_xlfn.ANCHORARRAY($AA311))*$P$154:$U$154)</f>
        <v>30.700000000000003</v>
      </c>
      <c r="AQ311" s="3" cm="1">
        <f t="array" ref="AQ311">SUM(_xlfn.CHOOSECOLS(_xlfn.XLOOKUP(AQ$298,Destinations!$B$6:$B$20,Destinations!$C$6:$L$20,,0,1),_xlfn.ANCHORARRAY($J311))*$L$154:$O$154) + SUM(_xlfn.CHOOSECOLS(_xlfn.XLOOKUP(AQ$298,Destinations!$B$6:$B$20,Destinations!$C$6:$L$20,,0,1),_xlfn.ANCHORARRAY($AA311))*$P$154:$U$154)</f>
        <v>28.599999999999998</v>
      </c>
      <c r="AR311" s="3" cm="1">
        <f t="array" ref="AR311">SUM(_xlfn.CHOOSECOLS(_xlfn.XLOOKUP(AR$298,Destinations!$B$6:$B$20,Destinations!$C$6:$L$20,,0,1),_xlfn.ANCHORARRAY($J311))*$L$154:$O$154) + SUM(_xlfn.CHOOSECOLS(_xlfn.XLOOKUP(AR$298,Destinations!$B$6:$B$20,Destinations!$C$6:$L$20,,0,1),_xlfn.ANCHORARRAY($AA311))*$P$154:$U$154)</f>
        <v>30.8</v>
      </c>
      <c r="AS311" s="3" cm="1">
        <f t="array" ref="AS311">SUM(_xlfn.CHOOSECOLS(_xlfn.XLOOKUP(AS$298,Destinations!$B$6:$B$20,Destinations!$C$6:$L$20,,0,1),_xlfn.ANCHORARRAY($J311))*$L$154:$O$154) + SUM(_xlfn.CHOOSECOLS(_xlfn.XLOOKUP(AS$298,Destinations!$B$6:$B$20,Destinations!$C$6:$L$20,,0,1),_xlfn.ANCHORARRAY($AA311))*$P$154:$U$154)</f>
        <v>26.9</v>
      </c>
      <c r="AT311" s="3" cm="1">
        <f t="array" ref="AT311">SUM(_xlfn.CHOOSECOLS(_xlfn.XLOOKUP(AT$298,Destinations!$B$6:$B$20,Destinations!$C$6:$L$20,,0,1),_xlfn.ANCHORARRAY($J311))*$L$154:$O$154) + SUM(_xlfn.CHOOSECOLS(_xlfn.XLOOKUP(AT$298,Destinations!$B$6:$B$20,Destinations!$C$6:$L$20,,0,1),_xlfn.ANCHORARRAY($AA311))*$P$154:$U$154)</f>
        <v>25.5</v>
      </c>
      <c r="AU311" s="3" cm="1">
        <f t="array" ref="AU311">SUM(_xlfn.CHOOSECOLS(_xlfn.XLOOKUP(AU$298,Destinations!$B$6:$B$20,Destinations!$C$6:$L$20,,0,1),_xlfn.ANCHORARRAY($J311))*$L$154:$O$154) + SUM(_xlfn.CHOOSECOLS(_xlfn.XLOOKUP(AU$298,Destinations!$B$6:$B$20,Destinations!$C$6:$L$20,,0,1),_xlfn.ANCHORARRAY($AA311))*$P$154:$U$154)</f>
        <v>30.4</v>
      </c>
      <c r="AV311" s="3" cm="1">
        <f t="array" ref="AV311">SUM(_xlfn.CHOOSECOLS(_xlfn.XLOOKUP(AV$298,Destinations!$B$6:$B$20,Destinations!$C$6:$L$20,,0,1),_xlfn.ANCHORARRAY($J311))*$L$154:$O$154) + SUM(_xlfn.CHOOSECOLS(_xlfn.XLOOKUP(AV$298,Destinations!$B$6:$B$20,Destinations!$C$6:$L$20,,0,1),_xlfn.ANCHORARRAY($AA311))*$P$154:$U$154)</f>
        <v>37.299999999999997</v>
      </c>
      <c r="AX311" s="5" t="b" cm="1">
        <f t="array" ref="AX311:BL311">IFERROR(_xlfn.XLOOKUP(_xlfn.ANCHORARRAY($AH$298),Distances!$N$11:$N$20,Distances!$M$11:$M$20,, 0, 1), "South Island")=I311</f>
        <v>1</v>
      </c>
      <c r="AY311" s="5" t="b">
        <v>1</v>
      </c>
      <c r="AZ311" s="5" t="b">
        <v>1</v>
      </c>
      <c r="BA311" s="5" t="b">
        <v>1</v>
      </c>
      <c r="BB311" s="5" t="b">
        <v>1</v>
      </c>
      <c r="BC311" s="5" t="b">
        <v>1</v>
      </c>
      <c r="BD311" s="5" t="b">
        <v>1</v>
      </c>
      <c r="BE311" s="5" t="b">
        <v>1</v>
      </c>
      <c r="BF311" s="5" t="b">
        <v>1</v>
      </c>
      <c r="BG311" s="5" t="b">
        <v>1</v>
      </c>
      <c r="BH311" s="5" t="b">
        <v>0</v>
      </c>
      <c r="BI311" s="5" t="b">
        <v>0</v>
      </c>
      <c r="BJ311" s="5" t="b">
        <v>0</v>
      </c>
      <c r="BK311" s="5" t="b">
        <v>0</v>
      </c>
      <c r="BL311" s="5" t="b">
        <v>0</v>
      </c>
      <c r="BQ311" s="5">
        <v>734.25</v>
      </c>
      <c r="BR311" s="5">
        <v>615</v>
      </c>
      <c r="BS311" s="5">
        <v>514.5</v>
      </c>
      <c r="BT311" s="5">
        <v>510</v>
      </c>
      <c r="BU311" s="5">
        <v>459.75</v>
      </c>
      <c r="BV311" s="5">
        <v>519.75</v>
      </c>
      <c r="BW311" s="5">
        <v>384.75</v>
      </c>
      <c r="BX311" s="5">
        <v>362.25</v>
      </c>
      <c r="BY311" s="5">
        <v>226.5</v>
      </c>
      <c r="BZ311" s="5">
        <v>120</v>
      </c>
      <c r="CA311" s="5">
        <v>485.25</v>
      </c>
      <c r="CB311" s="5">
        <v>656.25</v>
      </c>
      <c r="CC311" s="5">
        <v>1014</v>
      </c>
      <c r="CD311" s="5">
        <v>922.5</v>
      </c>
      <c r="CE311" s="5">
        <v>1076.25</v>
      </c>
      <c r="CG311" s="5">
        <v>24</v>
      </c>
      <c r="CH311" s="5">
        <v>19</v>
      </c>
      <c r="CI311" s="5">
        <v>23</v>
      </c>
      <c r="CJ311" s="5">
        <v>26</v>
      </c>
      <c r="CK311" s="5">
        <v>27</v>
      </c>
      <c r="CL311" s="5">
        <v>29</v>
      </c>
      <c r="CM311" s="5">
        <v>29</v>
      </c>
      <c r="CN311" s="5">
        <v>27</v>
      </c>
      <c r="CO311" s="5">
        <v>28</v>
      </c>
      <c r="CP311" s="5">
        <v>27</v>
      </c>
      <c r="CQ311" s="5">
        <v>26</v>
      </c>
      <c r="CR311" s="5">
        <v>20</v>
      </c>
      <c r="CS311" s="5">
        <v>15</v>
      </c>
      <c r="CT311" s="5">
        <v>21</v>
      </c>
      <c r="CU311" s="5">
        <v>27</v>
      </c>
      <c r="CW311" s="5">
        <f t="shared" si="3"/>
        <v>29</v>
      </c>
      <c r="CZ311" s="5">
        <f t="shared" si="4"/>
        <v>15</v>
      </c>
      <c r="DA311" s="5" t="str" cm="1">
        <f t="array" ref="DA311">_xlfn.CHOOSECOLS(_xlfn.ANCHORARRAY($AH$298),MATCH(CW311,CG311:CU311))</f>
        <v>Invercargill</v>
      </c>
    </row>
    <row r="312" spans="2:105" ht="22.5" customHeight="1">
      <c r="B312" s="11">
        <v>112</v>
      </c>
      <c r="C312" s="11">
        <v>7</v>
      </c>
      <c r="D312" s="18">
        <v>11</v>
      </c>
      <c r="E312" s="34" t="s">
        <v>222</v>
      </c>
      <c r="F312" s="37"/>
      <c r="G312" s="17" t="s">
        <v>70</v>
      </c>
      <c r="H312" s="17" t="s">
        <v>126</v>
      </c>
      <c r="I312" s="3" t="str">
        <v>North Island</v>
      </c>
      <c r="J312" s="3" cm="1">
        <f t="array" ref="J312:M312">_xlfn.XLOOKUP(H312,Families!$B$6:$B$25,_xlfn.ANCHORARRAY(Families!$I$6))</f>
        <v>10</v>
      </c>
      <c r="K312" s="3">
        <v>7</v>
      </c>
      <c r="L312" s="3">
        <v>6</v>
      </c>
      <c r="M312" s="3">
        <v>4</v>
      </c>
      <c r="O312" s="5" cm="1">
        <f t="array" ref="O312:X312">_xlfn.SEQUENCE(1,10,1,1)</f>
        <v>1</v>
      </c>
      <c r="P312" s="5">
        <v>2</v>
      </c>
      <c r="Q312" s="5">
        <v>3</v>
      </c>
      <c r="R312" s="5">
        <v>4</v>
      </c>
      <c r="S312" s="5">
        <v>5</v>
      </c>
      <c r="T312" s="5">
        <v>6</v>
      </c>
      <c r="U312" s="5">
        <v>7</v>
      </c>
      <c r="V312" s="5">
        <v>8</v>
      </c>
      <c r="W312" s="5">
        <v>9</v>
      </c>
      <c r="X312" s="5">
        <v>10</v>
      </c>
      <c r="AA312" s="5" cm="1">
        <f t="array" ref="AA312:AF312">_xlfn._xlws.FILTER(_xlfn.ANCHORARRAY(O312), COUNTIF(_xlfn.ANCHORARRAY(J312),_xlfn.ANCHORARRAY(O312))=0)</f>
        <v>1</v>
      </c>
      <c r="AB312" s="5">
        <v>2</v>
      </c>
      <c r="AC312" s="5">
        <v>3</v>
      </c>
      <c r="AD312" s="5">
        <v>5</v>
      </c>
      <c r="AE312" s="5">
        <v>8</v>
      </c>
      <c r="AF312" s="5">
        <v>9</v>
      </c>
      <c r="AH312" s="3" cm="1">
        <f t="array" ref="AH312">SUM(_xlfn.CHOOSECOLS(_xlfn.XLOOKUP(AH$298,Destinations!$B$6:$B$20,Destinations!$C$6:$L$20,,0,1),_xlfn.ANCHORARRAY($J312))*$L$154:$O$154) + SUM(_xlfn.CHOOSECOLS(_xlfn.XLOOKUP(AH$298,Destinations!$B$6:$B$20,Destinations!$C$6:$L$20,,0,1),_xlfn.ANCHORARRAY($AA312))*$P$154:$U$154)</f>
        <v>31.4</v>
      </c>
      <c r="AI312" s="3" cm="1">
        <f t="array" ref="AI312">SUM(_xlfn.CHOOSECOLS(_xlfn.XLOOKUP(AI$298,Destinations!$B$6:$B$20,Destinations!$C$6:$L$20,,0,1),_xlfn.ANCHORARRAY($J312))*$L$154:$O$154) + SUM(_xlfn.CHOOSECOLS(_xlfn.XLOOKUP(AI$298,Destinations!$B$6:$B$20,Destinations!$C$6:$L$20,,0,1),_xlfn.ANCHORARRAY($AA312))*$P$154:$U$154)</f>
        <v>27.000000000000004</v>
      </c>
      <c r="AJ312" s="3" cm="1">
        <f t="array" ref="AJ312">SUM(_xlfn.CHOOSECOLS(_xlfn.XLOOKUP(AJ$298,Destinations!$B$6:$B$20,Destinations!$C$6:$L$20,,0,1),_xlfn.ANCHORARRAY($J312))*$L$154:$O$154) + SUM(_xlfn.CHOOSECOLS(_xlfn.XLOOKUP(AJ$298,Destinations!$B$6:$B$20,Destinations!$C$6:$L$20,,0,1),_xlfn.ANCHORARRAY($AA312))*$P$154:$U$154)</f>
        <v>29</v>
      </c>
      <c r="AK312" s="3" cm="1">
        <f t="array" ref="AK312">SUM(_xlfn.CHOOSECOLS(_xlfn.XLOOKUP(AK$298,Destinations!$B$6:$B$20,Destinations!$C$6:$L$20,,0,1),_xlfn.ANCHORARRAY($J312))*$L$154:$O$154) + SUM(_xlfn.CHOOSECOLS(_xlfn.XLOOKUP(AK$298,Destinations!$B$6:$B$20,Destinations!$C$6:$L$20,,0,1),_xlfn.ANCHORARRAY($AA312))*$P$154:$U$154)</f>
        <v>31.8</v>
      </c>
      <c r="AL312" s="3" cm="1">
        <f t="array" ref="AL312">SUM(_xlfn.CHOOSECOLS(_xlfn.XLOOKUP(AL$298,Destinations!$B$6:$B$20,Destinations!$C$6:$L$20,,0,1),_xlfn.ANCHORARRAY($J312))*$L$154:$O$154) + SUM(_xlfn.CHOOSECOLS(_xlfn.XLOOKUP(AL$298,Destinations!$B$6:$B$20,Destinations!$C$6:$L$20,,0,1),_xlfn.ANCHORARRAY($AA312))*$P$154:$U$154)</f>
        <v>28.6</v>
      </c>
      <c r="AM312" s="3" cm="1">
        <f t="array" ref="AM312">SUM(_xlfn.CHOOSECOLS(_xlfn.XLOOKUP(AM$298,Destinations!$B$6:$B$20,Destinations!$C$6:$L$20,,0,1),_xlfn.ANCHORARRAY($J312))*$L$154:$O$154) + SUM(_xlfn.CHOOSECOLS(_xlfn.XLOOKUP(AM$298,Destinations!$B$6:$B$20,Destinations!$C$6:$L$20,,0,1),_xlfn.ANCHORARRAY($AA312))*$P$154:$U$154)</f>
        <v>35.4</v>
      </c>
      <c r="AN312" s="3" cm="1">
        <f t="array" ref="AN312">SUM(_xlfn.CHOOSECOLS(_xlfn.XLOOKUP(AN$298,Destinations!$B$6:$B$20,Destinations!$C$6:$L$20,,0,1),_xlfn.ANCHORARRAY($J312))*$L$154:$O$154) + SUM(_xlfn.CHOOSECOLS(_xlfn.XLOOKUP(AN$298,Destinations!$B$6:$B$20,Destinations!$C$6:$L$20,,0,1),_xlfn.ANCHORARRAY($AA312))*$P$154:$U$154)</f>
        <v>33.299999999999997</v>
      </c>
      <c r="AO312" s="3" cm="1">
        <f t="array" ref="AO312">SUM(_xlfn.CHOOSECOLS(_xlfn.XLOOKUP(AO$298,Destinations!$B$6:$B$20,Destinations!$C$6:$L$20,,0,1),_xlfn.ANCHORARRAY($J312))*$L$154:$O$154) + SUM(_xlfn.CHOOSECOLS(_xlfn.XLOOKUP(AO$298,Destinations!$B$6:$B$20,Destinations!$C$6:$L$20,,0,1),_xlfn.ANCHORARRAY($AA312))*$P$154:$U$154)</f>
        <v>29.9</v>
      </c>
      <c r="AP312" s="3" cm="1">
        <f t="array" ref="AP312">SUM(_xlfn.CHOOSECOLS(_xlfn.XLOOKUP(AP$298,Destinations!$B$6:$B$20,Destinations!$C$6:$L$20,,0,1),_xlfn.ANCHORARRAY($J312))*$L$154:$O$154) + SUM(_xlfn.CHOOSECOLS(_xlfn.XLOOKUP(AP$298,Destinations!$B$6:$B$20,Destinations!$C$6:$L$20,,0,1),_xlfn.ANCHORARRAY($AA312))*$P$154:$U$154)</f>
        <v>31.300000000000004</v>
      </c>
      <c r="AQ312" s="3" cm="1">
        <f t="array" ref="AQ312">SUM(_xlfn.CHOOSECOLS(_xlfn.XLOOKUP(AQ$298,Destinations!$B$6:$B$20,Destinations!$C$6:$L$20,,0,1),_xlfn.ANCHORARRAY($J312))*$L$154:$O$154) + SUM(_xlfn.CHOOSECOLS(_xlfn.XLOOKUP(AQ$298,Destinations!$B$6:$B$20,Destinations!$C$6:$L$20,,0,1),_xlfn.ANCHORARRAY($AA312))*$P$154:$U$154)</f>
        <v>30.500000000000004</v>
      </c>
      <c r="AR312" s="3" cm="1">
        <f t="array" ref="AR312">SUM(_xlfn.CHOOSECOLS(_xlfn.XLOOKUP(AR$298,Destinations!$B$6:$B$20,Destinations!$C$6:$L$20,,0,1),_xlfn.ANCHORARRAY($J312))*$L$154:$O$154) + SUM(_xlfn.CHOOSECOLS(_xlfn.XLOOKUP(AR$298,Destinations!$B$6:$B$20,Destinations!$C$6:$L$20,,0,1),_xlfn.ANCHORARRAY($AA312))*$P$154:$U$154)</f>
        <v>30.8</v>
      </c>
      <c r="AS312" s="3" cm="1">
        <f t="array" ref="AS312">SUM(_xlfn.CHOOSECOLS(_xlfn.XLOOKUP(AS$298,Destinations!$B$6:$B$20,Destinations!$C$6:$L$20,,0,1),_xlfn.ANCHORARRAY($J312))*$L$154:$O$154) + SUM(_xlfn.CHOOSECOLS(_xlfn.XLOOKUP(AS$298,Destinations!$B$6:$B$20,Destinations!$C$6:$L$20,,0,1),_xlfn.ANCHORARRAY($AA312))*$P$154:$U$154)</f>
        <v>27.700000000000003</v>
      </c>
      <c r="AT312" s="3" cm="1">
        <f t="array" ref="AT312">SUM(_xlfn.CHOOSECOLS(_xlfn.XLOOKUP(AT$298,Destinations!$B$6:$B$20,Destinations!$C$6:$L$20,,0,1),_xlfn.ANCHORARRAY($J312))*$L$154:$O$154) + SUM(_xlfn.CHOOSECOLS(_xlfn.XLOOKUP(AT$298,Destinations!$B$6:$B$20,Destinations!$C$6:$L$20,,0,1),_xlfn.ANCHORARRAY($AA312))*$P$154:$U$154)</f>
        <v>28.3</v>
      </c>
      <c r="AU312" s="3" cm="1">
        <f t="array" ref="AU312">SUM(_xlfn.CHOOSECOLS(_xlfn.XLOOKUP(AU$298,Destinations!$B$6:$B$20,Destinations!$C$6:$L$20,,0,1),_xlfn.ANCHORARRAY($J312))*$L$154:$O$154) + SUM(_xlfn.CHOOSECOLS(_xlfn.XLOOKUP(AU$298,Destinations!$B$6:$B$20,Destinations!$C$6:$L$20,,0,1),_xlfn.ANCHORARRAY($AA312))*$P$154:$U$154)</f>
        <v>28.900000000000002</v>
      </c>
      <c r="AV312" s="3" cm="1">
        <f t="array" ref="AV312">SUM(_xlfn.CHOOSECOLS(_xlfn.XLOOKUP(AV$298,Destinations!$B$6:$B$20,Destinations!$C$6:$L$20,,0,1),_xlfn.ANCHORARRAY($J312))*$L$154:$O$154) + SUM(_xlfn.CHOOSECOLS(_xlfn.XLOOKUP(AV$298,Destinations!$B$6:$B$20,Destinations!$C$6:$L$20,,0,1),_xlfn.ANCHORARRAY($AA312))*$P$154:$U$154)</f>
        <v>34.4</v>
      </c>
      <c r="AX312" s="5" t="b" cm="1">
        <f t="array" ref="AX312:BL312">IFERROR(_xlfn.XLOOKUP(_xlfn.ANCHORARRAY($AH$298),Distances!$N$11:$N$20,Distances!$M$11:$M$20,, 0, 1), "South Island")=I312</f>
        <v>1</v>
      </c>
      <c r="AY312" s="5" t="b">
        <v>1</v>
      </c>
      <c r="AZ312" s="5" t="b">
        <v>1</v>
      </c>
      <c r="BA312" s="5" t="b">
        <v>1</v>
      </c>
      <c r="BB312" s="5" t="b">
        <v>1</v>
      </c>
      <c r="BC312" s="5" t="b">
        <v>1</v>
      </c>
      <c r="BD312" s="5" t="b">
        <v>1</v>
      </c>
      <c r="BE312" s="5" t="b">
        <v>1</v>
      </c>
      <c r="BF312" s="5" t="b">
        <v>1</v>
      </c>
      <c r="BG312" s="5" t="b">
        <v>1</v>
      </c>
      <c r="BH312" s="5" t="b">
        <v>0</v>
      </c>
      <c r="BI312" s="5" t="b">
        <v>0</v>
      </c>
      <c r="BJ312" s="5" t="b">
        <v>0</v>
      </c>
      <c r="BK312" s="5" t="b">
        <v>0</v>
      </c>
      <c r="BL312" s="5" t="b">
        <v>0</v>
      </c>
      <c r="BQ312" s="5">
        <v>247.5</v>
      </c>
      <c r="BR312" s="5">
        <v>120</v>
      </c>
      <c r="BS312" s="5">
        <v>274.5</v>
      </c>
      <c r="BT312" s="5">
        <v>213.75</v>
      </c>
      <c r="BU312" s="5">
        <v>295.5</v>
      </c>
      <c r="BV312" s="5">
        <v>498</v>
      </c>
      <c r="BW312" s="5">
        <v>396.75</v>
      </c>
      <c r="BX312" s="5">
        <v>437.25</v>
      </c>
      <c r="BY312" s="5">
        <v>516</v>
      </c>
      <c r="BZ312" s="5">
        <v>615</v>
      </c>
      <c r="CA312" s="5">
        <v>963.75</v>
      </c>
      <c r="CB312" s="5">
        <v>1134.75</v>
      </c>
      <c r="CC312" s="5">
        <v>1492.5</v>
      </c>
      <c r="CD312" s="5">
        <v>1400.25</v>
      </c>
      <c r="CE312" s="5">
        <v>1554.75</v>
      </c>
      <c r="CG312" s="5">
        <v>29</v>
      </c>
      <c r="CH312" s="5">
        <v>26</v>
      </c>
      <c r="CI312" s="5">
        <v>26</v>
      </c>
      <c r="CJ312" s="5">
        <v>30</v>
      </c>
      <c r="CK312" s="5">
        <v>26</v>
      </c>
      <c r="CL312" s="5">
        <v>30</v>
      </c>
      <c r="CM312" s="5">
        <v>29</v>
      </c>
      <c r="CN312" s="5">
        <v>26</v>
      </c>
      <c r="CO312" s="5">
        <v>26</v>
      </c>
      <c r="CP312" s="5">
        <v>24</v>
      </c>
      <c r="CQ312" s="5">
        <v>21</v>
      </c>
      <c r="CR312" s="5">
        <v>16</v>
      </c>
      <c r="CS312" s="5">
        <v>13</v>
      </c>
      <c r="CT312" s="5">
        <v>15</v>
      </c>
      <c r="CU312" s="5">
        <v>19</v>
      </c>
      <c r="CW312" s="5">
        <f t="shared" si="3"/>
        <v>30</v>
      </c>
      <c r="CZ312" s="5">
        <f t="shared" si="4"/>
        <v>15</v>
      </c>
      <c r="DA312" s="5" t="str" cm="1">
        <f t="array" ref="DA312">_xlfn.CHOOSECOLS(_xlfn.ANCHORARRAY($AH$298),MATCH(CW312,CG312:CU312))</f>
        <v>Invercargill</v>
      </c>
    </row>
    <row r="313" spans="2:105" ht="22.5" customHeight="1">
      <c r="B313" s="11">
        <v>113</v>
      </c>
      <c r="C313" s="11">
        <v>7</v>
      </c>
      <c r="D313" s="18">
        <v>11</v>
      </c>
      <c r="E313" s="34" t="s">
        <v>220</v>
      </c>
      <c r="F313" s="37"/>
      <c r="G313" s="17" t="s">
        <v>149</v>
      </c>
      <c r="H313" s="17" t="s">
        <v>172</v>
      </c>
      <c r="I313" s="3" t="str">
        <v>South Island</v>
      </c>
      <c r="J313" s="3" cm="1">
        <f t="array" ref="J313:M313">_xlfn.XLOOKUP(H313,Families!$B$6:$B$25,_xlfn.ANCHORARRAY(Families!$I$6))</f>
        <v>6</v>
      </c>
      <c r="K313" s="3">
        <v>4</v>
      </c>
      <c r="L313" s="3">
        <v>10</v>
      </c>
      <c r="M313" s="3">
        <v>8</v>
      </c>
      <c r="O313" s="5" cm="1">
        <f t="array" ref="O313:X313">_xlfn.SEQUENCE(1,10,1,1)</f>
        <v>1</v>
      </c>
      <c r="P313" s="5">
        <v>2</v>
      </c>
      <c r="Q313" s="5">
        <v>3</v>
      </c>
      <c r="R313" s="5">
        <v>4</v>
      </c>
      <c r="S313" s="5">
        <v>5</v>
      </c>
      <c r="T313" s="5">
        <v>6</v>
      </c>
      <c r="U313" s="5">
        <v>7</v>
      </c>
      <c r="V313" s="5">
        <v>8</v>
      </c>
      <c r="W313" s="5">
        <v>9</v>
      </c>
      <c r="X313" s="5">
        <v>10</v>
      </c>
      <c r="AA313" s="5" cm="1">
        <f t="array" ref="AA313:AF313">_xlfn._xlws.FILTER(_xlfn.ANCHORARRAY(O313), COUNTIF(_xlfn.ANCHORARRAY(J313),_xlfn.ANCHORARRAY(O313))=0)</f>
        <v>1</v>
      </c>
      <c r="AB313" s="5">
        <v>2</v>
      </c>
      <c r="AC313" s="5">
        <v>3</v>
      </c>
      <c r="AD313" s="5">
        <v>5</v>
      </c>
      <c r="AE313" s="5">
        <v>7</v>
      </c>
      <c r="AF313" s="5">
        <v>9</v>
      </c>
      <c r="AH313" s="3" cm="1">
        <f t="array" ref="AH313">SUM(_xlfn.CHOOSECOLS(_xlfn.XLOOKUP(AH$298,Destinations!$B$6:$B$20,Destinations!$C$6:$L$20,,0,1),_xlfn.ANCHORARRAY($J313))*$L$154:$O$154) + SUM(_xlfn.CHOOSECOLS(_xlfn.XLOOKUP(AH$298,Destinations!$B$6:$B$20,Destinations!$C$6:$L$20,,0,1),_xlfn.ANCHORARRAY($AA313))*$P$154:$U$154)</f>
        <v>30.8</v>
      </c>
      <c r="AI313" s="3" cm="1">
        <f t="array" ref="AI313">SUM(_xlfn.CHOOSECOLS(_xlfn.XLOOKUP(AI$298,Destinations!$B$6:$B$20,Destinations!$C$6:$L$20,,0,1),_xlfn.ANCHORARRAY($J313))*$L$154:$O$154) + SUM(_xlfn.CHOOSECOLS(_xlfn.XLOOKUP(AI$298,Destinations!$B$6:$B$20,Destinations!$C$6:$L$20,,0,1),_xlfn.ANCHORARRAY($AA313))*$P$154:$U$154)</f>
        <v>29.1</v>
      </c>
      <c r="AJ313" s="3" cm="1">
        <f t="array" ref="AJ313">SUM(_xlfn.CHOOSECOLS(_xlfn.XLOOKUP(AJ$298,Destinations!$B$6:$B$20,Destinations!$C$6:$L$20,,0,1),_xlfn.ANCHORARRAY($J313))*$L$154:$O$154) + SUM(_xlfn.CHOOSECOLS(_xlfn.XLOOKUP(AJ$298,Destinations!$B$6:$B$20,Destinations!$C$6:$L$20,,0,1),_xlfn.ANCHORARRAY($AA313))*$P$154:$U$154)</f>
        <v>30.3</v>
      </c>
      <c r="AK313" s="3" cm="1">
        <f t="array" ref="AK313">SUM(_xlfn.CHOOSECOLS(_xlfn.XLOOKUP(AK$298,Destinations!$B$6:$B$20,Destinations!$C$6:$L$20,,0,1),_xlfn.ANCHORARRAY($J313))*$L$154:$O$154) + SUM(_xlfn.CHOOSECOLS(_xlfn.XLOOKUP(AK$298,Destinations!$B$6:$B$20,Destinations!$C$6:$L$20,,0,1),_xlfn.ANCHORARRAY($AA313))*$P$154:$U$154)</f>
        <v>31.1</v>
      </c>
      <c r="AL313" s="3" cm="1">
        <f t="array" ref="AL313">SUM(_xlfn.CHOOSECOLS(_xlfn.XLOOKUP(AL$298,Destinations!$B$6:$B$20,Destinations!$C$6:$L$20,,0,1),_xlfn.ANCHORARRAY($J313))*$L$154:$O$154) + SUM(_xlfn.CHOOSECOLS(_xlfn.XLOOKUP(AL$298,Destinations!$B$6:$B$20,Destinations!$C$6:$L$20,,0,1),_xlfn.ANCHORARRAY($AA313))*$P$154:$U$154)</f>
        <v>28.5</v>
      </c>
      <c r="AM313" s="3" cm="1">
        <f t="array" ref="AM313">SUM(_xlfn.CHOOSECOLS(_xlfn.XLOOKUP(AM$298,Destinations!$B$6:$B$20,Destinations!$C$6:$L$20,,0,1),_xlfn.ANCHORARRAY($J313))*$L$154:$O$154) + SUM(_xlfn.CHOOSECOLS(_xlfn.XLOOKUP(AM$298,Destinations!$B$6:$B$20,Destinations!$C$6:$L$20,,0,1),_xlfn.ANCHORARRAY($AA313))*$P$154:$U$154)</f>
        <v>32.300000000000004</v>
      </c>
      <c r="AN313" s="3" cm="1">
        <f t="array" ref="AN313">SUM(_xlfn.CHOOSECOLS(_xlfn.XLOOKUP(AN$298,Destinations!$B$6:$B$20,Destinations!$C$6:$L$20,,0,1),_xlfn.ANCHORARRAY($J313))*$L$154:$O$154) + SUM(_xlfn.CHOOSECOLS(_xlfn.XLOOKUP(AN$298,Destinations!$B$6:$B$20,Destinations!$C$6:$L$20,,0,1),_xlfn.ANCHORARRAY($AA313))*$P$154:$U$154)</f>
        <v>32.800000000000004</v>
      </c>
      <c r="AO313" s="3" cm="1">
        <f t="array" ref="AO313">SUM(_xlfn.CHOOSECOLS(_xlfn.XLOOKUP(AO$298,Destinations!$B$6:$B$20,Destinations!$C$6:$L$20,,0,1),_xlfn.ANCHORARRAY($J313))*$L$154:$O$154) + SUM(_xlfn.CHOOSECOLS(_xlfn.XLOOKUP(AO$298,Destinations!$B$6:$B$20,Destinations!$C$6:$L$20,,0,1),_xlfn.ANCHORARRAY($AA313))*$P$154:$U$154)</f>
        <v>29.1</v>
      </c>
      <c r="AP313" s="3" cm="1">
        <f t="array" ref="AP313">SUM(_xlfn.CHOOSECOLS(_xlfn.XLOOKUP(AP$298,Destinations!$B$6:$B$20,Destinations!$C$6:$L$20,,0,1),_xlfn.ANCHORARRAY($J313))*$L$154:$O$154) + SUM(_xlfn.CHOOSECOLS(_xlfn.XLOOKUP(AP$298,Destinations!$B$6:$B$20,Destinations!$C$6:$L$20,,0,1),_xlfn.ANCHORARRAY($AA313))*$P$154:$U$154)</f>
        <v>30.2</v>
      </c>
      <c r="AQ313" s="3" cm="1">
        <f t="array" ref="AQ313">SUM(_xlfn.CHOOSECOLS(_xlfn.XLOOKUP(AQ$298,Destinations!$B$6:$B$20,Destinations!$C$6:$L$20,,0,1),_xlfn.ANCHORARRAY($J313))*$L$154:$O$154) + SUM(_xlfn.CHOOSECOLS(_xlfn.XLOOKUP(AQ$298,Destinations!$B$6:$B$20,Destinations!$C$6:$L$20,,0,1),_xlfn.ANCHORARRAY($AA313))*$P$154:$U$154)</f>
        <v>29.700000000000003</v>
      </c>
      <c r="AR313" s="3" cm="1">
        <f t="array" ref="AR313">SUM(_xlfn.CHOOSECOLS(_xlfn.XLOOKUP(AR$298,Destinations!$B$6:$B$20,Destinations!$C$6:$L$20,,0,1),_xlfn.ANCHORARRAY($J313))*$L$154:$O$154) + SUM(_xlfn.CHOOSECOLS(_xlfn.XLOOKUP(AR$298,Destinations!$B$6:$B$20,Destinations!$C$6:$L$20,,0,1),_xlfn.ANCHORARRAY($AA313))*$P$154:$U$154)</f>
        <v>31.6</v>
      </c>
      <c r="AS313" s="3" cm="1">
        <f t="array" ref="AS313">SUM(_xlfn.CHOOSECOLS(_xlfn.XLOOKUP(AS$298,Destinations!$B$6:$B$20,Destinations!$C$6:$L$20,,0,1),_xlfn.ANCHORARRAY($J313))*$L$154:$O$154) + SUM(_xlfn.CHOOSECOLS(_xlfn.XLOOKUP(AS$298,Destinations!$B$6:$B$20,Destinations!$C$6:$L$20,,0,1),_xlfn.ANCHORARRAY($AA313))*$P$154:$U$154)</f>
        <v>26.9</v>
      </c>
      <c r="AT313" s="3" cm="1">
        <f t="array" ref="AT313">SUM(_xlfn.CHOOSECOLS(_xlfn.XLOOKUP(AT$298,Destinations!$B$6:$B$20,Destinations!$C$6:$L$20,,0,1),_xlfn.ANCHORARRAY($J313))*$L$154:$O$154) + SUM(_xlfn.CHOOSECOLS(_xlfn.XLOOKUP(AT$298,Destinations!$B$6:$B$20,Destinations!$C$6:$L$20,,0,1),_xlfn.ANCHORARRAY($AA313))*$P$154:$U$154)</f>
        <v>32.400000000000006</v>
      </c>
      <c r="AU313" s="3" cm="1">
        <f t="array" ref="AU313">SUM(_xlfn.CHOOSECOLS(_xlfn.XLOOKUP(AU$298,Destinations!$B$6:$B$20,Destinations!$C$6:$L$20,,0,1),_xlfn.ANCHORARRAY($J313))*$L$154:$O$154) + SUM(_xlfn.CHOOSECOLS(_xlfn.XLOOKUP(AU$298,Destinations!$B$6:$B$20,Destinations!$C$6:$L$20,,0,1),_xlfn.ANCHORARRAY($AA313))*$P$154:$U$154)</f>
        <v>28.1</v>
      </c>
      <c r="AV313" s="3" cm="1">
        <f t="array" ref="AV313">SUM(_xlfn.CHOOSECOLS(_xlfn.XLOOKUP(AV$298,Destinations!$B$6:$B$20,Destinations!$C$6:$L$20,,0,1),_xlfn.ANCHORARRAY($J313))*$L$154:$O$154) + SUM(_xlfn.CHOOSECOLS(_xlfn.XLOOKUP(AV$298,Destinations!$B$6:$B$20,Destinations!$C$6:$L$20,,0,1),_xlfn.ANCHORARRAY($AA313))*$P$154:$U$154)</f>
        <v>32.400000000000006</v>
      </c>
      <c r="AX313" s="5" t="b" cm="1">
        <f t="array" ref="AX313:BL313">IFERROR(_xlfn.XLOOKUP(_xlfn.ANCHORARRAY($AH$298),Distances!$N$11:$N$20,Distances!$M$11:$M$20,, 0, 1), "South Island")=I313</f>
        <v>0</v>
      </c>
      <c r="AY313" s="5" t="b">
        <v>0</v>
      </c>
      <c r="AZ313" s="5" t="b">
        <v>0</v>
      </c>
      <c r="BA313" s="5" t="b">
        <v>0</v>
      </c>
      <c r="BB313" s="5" t="b">
        <v>0</v>
      </c>
      <c r="BC313" s="5" t="b">
        <v>0</v>
      </c>
      <c r="BD313" s="5" t="b">
        <v>0</v>
      </c>
      <c r="BE313" s="5" t="b">
        <v>0</v>
      </c>
      <c r="BF313" s="5" t="b">
        <v>0</v>
      </c>
      <c r="BG313" s="5" t="b">
        <v>0</v>
      </c>
      <c r="BH313" s="5" t="b">
        <v>1</v>
      </c>
      <c r="BI313" s="5" t="b">
        <v>1</v>
      </c>
      <c r="BJ313" s="5" t="b">
        <v>1</v>
      </c>
      <c r="BK313" s="5" t="b">
        <v>1</v>
      </c>
      <c r="BL313" s="5" t="b">
        <v>1</v>
      </c>
      <c r="BQ313" s="5">
        <v>1257</v>
      </c>
      <c r="BR313" s="5">
        <v>1134.75</v>
      </c>
      <c r="BS313" s="5">
        <v>1047</v>
      </c>
      <c r="BT313" s="5">
        <v>1042.5</v>
      </c>
      <c r="BU313" s="5">
        <v>992.25</v>
      </c>
      <c r="BV313" s="5">
        <v>1052.25</v>
      </c>
      <c r="BW313" s="5">
        <v>917.25</v>
      </c>
      <c r="BX313" s="5">
        <v>894.75</v>
      </c>
      <c r="BY313" s="5">
        <v>759</v>
      </c>
      <c r="BZ313" s="5">
        <v>656.25</v>
      </c>
      <c r="CA313" s="5">
        <v>430.5</v>
      </c>
      <c r="CB313" s="5">
        <v>120</v>
      </c>
      <c r="CC313" s="5">
        <v>481.5</v>
      </c>
      <c r="CD313" s="5">
        <v>390</v>
      </c>
      <c r="CE313" s="5">
        <v>543.75</v>
      </c>
      <c r="CG313" s="5">
        <v>18</v>
      </c>
      <c r="CH313" s="5">
        <v>18</v>
      </c>
      <c r="CI313" s="5">
        <v>20</v>
      </c>
      <c r="CJ313" s="5">
        <v>21</v>
      </c>
      <c r="CK313" s="5">
        <v>19</v>
      </c>
      <c r="CL313" s="5">
        <v>22</v>
      </c>
      <c r="CM313" s="5">
        <v>24</v>
      </c>
      <c r="CN313" s="5">
        <v>20</v>
      </c>
      <c r="CO313" s="5">
        <v>23</v>
      </c>
      <c r="CP313" s="5">
        <v>23</v>
      </c>
      <c r="CQ313" s="5">
        <v>27</v>
      </c>
      <c r="CR313" s="5">
        <v>26</v>
      </c>
      <c r="CS313" s="5">
        <v>28</v>
      </c>
      <c r="CT313" s="5">
        <v>24</v>
      </c>
      <c r="CU313" s="5">
        <v>27</v>
      </c>
      <c r="CW313" s="5">
        <f t="shared" si="3"/>
        <v>28</v>
      </c>
      <c r="CZ313" s="5">
        <f t="shared" si="4"/>
        <v>15</v>
      </c>
      <c r="DA313" s="5" t="str" cm="1">
        <f t="array" ref="DA313">_xlfn.CHOOSECOLS(_xlfn.ANCHORARRAY($AH$298),MATCH(CW313,CG313:CU313))</f>
        <v>Invercargill</v>
      </c>
    </row>
    <row r="314" spans="2:105" ht="22.5" customHeight="1">
      <c r="B314" s="11">
        <v>114</v>
      </c>
      <c r="C314" s="11">
        <v>7</v>
      </c>
      <c r="D314" s="18">
        <v>11</v>
      </c>
      <c r="E314" s="34" t="s">
        <v>223</v>
      </c>
      <c r="F314" s="37"/>
      <c r="G314" s="17" t="s">
        <v>70</v>
      </c>
      <c r="H314" s="17" t="s">
        <v>128</v>
      </c>
      <c r="I314" s="3" t="str">
        <v>North Island</v>
      </c>
      <c r="J314" s="3" cm="1">
        <f t="array" ref="J314:M314">_xlfn.XLOOKUP(H314,Families!$B$6:$B$25,_xlfn.ANCHORARRAY(Families!$I$6))</f>
        <v>8</v>
      </c>
      <c r="K314" s="3">
        <v>9</v>
      </c>
      <c r="L314" s="3">
        <v>5</v>
      </c>
      <c r="M314" s="3">
        <v>1</v>
      </c>
      <c r="O314" s="5" cm="1">
        <f t="array" ref="O314:X314">_xlfn.SEQUENCE(1,10,1,1)</f>
        <v>1</v>
      </c>
      <c r="P314" s="5">
        <v>2</v>
      </c>
      <c r="Q314" s="5">
        <v>3</v>
      </c>
      <c r="R314" s="5">
        <v>4</v>
      </c>
      <c r="S314" s="5">
        <v>5</v>
      </c>
      <c r="T314" s="5">
        <v>6</v>
      </c>
      <c r="U314" s="5">
        <v>7</v>
      </c>
      <c r="V314" s="5">
        <v>8</v>
      </c>
      <c r="W314" s="5">
        <v>9</v>
      </c>
      <c r="X314" s="5">
        <v>10</v>
      </c>
      <c r="AA314" s="5" cm="1">
        <f t="array" ref="AA314:AF314">_xlfn._xlws.FILTER(_xlfn.ANCHORARRAY(O314), COUNTIF(_xlfn.ANCHORARRAY(J314),_xlfn.ANCHORARRAY(O314))=0)</f>
        <v>2</v>
      </c>
      <c r="AB314" s="5">
        <v>3</v>
      </c>
      <c r="AC314" s="5">
        <v>4</v>
      </c>
      <c r="AD314" s="5">
        <v>6</v>
      </c>
      <c r="AE314" s="5">
        <v>7</v>
      </c>
      <c r="AF314" s="5">
        <v>10</v>
      </c>
      <c r="AH314" s="3" cm="1">
        <f t="array" ref="AH314">SUM(_xlfn.CHOOSECOLS(_xlfn.XLOOKUP(AH$298,Destinations!$B$6:$B$20,Destinations!$C$6:$L$20,,0,1),_xlfn.ANCHORARRAY($J314))*$L$154:$O$154) + SUM(_xlfn.CHOOSECOLS(_xlfn.XLOOKUP(AH$298,Destinations!$B$6:$B$20,Destinations!$C$6:$L$20,,0,1),_xlfn.ANCHORARRAY($AA314))*$P$154:$U$154)</f>
        <v>30.400000000000002</v>
      </c>
      <c r="AI314" s="3" cm="1">
        <f t="array" ref="AI314">SUM(_xlfn.CHOOSECOLS(_xlfn.XLOOKUP(AI$298,Destinations!$B$6:$B$20,Destinations!$C$6:$L$20,,0,1),_xlfn.ANCHORARRAY($J314))*$L$154:$O$154) + SUM(_xlfn.CHOOSECOLS(_xlfn.XLOOKUP(AI$298,Destinations!$B$6:$B$20,Destinations!$C$6:$L$20,,0,1),_xlfn.ANCHORARRAY($AA314))*$P$154:$U$154)</f>
        <v>29.900000000000002</v>
      </c>
      <c r="AJ314" s="3" cm="1">
        <f t="array" ref="AJ314">SUM(_xlfn.CHOOSECOLS(_xlfn.XLOOKUP(AJ$298,Destinations!$B$6:$B$20,Destinations!$C$6:$L$20,,0,1),_xlfn.ANCHORARRAY($J314))*$L$154:$O$154) + SUM(_xlfn.CHOOSECOLS(_xlfn.XLOOKUP(AJ$298,Destinations!$B$6:$B$20,Destinations!$C$6:$L$20,,0,1),_xlfn.ANCHORARRAY($AA314))*$P$154:$U$154)</f>
        <v>29.599999999999998</v>
      </c>
      <c r="AK314" s="3" cm="1">
        <f t="array" ref="AK314">SUM(_xlfn.CHOOSECOLS(_xlfn.XLOOKUP(AK$298,Destinations!$B$6:$B$20,Destinations!$C$6:$L$20,,0,1),_xlfn.ANCHORARRAY($J314))*$L$154:$O$154) + SUM(_xlfn.CHOOSECOLS(_xlfn.XLOOKUP(AK$298,Destinations!$B$6:$B$20,Destinations!$C$6:$L$20,,0,1),_xlfn.ANCHORARRAY($AA314))*$P$154:$U$154)</f>
        <v>30.900000000000006</v>
      </c>
      <c r="AL314" s="3" cm="1">
        <f t="array" ref="AL314">SUM(_xlfn.CHOOSECOLS(_xlfn.XLOOKUP(AL$298,Destinations!$B$6:$B$20,Destinations!$C$6:$L$20,,0,1),_xlfn.ANCHORARRAY($J314))*$L$154:$O$154) + SUM(_xlfn.CHOOSECOLS(_xlfn.XLOOKUP(AL$298,Destinations!$B$6:$B$20,Destinations!$C$6:$L$20,,0,1),_xlfn.ANCHORARRAY($AA314))*$P$154:$U$154)</f>
        <v>30.9</v>
      </c>
      <c r="AM314" s="3" cm="1">
        <f t="array" ref="AM314">SUM(_xlfn.CHOOSECOLS(_xlfn.XLOOKUP(AM$298,Destinations!$B$6:$B$20,Destinations!$C$6:$L$20,,0,1),_xlfn.ANCHORARRAY($J314))*$L$154:$O$154) + SUM(_xlfn.CHOOSECOLS(_xlfn.XLOOKUP(AM$298,Destinations!$B$6:$B$20,Destinations!$C$6:$L$20,,0,1),_xlfn.ANCHORARRAY($AA314))*$P$154:$U$154)</f>
        <v>30.599999999999998</v>
      </c>
      <c r="AN314" s="3" cm="1">
        <f t="array" ref="AN314">SUM(_xlfn.CHOOSECOLS(_xlfn.XLOOKUP(AN$298,Destinations!$B$6:$B$20,Destinations!$C$6:$L$20,,0,1),_xlfn.ANCHORARRAY($J314))*$L$154:$O$154) + SUM(_xlfn.CHOOSECOLS(_xlfn.XLOOKUP(AN$298,Destinations!$B$6:$B$20,Destinations!$C$6:$L$20,,0,1),_xlfn.ANCHORARRAY($AA314))*$P$154:$U$154)</f>
        <v>30.8</v>
      </c>
      <c r="AO314" s="3" cm="1">
        <f t="array" ref="AO314">SUM(_xlfn.CHOOSECOLS(_xlfn.XLOOKUP(AO$298,Destinations!$B$6:$B$20,Destinations!$C$6:$L$20,,0,1),_xlfn.ANCHORARRAY($J314))*$L$154:$O$154) + SUM(_xlfn.CHOOSECOLS(_xlfn.XLOOKUP(AO$298,Destinations!$B$6:$B$20,Destinations!$C$6:$L$20,,0,1),_xlfn.ANCHORARRAY($AA314))*$P$154:$U$154)</f>
        <v>33.6</v>
      </c>
      <c r="AP314" s="3" cm="1">
        <f t="array" ref="AP314">SUM(_xlfn.CHOOSECOLS(_xlfn.XLOOKUP(AP$298,Destinations!$B$6:$B$20,Destinations!$C$6:$L$20,,0,1),_xlfn.ANCHORARRAY($J314))*$L$154:$O$154) + SUM(_xlfn.CHOOSECOLS(_xlfn.XLOOKUP(AP$298,Destinations!$B$6:$B$20,Destinations!$C$6:$L$20,,0,1),_xlfn.ANCHORARRAY($AA314))*$P$154:$U$154)</f>
        <v>28</v>
      </c>
      <c r="AQ314" s="3" cm="1">
        <f t="array" ref="AQ314">SUM(_xlfn.CHOOSECOLS(_xlfn.XLOOKUP(AQ$298,Destinations!$B$6:$B$20,Destinations!$C$6:$L$20,,0,1),_xlfn.ANCHORARRAY($J314))*$L$154:$O$154) + SUM(_xlfn.CHOOSECOLS(_xlfn.XLOOKUP(AQ$298,Destinations!$B$6:$B$20,Destinations!$C$6:$L$20,,0,1),_xlfn.ANCHORARRAY($AA314))*$P$154:$U$154)</f>
        <v>27.5</v>
      </c>
      <c r="AR314" s="3" cm="1">
        <f t="array" ref="AR314">SUM(_xlfn.CHOOSECOLS(_xlfn.XLOOKUP(AR$298,Destinations!$B$6:$B$20,Destinations!$C$6:$L$20,,0,1),_xlfn.ANCHORARRAY($J314))*$L$154:$O$154) + SUM(_xlfn.CHOOSECOLS(_xlfn.XLOOKUP(AR$298,Destinations!$B$6:$B$20,Destinations!$C$6:$L$20,,0,1),_xlfn.ANCHORARRAY($AA314))*$P$154:$U$154)</f>
        <v>29.699999999999996</v>
      </c>
      <c r="AS314" s="3" cm="1">
        <f t="array" ref="AS314">SUM(_xlfn.CHOOSECOLS(_xlfn.XLOOKUP(AS$298,Destinations!$B$6:$B$20,Destinations!$C$6:$L$20,,0,1),_xlfn.ANCHORARRAY($J314))*$L$154:$O$154) + SUM(_xlfn.CHOOSECOLS(_xlfn.XLOOKUP(AS$298,Destinations!$B$6:$B$20,Destinations!$C$6:$L$20,,0,1),_xlfn.ANCHORARRAY($AA314))*$P$154:$U$154)</f>
        <v>28</v>
      </c>
      <c r="AT314" s="3" cm="1">
        <f t="array" ref="AT314">SUM(_xlfn.CHOOSECOLS(_xlfn.XLOOKUP(AT$298,Destinations!$B$6:$B$20,Destinations!$C$6:$L$20,,0,1),_xlfn.ANCHORARRAY($J314))*$L$154:$O$154) + SUM(_xlfn.CHOOSECOLS(_xlfn.XLOOKUP(AT$298,Destinations!$B$6:$B$20,Destinations!$C$6:$L$20,,0,1),_xlfn.ANCHORARRAY($AA314))*$P$154:$U$154)</f>
        <v>32.1</v>
      </c>
      <c r="AU314" s="3" cm="1">
        <f t="array" ref="AU314">SUM(_xlfn.CHOOSECOLS(_xlfn.XLOOKUP(AU$298,Destinations!$B$6:$B$20,Destinations!$C$6:$L$20,,0,1),_xlfn.ANCHORARRAY($J314))*$L$154:$O$154) + SUM(_xlfn.CHOOSECOLS(_xlfn.XLOOKUP(AU$298,Destinations!$B$6:$B$20,Destinations!$C$6:$L$20,,0,1),_xlfn.ANCHORARRAY($AA314))*$P$154:$U$154)</f>
        <v>29.5</v>
      </c>
      <c r="AV314" s="3" cm="1">
        <f t="array" ref="AV314">SUM(_xlfn.CHOOSECOLS(_xlfn.XLOOKUP(AV$298,Destinations!$B$6:$B$20,Destinations!$C$6:$L$20,,0,1),_xlfn.ANCHORARRAY($J314))*$L$154:$O$154) + SUM(_xlfn.CHOOSECOLS(_xlfn.XLOOKUP(AV$298,Destinations!$B$6:$B$20,Destinations!$C$6:$L$20,,0,1),_xlfn.ANCHORARRAY($AA314))*$P$154:$U$154)</f>
        <v>34</v>
      </c>
      <c r="AX314" s="5" t="b" cm="1">
        <f t="array" ref="AX314:BL314">IFERROR(_xlfn.XLOOKUP(_xlfn.ANCHORARRAY($AH$298),Distances!$N$11:$N$20,Distances!$M$11:$M$20,, 0, 1), "South Island")=I314</f>
        <v>1</v>
      </c>
      <c r="AY314" s="5" t="b">
        <v>1</v>
      </c>
      <c r="AZ314" s="5" t="b">
        <v>1</v>
      </c>
      <c r="BA314" s="5" t="b">
        <v>1</v>
      </c>
      <c r="BB314" s="5" t="b">
        <v>1</v>
      </c>
      <c r="BC314" s="5" t="b">
        <v>1</v>
      </c>
      <c r="BD314" s="5" t="b">
        <v>1</v>
      </c>
      <c r="BE314" s="5" t="b">
        <v>1</v>
      </c>
      <c r="BF314" s="5" t="b">
        <v>1</v>
      </c>
      <c r="BG314" s="5" t="b">
        <v>1</v>
      </c>
      <c r="BH314" s="5" t="b">
        <v>0</v>
      </c>
      <c r="BI314" s="5" t="b">
        <v>0</v>
      </c>
      <c r="BJ314" s="5" t="b">
        <v>0</v>
      </c>
      <c r="BK314" s="5" t="b">
        <v>0</v>
      </c>
      <c r="BL314" s="5" t="b">
        <v>0</v>
      </c>
      <c r="BQ314" s="5">
        <v>247.5</v>
      </c>
      <c r="BR314" s="5">
        <v>120</v>
      </c>
      <c r="BS314" s="5">
        <v>274.5</v>
      </c>
      <c r="BT314" s="5">
        <v>213.75</v>
      </c>
      <c r="BU314" s="5">
        <v>295.5</v>
      </c>
      <c r="BV314" s="5">
        <v>498</v>
      </c>
      <c r="BW314" s="5">
        <v>396.75</v>
      </c>
      <c r="BX314" s="5">
        <v>437.25</v>
      </c>
      <c r="BY314" s="5">
        <v>516</v>
      </c>
      <c r="BZ314" s="5">
        <v>615</v>
      </c>
      <c r="CA314" s="5">
        <v>963.75</v>
      </c>
      <c r="CB314" s="5">
        <v>1134.75</v>
      </c>
      <c r="CC314" s="5">
        <v>1492.5</v>
      </c>
      <c r="CD314" s="5">
        <v>1400.25</v>
      </c>
      <c r="CE314" s="5">
        <v>1554.75</v>
      </c>
      <c r="CG314" s="5">
        <v>28</v>
      </c>
      <c r="CH314" s="5">
        <v>29</v>
      </c>
      <c r="CI314" s="5">
        <v>27</v>
      </c>
      <c r="CJ314" s="5">
        <v>29</v>
      </c>
      <c r="CK314" s="5">
        <v>28</v>
      </c>
      <c r="CL314" s="5">
        <v>26</v>
      </c>
      <c r="CM314" s="5">
        <v>27</v>
      </c>
      <c r="CN314" s="5">
        <v>29</v>
      </c>
      <c r="CO314" s="5">
        <v>23</v>
      </c>
      <c r="CP314" s="5">
        <v>21</v>
      </c>
      <c r="CQ314" s="5">
        <v>20</v>
      </c>
      <c r="CR314" s="5">
        <v>17</v>
      </c>
      <c r="CS314" s="5">
        <v>17</v>
      </c>
      <c r="CT314" s="5">
        <v>15</v>
      </c>
      <c r="CU314" s="5">
        <v>18</v>
      </c>
      <c r="CW314" s="5">
        <f t="shared" si="3"/>
        <v>29</v>
      </c>
      <c r="CZ314" s="5">
        <f t="shared" si="4"/>
        <v>8</v>
      </c>
      <c r="DA314" s="5" t="str" cm="1">
        <f t="array" ref="DA314">_xlfn.CHOOSECOLS(_xlfn.ANCHORARRAY($AH$298),MATCH(CW314,CG314:CU314))</f>
        <v>Napier</v>
      </c>
    </row>
    <row r="315" spans="2:105" ht="22.5" customHeight="1">
      <c r="B315" s="11">
        <v>115</v>
      </c>
      <c r="C315" s="11">
        <v>7</v>
      </c>
      <c r="D315" s="18">
        <v>11</v>
      </c>
      <c r="E315" s="34" t="s">
        <v>224</v>
      </c>
      <c r="F315" s="37"/>
      <c r="G315" s="17" t="s">
        <v>70</v>
      </c>
      <c r="H315" s="17" t="s">
        <v>129</v>
      </c>
      <c r="I315" s="3" t="str">
        <v>North Island</v>
      </c>
      <c r="J315" s="3" cm="1">
        <f t="array" ref="J315:M315">_xlfn.XLOOKUP(H315,Families!$B$6:$B$25,_xlfn.ANCHORARRAY(Families!$I$6))</f>
        <v>4</v>
      </c>
      <c r="K315" s="3">
        <v>6</v>
      </c>
      <c r="L315" s="3">
        <v>2</v>
      </c>
      <c r="M315" s="3">
        <v>3</v>
      </c>
      <c r="O315" s="5" cm="1">
        <f t="array" ref="O315:X315">_xlfn.SEQUENCE(1,10,1,1)</f>
        <v>1</v>
      </c>
      <c r="P315" s="5">
        <v>2</v>
      </c>
      <c r="Q315" s="5">
        <v>3</v>
      </c>
      <c r="R315" s="5">
        <v>4</v>
      </c>
      <c r="S315" s="5">
        <v>5</v>
      </c>
      <c r="T315" s="5">
        <v>6</v>
      </c>
      <c r="U315" s="5">
        <v>7</v>
      </c>
      <c r="V315" s="5">
        <v>8</v>
      </c>
      <c r="W315" s="5">
        <v>9</v>
      </c>
      <c r="X315" s="5">
        <v>10</v>
      </c>
      <c r="AA315" s="5" cm="1">
        <f t="array" ref="AA315:AF315">_xlfn._xlws.FILTER(_xlfn.ANCHORARRAY(O315), COUNTIF(_xlfn.ANCHORARRAY(J315),_xlfn.ANCHORARRAY(O315))=0)</f>
        <v>1</v>
      </c>
      <c r="AB315" s="5">
        <v>5</v>
      </c>
      <c r="AC315" s="5">
        <v>7</v>
      </c>
      <c r="AD315" s="5">
        <v>8</v>
      </c>
      <c r="AE315" s="5">
        <v>9</v>
      </c>
      <c r="AF315" s="5">
        <v>10</v>
      </c>
      <c r="AH315" s="3" cm="1">
        <f t="array" ref="AH315">SUM(_xlfn.CHOOSECOLS(_xlfn.XLOOKUP(AH$298,Destinations!$B$6:$B$20,Destinations!$C$6:$L$20,,0,1),_xlfn.ANCHORARRAY($J315))*$L$154:$O$154) + SUM(_xlfn.CHOOSECOLS(_xlfn.XLOOKUP(AH$298,Destinations!$B$6:$B$20,Destinations!$C$6:$L$20,,0,1),_xlfn.ANCHORARRAY($AA315))*$P$154:$U$154)</f>
        <v>31.5</v>
      </c>
      <c r="AI315" s="3" cm="1">
        <f t="array" ref="AI315">SUM(_xlfn.CHOOSECOLS(_xlfn.XLOOKUP(AI$298,Destinations!$B$6:$B$20,Destinations!$C$6:$L$20,,0,1),_xlfn.ANCHORARRAY($J315))*$L$154:$O$154) + SUM(_xlfn.CHOOSECOLS(_xlfn.XLOOKUP(AI$298,Destinations!$B$6:$B$20,Destinations!$C$6:$L$20,,0,1),_xlfn.ANCHORARRAY($AA315))*$P$154:$U$154)</f>
        <v>29.400000000000006</v>
      </c>
      <c r="AJ315" s="3" cm="1">
        <f t="array" ref="AJ315">SUM(_xlfn.CHOOSECOLS(_xlfn.XLOOKUP(AJ$298,Destinations!$B$6:$B$20,Destinations!$C$6:$L$20,,0,1),_xlfn.ANCHORARRAY($J315))*$L$154:$O$154) + SUM(_xlfn.CHOOSECOLS(_xlfn.XLOOKUP(AJ$298,Destinations!$B$6:$B$20,Destinations!$C$6:$L$20,,0,1),_xlfn.ANCHORARRAY($AA315))*$P$154:$U$154)</f>
        <v>32.400000000000006</v>
      </c>
      <c r="AK315" s="3" cm="1">
        <f t="array" ref="AK315">SUM(_xlfn.CHOOSECOLS(_xlfn.XLOOKUP(AK$298,Destinations!$B$6:$B$20,Destinations!$C$6:$L$20,,0,1),_xlfn.ANCHORARRAY($J315))*$L$154:$O$154) + SUM(_xlfn.CHOOSECOLS(_xlfn.XLOOKUP(AK$298,Destinations!$B$6:$B$20,Destinations!$C$6:$L$20,,0,1),_xlfn.ANCHORARRAY($AA315))*$P$154:$U$154)</f>
        <v>31.1</v>
      </c>
      <c r="AL315" s="3" cm="1">
        <f t="array" ref="AL315">SUM(_xlfn.CHOOSECOLS(_xlfn.XLOOKUP(AL$298,Destinations!$B$6:$B$20,Destinations!$C$6:$L$20,,0,1),_xlfn.ANCHORARRAY($J315))*$L$154:$O$154) + SUM(_xlfn.CHOOSECOLS(_xlfn.XLOOKUP(AL$298,Destinations!$B$6:$B$20,Destinations!$C$6:$L$20,,0,1),_xlfn.ANCHORARRAY($AA315))*$P$154:$U$154)</f>
        <v>29.7</v>
      </c>
      <c r="AM315" s="3" cm="1">
        <f t="array" ref="AM315">SUM(_xlfn.CHOOSECOLS(_xlfn.XLOOKUP(AM$298,Destinations!$B$6:$B$20,Destinations!$C$6:$L$20,,0,1),_xlfn.ANCHORARRAY($J315))*$L$154:$O$154) + SUM(_xlfn.CHOOSECOLS(_xlfn.XLOOKUP(AM$298,Destinations!$B$6:$B$20,Destinations!$C$6:$L$20,,0,1),_xlfn.ANCHORARRAY($AA315))*$P$154:$U$154)</f>
        <v>34.599999999999994</v>
      </c>
      <c r="AN315" s="3" cm="1">
        <f t="array" ref="AN315">SUM(_xlfn.CHOOSECOLS(_xlfn.XLOOKUP(AN$298,Destinations!$B$6:$B$20,Destinations!$C$6:$L$20,,0,1),_xlfn.ANCHORARRAY($J315))*$L$154:$O$154) + SUM(_xlfn.CHOOSECOLS(_xlfn.XLOOKUP(AN$298,Destinations!$B$6:$B$20,Destinations!$C$6:$L$20,,0,1),_xlfn.ANCHORARRAY($AA315))*$P$154:$U$154)</f>
        <v>32.299999999999997</v>
      </c>
      <c r="AO315" s="3" cm="1">
        <f t="array" ref="AO315">SUM(_xlfn.CHOOSECOLS(_xlfn.XLOOKUP(AO$298,Destinations!$B$6:$B$20,Destinations!$C$6:$L$20,,0,1),_xlfn.ANCHORARRAY($J315))*$L$154:$O$154) + SUM(_xlfn.CHOOSECOLS(_xlfn.XLOOKUP(AO$298,Destinations!$B$6:$B$20,Destinations!$C$6:$L$20,,0,1),_xlfn.ANCHORARRAY($AA315))*$P$154:$U$154)</f>
        <v>31.7</v>
      </c>
      <c r="AP315" s="3" cm="1">
        <f t="array" ref="AP315">SUM(_xlfn.CHOOSECOLS(_xlfn.XLOOKUP(AP$298,Destinations!$B$6:$B$20,Destinations!$C$6:$L$20,,0,1),_xlfn.ANCHORARRAY($J315))*$L$154:$O$154) + SUM(_xlfn.CHOOSECOLS(_xlfn.XLOOKUP(AP$298,Destinations!$B$6:$B$20,Destinations!$C$6:$L$20,,0,1),_xlfn.ANCHORARRAY($AA315))*$P$154:$U$154)</f>
        <v>30.799999999999997</v>
      </c>
      <c r="AQ315" s="3" cm="1">
        <f t="array" ref="AQ315">SUM(_xlfn.CHOOSECOLS(_xlfn.XLOOKUP(AQ$298,Destinations!$B$6:$B$20,Destinations!$C$6:$L$20,,0,1),_xlfn.ANCHORARRAY($J315))*$L$154:$O$154) + SUM(_xlfn.CHOOSECOLS(_xlfn.XLOOKUP(AQ$298,Destinations!$B$6:$B$20,Destinations!$C$6:$L$20,,0,1),_xlfn.ANCHORARRAY($AA315))*$P$154:$U$154)</f>
        <v>29.400000000000002</v>
      </c>
      <c r="AR315" s="3" cm="1">
        <f t="array" ref="AR315">SUM(_xlfn.CHOOSECOLS(_xlfn.XLOOKUP(AR$298,Destinations!$B$6:$B$20,Destinations!$C$6:$L$20,,0,1),_xlfn.ANCHORARRAY($J315))*$L$154:$O$154) + SUM(_xlfn.CHOOSECOLS(_xlfn.XLOOKUP(AR$298,Destinations!$B$6:$B$20,Destinations!$C$6:$L$20,,0,1),_xlfn.ANCHORARRAY($AA315))*$P$154:$U$154)</f>
        <v>33.799999999999997</v>
      </c>
      <c r="AS315" s="3" cm="1">
        <f t="array" ref="AS315">SUM(_xlfn.CHOOSECOLS(_xlfn.XLOOKUP(AS$298,Destinations!$B$6:$B$20,Destinations!$C$6:$L$20,,0,1),_xlfn.ANCHORARRAY($J315))*$L$154:$O$154) + SUM(_xlfn.CHOOSECOLS(_xlfn.XLOOKUP(AS$298,Destinations!$B$6:$B$20,Destinations!$C$6:$L$20,,0,1),_xlfn.ANCHORARRAY($AA315))*$P$154:$U$154)</f>
        <v>27.1</v>
      </c>
      <c r="AT315" s="3" cm="1">
        <f t="array" ref="AT315">SUM(_xlfn.CHOOSECOLS(_xlfn.XLOOKUP(AT$298,Destinations!$B$6:$B$20,Destinations!$C$6:$L$20,,0,1),_xlfn.ANCHORARRAY($J315))*$L$154:$O$154) + SUM(_xlfn.CHOOSECOLS(_xlfn.XLOOKUP(AT$298,Destinations!$B$6:$B$20,Destinations!$C$6:$L$20,,0,1),_xlfn.ANCHORARRAY($AA315))*$P$154:$U$154)</f>
        <v>33.400000000000006</v>
      </c>
      <c r="AU315" s="3" cm="1">
        <f t="array" ref="AU315">SUM(_xlfn.CHOOSECOLS(_xlfn.XLOOKUP(AU$298,Destinations!$B$6:$B$20,Destinations!$C$6:$L$20,,0,1),_xlfn.ANCHORARRAY($J315))*$L$154:$O$154) + SUM(_xlfn.CHOOSECOLS(_xlfn.XLOOKUP(AU$298,Destinations!$B$6:$B$20,Destinations!$C$6:$L$20,,0,1),_xlfn.ANCHORARRAY($AA315))*$P$154:$U$154)</f>
        <v>29.199999999999996</v>
      </c>
      <c r="AV315" s="3" cm="1">
        <f t="array" ref="AV315">SUM(_xlfn.CHOOSECOLS(_xlfn.XLOOKUP(AV$298,Destinations!$B$6:$B$20,Destinations!$C$6:$L$20,,0,1),_xlfn.ANCHORARRAY($J315))*$L$154:$O$154) + SUM(_xlfn.CHOOSECOLS(_xlfn.XLOOKUP(AV$298,Destinations!$B$6:$B$20,Destinations!$C$6:$L$20,,0,1),_xlfn.ANCHORARRAY($AA315))*$P$154:$U$154)</f>
        <v>31.1</v>
      </c>
      <c r="AX315" s="5" t="b" cm="1">
        <f t="array" ref="AX315:BL315">IFERROR(_xlfn.XLOOKUP(_xlfn.ANCHORARRAY($AH$298),Distances!$N$11:$N$20,Distances!$M$11:$M$20,, 0, 1), "South Island")=I315</f>
        <v>1</v>
      </c>
      <c r="AY315" s="5" t="b">
        <v>1</v>
      </c>
      <c r="AZ315" s="5" t="b">
        <v>1</v>
      </c>
      <c r="BA315" s="5" t="b">
        <v>1</v>
      </c>
      <c r="BB315" s="5" t="b">
        <v>1</v>
      </c>
      <c r="BC315" s="5" t="b">
        <v>1</v>
      </c>
      <c r="BD315" s="5" t="b">
        <v>1</v>
      </c>
      <c r="BE315" s="5" t="b">
        <v>1</v>
      </c>
      <c r="BF315" s="5" t="b">
        <v>1</v>
      </c>
      <c r="BG315" s="5" t="b">
        <v>1</v>
      </c>
      <c r="BH315" s="5" t="b">
        <v>0</v>
      </c>
      <c r="BI315" s="5" t="b">
        <v>0</v>
      </c>
      <c r="BJ315" s="5" t="b">
        <v>0</v>
      </c>
      <c r="BK315" s="5" t="b">
        <v>0</v>
      </c>
      <c r="BL315" s="5" t="b">
        <v>0</v>
      </c>
      <c r="BQ315" s="5">
        <v>247.5</v>
      </c>
      <c r="BR315" s="5">
        <v>120</v>
      </c>
      <c r="BS315" s="5">
        <v>274.5</v>
      </c>
      <c r="BT315" s="5">
        <v>213.75</v>
      </c>
      <c r="BU315" s="5">
        <v>295.5</v>
      </c>
      <c r="BV315" s="5">
        <v>498</v>
      </c>
      <c r="BW315" s="5">
        <v>396.75</v>
      </c>
      <c r="BX315" s="5">
        <v>437.25</v>
      </c>
      <c r="BY315" s="5">
        <v>516</v>
      </c>
      <c r="BZ315" s="5">
        <v>615</v>
      </c>
      <c r="CA315" s="5">
        <v>963.75</v>
      </c>
      <c r="CB315" s="5">
        <v>1134.75</v>
      </c>
      <c r="CC315" s="5">
        <v>1492.5</v>
      </c>
      <c r="CD315" s="5">
        <v>1400.25</v>
      </c>
      <c r="CE315" s="5">
        <v>1554.75</v>
      </c>
      <c r="CG315" s="5">
        <v>29</v>
      </c>
      <c r="CH315" s="5">
        <v>28</v>
      </c>
      <c r="CI315" s="5">
        <v>30</v>
      </c>
      <c r="CJ315" s="5">
        <v>29</v>
      </c>
      <c r="CK315" s="5">
        <v>27</v>
      </c>
      <c r="CL315" s="5">
        <v>30</v>
      </c>
      <c r="CM315" s="5">
        <v>28</v>
      </c>
      <c r="CN315" s="5">
        <v>27</v>
      </c>
      <c r="CO315" s="5">
        <v>26</v>
      </c>
      <c r="CP315" s="5">
        <v>23</v>
      </c>
      <c r="CQ315" s="5">
        <v>24</v>
      </c>
      <c r="CR315" s="5">
        <v>16</v>
      </c>
      <c r="CS315" s="5">
        <v>18</v>
      </c>
      <c r="CT315" s="5">
        <v>15</v>
      </c>
      <c r="CU315" s="5">
        <v>16</v>
      </c>
      <c r="CW315" s="5">
        <f t="shared" si="3"/>
        <v>30</v>
      </c>
      <c r="CZ315" s="5">
        <f t="shared" si="4"/>
        <v>15</v>
      </c>
      <c r="DA315" s="5" t="str" cm="1">
        <f t="array" ref="DA315">_xlfn.CHOOSECOLS(_xlfn.ANCHORARRAY($AH$298),MATCH(CW315,CG315:CU315))</f>
        <v>Invercargill</v>
      </c>
    </row>
    <row r="316" spans="2:105" ht="22.5" customHeight="1">
      <c r="B316" s="11">
        <v>116</v>
      </c>
      <c r="C316" s="11">
        <v>7</v>
      </c>
      <c r="D316" s="18">
        <v>11</v>
      </c>
      <c r="E316" s="34" t="s">
        <v>225</v>
      </c>
      <c r="F316" s="37"/>
      <c r="G316" s="17" t="s">
        <v>78</v>
      </c>
      <c r="H316" s="17" t="s">
        <v>123</v>
      </c>
      <c r="I316" s="3" t="str">
        <v>North Island</v>
      </c>
      <c r="J316" s="3" cm="1">
        <f t="array" ref="J316:M316">_xlfn.XLOOKUP(H316,Families!$B$6:$B$25,_xlfn.ANCHORARRAY(Families!$I$6))</f>
        <v>10</v>
      </c>
      <c r="K316" s="3">
        <v>1</v>
      </c>
      <c r="L316" s="3">
        <v>4</v>
      </c>
      <c r="M316" s="3">
        <v>9</v>
      </c>
      <c r="O316" s="5" cm="1">
        <f t="array" ref="O316:X316">_xlfn.SEQUENCE(1,10,1,1)</f>
        <v>1</v>
      </c>
      <c r="P316" s="5">
        <v>2</v>
      </c>
      <c r="Q316" s="5">
        <v>3</v>
      </c>
      <c r="R316" s="5">
        <v>4</v>
      </c>
      <c r="S316" s="5">
        <v>5</v>
      </c>
      <c r="T316" s="5">
        <v>6</v>
      </c>
      <c r="U316" s="5">
        <v>7</v>
      </c>
      <c r="V316" s="5">
        <v>8</v>
      </c>
      <c r="W316" s="5">
        <v>9</v>
      </c>
      <c r="X316" s="5">
        <v>10</v>
      </c>
      <c r="AA316" s="5" cm="1">
        <f t="array" ref="AA316:AF316">_xlfn._xlws.FILTER(_xlfn.ANCHORARRAY(O316), COUNTIF(_xlfn.ANCHORARRAY(J316),_xlfn.ANCHORARRAY(O316))=0)</f>
        <v>2</v>
      </c>
      <c r="AB316" s="5">
        <v>3</v>
      </c>
      <c r="AC316" s="5">
        <v>5</v>
      </c>
      <c r="AD316" s="5">
        <v>6</v>
      </c>
      <c r="AE316" s="5">
        <v>7</v>
      </c>
      <c r="AF316" s="5">
        <v>8</v>
      </c>
      <c r="AH316" s="3" cm="1">
        <f t="array" ref="AH316">SUM(_xlfn.CHOOSECOLS(_xlfn.XLOOKUP(AH$298,Destinations!$B$6:$B$20,Destinations!$C$6:$L$20,,0,1),_xlfn.ANCHORARRAY($J316))*$L$154:$O$154) + SUM(_xlfn.CHOOSECOLS(_xlfn.XLOOKUP(AH$298,Destinations!$B$6:$B$20,Destinations!$C$6:$L$20,,0,1),_xlfn.ANCHORARRAY($AA316))*$P$154:$U$154)</f>
        <v>32.799999999999997</v>
      </c>
      <c r="AI316" s="3" cm="1">
        <f t="array" ref="AI316">SUM(_xlfn.CHOOSECOLS(_xlfn.XLOOKUP(AI$298,Destinations!$B$6:$B$20,Destinations!$C$6:$L$20,,0,1),_xlfn.ANCHORARRAY($J316))*$L$154:$O$154) + SUM(_xlfn.CHOOSECOLS(_xlfn.XLOOKUP(AI$298,Destinations!$B$6:$B$20,Destinations!$C$6:$L$20,,0,1),_xlfn.ANCHORARRAY($AA316))*$P$154:$U$154)</f>
        <v>26.700000000000003</v>
      </c>
      <c r="AJ316" s="3" cm="1">
        <f t="array" ref="AJ316">SUM(_xlfn.CHOOSECOLS(_xlfn.XLOOKUP(AJ$298,Destinations!$B$6:$B$20,Destinations!$C$6:$L$20,,0,1),_xlfn.ANCHORARRAY($J316))*$L$154:$O$154) + SUM(_xlfn.CHOOSECOLS(_xlfn.XLOOKUP(AJ$298,Destinations!$B$6:$B$20,Destinations!$C$6:$L$20,,0,1),_xlfn.ANCHORARRAY($AA316))*$P$154:$U$154)</f>
        <v>27.2</v>
      </c>
      <c r="AK316" s="3" cm="1">
        <f t="array" ref="AK316">SUM(_xlfn.CHOOSECOLS(_xlfn.XLOOKUP(AK$298,Destinations!$B$6:$B$20,Destinations!$C$6:$L$20,,0,1),_xlfn.ANCHORARRAY($J316))*$L$154:$O$154) + SUM(_xlfn.CHOOSECOLS(_xlfn.XLOOKUP(AK$298,Destinations!$B$6:$B$20,Destinations!$C$6:$L$20,,0,1),_xlfn.ANCHORARRAY($AA316))*$P$154:$U$154)</f>
        <v>32.1</v>
      </c>
      <c r="AL316" s="3" cm="1">
        <f t="array" ref="AL316">SUM(_xlfn.CHOOSECOLS(_xlfn.XLOOKUP(AL$298,Destinations!$B$6:$B$20,Destinations!$C$6:$L$20,,0,1),_xlfn.ANCHORARRAY($J316))*$L$154:$O$154) + SUM(_xlfn.CHOOSECOLS(_xlfn.XLOOKUP(AL$298,Destinations!$B$6:$B$20,Destinations!$C$6:$L$20,,0,1),_xlfn.ANCHORARRAY($AA316))*$P$154:$U$154)</f>
        <v>32.299999999999997</v>
      </c>
      <c r="AM316" s="3" cm="1">
        <f t="array" ref="AM316">SUM(_xlfn.CHOOSECOLS(_xlfn.XLOOKUP(AM$298,Destinations!$B$6:$B$20,Destinations!$C$6:$L$20,,0,1),_xlfn.ANCHORARRAY($J316))*$L$154:$O$154) + SUM(_xlfn.CHOOSECOLS(_xlfn.XLOOKUP(AM$298,Destinations!$B$6:$B$20,Destinations!$C$6:$L$20,,0,1),_xlfn.ANCHORARRAY($AA316))*$P$154:$U$154)</f>
        <v>33.200000000000003</v>
      </c>
      <c r="AN316" s="3" cm="1">
        <f t="array" ref="AN316">SUM(_xlfn.CHOOSECOLS(_xlfn.XLOOKUP(AN$298,Destinations!$B$6:$B$20,Destinations!$C$6:$L$20,,0,1),_xlfn.ANCHORARRAY($J316))*$L$154:$O$154) + SUM(_xlfn.CHOOSECOLS(_xlfn.XLOOKUP(AN$298,Destinations!$B$6:$B$20,Destinations!$C$6:$L$20,,0,1),_xlfn.ANCHORARRAY($AA316))*$P$154:$U$154)</f>
        <v>34</v>
      </c>
      <c r="AO316" s="3" cm="1">
        <f t="array" ref="AO316">SUM(_xlfn.CHOOSECOLS(_xlfn.XLOOKUP(AO$298,Destinations!$B$6:$B$20,Destinations!$C$6:$L$20,,0,1),_xlfn.ANCHORARRAY($J316))*$L$154:$O$154) + SUM(_xlfn.CHOOSECOLS(_xlfn.XLOOKUP(AO$298,Destinations!$B$6:$B$20,Destinations!$C$6:$L$20,,0,1),_xlfn.ANCHORARRAY($AA316))*$P$154:$U$154)</f>
        <v>34.200000000000003</v>
      </c>
      <c r="AP316" s="3" cm="1">
        <f t="array" ref="AP316">SUM(_xlfn.CHOOSECOLS(_xlfn.XLOOKUP(AP$298,Destinations!$B$6:$B$20,Destinations!$C$6:$L$20,,0,1),_xlfn.ANCHORARRAY($J316))*$L$154:$O$154) + SUM(_xlfn.CHOOSECOLS(_xlfn.XLOOKUP(AP$298,Destinations!$B$6:$B$20,Destinations!$C$6:$L$20,,0,1),_xlfn.ANCHORARRAY($AA316))*$P$154:$U$154)</f>
        <v>32</v>
      </c>
      <c r="AQ316" s="3" cm="1">
        <f t="array" ref="AQ316">SUM(_xlfn.CHOOSECOLS(_xlfn.XLOOKUP(AQ$298,Destinations!$B$6:$B$20,Destinations!$C$6:$L$20,,0,1),_xlfn.ANCHORARRAY($J316))*$L$154:$O$154) + SUM(_xlfn.CHOOSECOLS(_xlfn.XLOOKUP(AQ$298,Destinations!$B$6:$B$20,Destinations!$C$6:$L$20,,0,1),_xlfn.ANCHORARRAY($AA316))*$P$154:$U$154)</f>
        <v>28.5</v>
      </c>
      <c r="AR316" s="3" cm="1">
        <f t="array" ref="AR316">SUM(_xlfn.CHOOSECOLS(_xlfn.XLOOKUP(AR$298,Destinations!$B$6:$B$20,Destinations!$C$6:$L$20,,0,1),_xlfn.ANCHORARRAY($J316))*$L$154:$O$154) + SUM(_xlfn.CHOOSECOLS(_xlfn.XLOOKUP(AR$298,Destinations!$B$6:$B$20,Destinations!$C$6:$L$20,,0,1),_xlfn.ANCHORARRAY($AA316))*$P$154:$U$154)</f>
        <v>32.5</v>
      </c>
      <c r="AS316" s="3" cm="1">
        <f t="array" ref="AS316">SUM(_xlfn.CHOOSECOLS(_xlfn.XLOOKUP(AS$298,Destinations!$B$6:$B$20,Destinations!$C$6:$L$20,,0,1),_xlfn.ANCHORARRAY($J316))*$L$154:$O$154) + SUM(_xlfn.CHOOSECOLS(_xlfn.XLOOKUP(AS$298,Destinations!$B$6:$B$20,Destinations!$C$6:$L$20,,0,1),_xlfn.ANCHORARRAY($AA316))*$P$154:$U$154)</f>
        <v>28.8</v>
      </c>
      <c r="AT316" s="3" cm="1">
        <f t="array" ref="AT316">SUM(_xlfn.CHOOSECOLS(_xlfn.XLOOKUP(AT$298,Destinations!$B$6:$B$20,Destinations!$C$6:$L$20,,0,1),_xlfn.ANCHORARRAY($J316))*$L$154:$O$154) + SUM(_xlfn.CHOOSECOLS(_xlfn.XLOOKUP(AT$298,Destinations!$B$6:$B$20,Destinations!$C$6:$L$20,,0,1),_xlfn.ANCHORARRAY($AA316))*$P$154:$U$154)</f>
        <v>31.900000000000002</v>
      </c>
      <c r="AU316" s="3" cm="1">
        <f t="array" ref="AU316">SUM(_xlfn.CHOOSECOLS(_xlfn.XLOOKUP(AU$298,Destinations!$B$6:$B$20,Destinations!$C$6:$L$20,,0,1),_xlfn.ANCHORARRAY($J316))*$L$154:$O$154) + SUM(_xlfn.CHOOSECOLS(_xlfn.XLOOKUP(AU$298,Destinations!$B$6:$B$20,Destinations!$C$6:$L$20,,0,1),_xlfn.ANCHORARRAY($AA316))*$P$154:$U$154)</f>
        <v>29.299999999999997</v>
      </c>
      <c r="AV316" s="3" cm="1">
        <f t="array" ref="AV316">SUM(_xlfn.CHOOSECOLS(_xlfn.XLOOKUP(AV$298,Destinations!$B$6:$B$20,Destinations!$C$6:$L$20,,0,1),_xlfn.ANCHORARRAY($J316))*$L$154:$O$154) + SUM(_xlfn.CHOOSECOLS(_xlfn.XLOOKUP(AV$298,Destinations!$B$6:$B$20,Destinations!$C$6:$L$20,,0,1),_xlfn.ANCHORARRAY($AA316))*$P$154:$U$154)</f>
        <v>35.799999999999997</v>
      </c>
      <c r="AX316" s="5" t="b" cm="1">
        <f t="array" ref="AX316:BL316">IFERROR(_xlfn.XLOOKUP(_xlfn.ANCHORARRAY($AH$298),Distances!$N$11:$N$20,Distances!$M$11:$M$20,, 0, 1), "South Island")=I316</f>
        <v>1</v>
      </c>
      <c r="AY316" s="5" t="b">
        <v>1</v>
      </c>
      <c r="AZ316" s="5" t="b">
        <v>1</v>
      </c>
      <c r="BA316" s="5" t="b">
        <v>1</v>
      </c>
      <c r="BB316" s="5" t="b">
        <v>1</v>
      </c>
      <c r="BC316" s="5" t="b">
        <v>1</v>
      </c>
      <c r="BD316" s="5" t="b">
        <v>1</v>
      </c>
      <c r="BE316" s="5" t="b">
        <v>1</v>
      </c>
      <c r="BF316" s="5" t="b">
        <v>1</v>
      </c>
      <c r="BG316" s="5" t="b">
        <v>1</v>
      </c>
      <c r="BH316" s="5" t="b">
        <v>0</v>
      </c>
      <c r="BI316" s="5" t="b">
        <v>0</v>
      </c>
      <c r="BJ316" s="5" t="b">
        <v>0</v>
      </c>
      <c r="BK316" s="5" t="b">
        <v>0</v>
      </c>
      <c r="BL316" s="5" t="b">
        <v>0</v>
      </c>
      <c r="BQ316" s="5">
        <v>734.25</v>
      </c>
      <c r="BR316" s="5">
        <v>615</v>
      </c>
      <c r="BS316" s="5">
        <v>514.5</v>
      </c>
      <c r="BT316" s="5">
        <v>510</v>
      </c>
      <c r="BU316" s="5">
        <v>459.75</v>
      </c>
      <c r="BV316" s="5">
        <v>519.75</v>
      </c>
      <c r="BW316" s="5">
        <v>384.75</v>
      </c>
      <c r="BX316" s="5">
        <v>362.25</v>
      </c>
      <c r="BY316" s="5">
        <v>226.5</v>
      </c>
      <c r="BZ316" s="5">
        <v>120</v>
      </c>
      <c r="CA316" s="5">
        <v>485.25</v>
      </c>
      <c r="CB316" s="5">
        <v>656.25</v>
      </c>
      <c r="CC316" s="5">
        <v>1014</v>
      </c>
      <c r="CD316" s="5">
        <v>922.5</v>
      </c>
      <c r="CE316" s="5">
        <v>1076.25</v>
      </c>
      <c r="CG316" s="5">
        <v>25</v>
      </c>
      <c r="CH316" s="5">
        <v>21</v>
      </c>
      <c r="CI316" s="5">
        <v>22</v>
      </c>
      <c r="CJ316" s="5">
        <v>27</v>
      </c>
      <c r="CK316" s="5">
        <v>28</v>
      </c>
      <c r="CL316" s="5">
        <v>28</v>
      </c>
      <c r="CM316" s="5">
        <v>30</v>
      </c>
      <c r="CN316" s="5">
        <v>31</v>
      </c>
      <c r="CO316" s="5">
        <v>30</v>
      </c>
      <c r="CP316" s="5">
        <v>27</v>
      </c>
      <c r="CQ316" s="5">
        <v>28</v>
      </c>
      <c r="CR316" s="5">
        <v>22</v>
      </c>
      <c r="CS316" s="5">
        <v>22</v>
      </c>
      <c r="CT316" s="5">
        <v>20</v>
      </c>
      <c r="CU316" s="5">
        <v>25</v>
      </c>
      <c r="CW316" s="5">
        <f t="shared" si="3"/>
        <v>31</v>
      </c>
      <c r="CZ316" s="5">
        <f t="shared" si="4"/>
        <v>8</v>
      </c>
      <c r="DA316" s="5" t="str" cm="1">
        <f t="array" ref="DA316">_xlfn.CHOOSECOLS(_xlfn.ANCHORARRAY($AH$298),MATCH(CW316,CG316:CU316))</f>
        <v>Napier</v>
      </c>
    </row>
    <row r="317" spans="2:105" ht="22.5" customHeight="1">
      <c r="B317" s="11">
        <v>117</v>
      </c>
      <c r="C317" s="11">
        <v>7</v>
      </c>
      <c r="D317" s="18">
        <v>11</v>
      </c>
      <c r="E317" s="34" t="s">
        <v>217</v>
      </c>
      <c r="F317" s="37"/>
      <c r="G317" s="17" t="s">
        <v>149</v>
      </c>
      <c r="H317" s="17" t="s">
        <v>171</v>
      </c>
      <c r="I317" s="3" t="str">
        <v>South Island</v>
      </c>
      <c r="J317" s="3" cm="1">
        <f t="array" ref="J317:M317">_xlfn.XLOOKUP(H317,Families!$B$6:$B$25,_xlfn.ANCHORARRAY(Families!$I$6))</f>
        <v>5</v>
      </c>
      <c r="K317" s="3">
        <v>8</v>
      </c>
      <c r="L317" s="3">
        <v>3</v>
      </c>
      <c r="M317" s="3">
        <v>6</v>
      </c>
      <c r="O317" s="5" cm="1">
        <f t="array" ref="O317:X317">_xlfn.SEQUENCE(1,10,1,1)</f>
        <v>1</v>
      </c>
      <c r="P317" s="5">
        <v>2</v>
      </c>
      <c r="Q317" s="5">
        <v>3</v>
      </c>
      <c r="R317" s="5">
        <v>4</v>
      </c>
      <c r="S317" s="5">
        <v>5</v>
      </c>
      <c r="T317" s="5">
        <v>6</v>
      </c>
      <c r="U317" s="5">
        <v>7</v>
      </c>
      <c r="V317" s="5">
        <v>8</v>
      </c>
      <c r="W317" s="5">
        <v>9</v>
      </c>
      <c r="X317" s="5">
        <v>10</v>
      </c>
      <c r="AA317" s="5" cm="1">
        <f t="array" ref="AA317:AF317">_xlfn._xlws.FILTER(_xlfn.ANCHORARRAY(O317), COUNTIF(_xlfn.ANCHORARRAY(J317),_xlfn.ANCHORARRAY(O317))=0)</f>
        <v>1</v>
      </c>
      <c r="AB317" s="5">
        <v>2</v>
      </c>
      <c r="AC317" s="5">
        <v>4</v>
      </c>
      <c r="AD317" s="5">
        <v>7</v>
      </c>
      <c r="AE317" s="5">
        <v>9</v>
      </c>
      <c r="AF317" s="5">
        <v>10</v>
      </c>
      <c r="AH317" s="3" cm="1">
        <f t="array" ref="AH317">SUM(_xlfn.CHOOSECOLS(_xlfn.XLOOKUP(AH$298,Destinations!$B$6:$B$20,Destinations!$C$6:$L$20,,0,1),_xlfn.ANCHORARRAY($J317))*$L$154:$O$154) + SUM(_xlfn.CHOOSECOLS(_xlfn.XLOOKUP(AH$298,Destinations!$B$6:$B$20,Destinations!$C$6:$L$20,,0,1),_xlfn.ANCHORARRAY($AA317))*$P$154:$U$154)</f>
        <v>29.700000000000003</v>
      </c>
      <c r="AI317" s="3" cm="1">
        <f t="array" ref="AI317">SUM(_xlfn.CHOOSECOLS(_xlfn.XLOOKUP(AI$298,Destinations!$B$6:$B$20,Destinations!$C$6:$L$20,,0,1),_xlfn.ANCHORARRAY($J317))*$L$154:$O$154) + SUM(_xlfn.CHOOSECOLS(_xlfn.XLOOKUP(AI$298,Destinations!$B$6:$B$20,Destinations!$C$6:$L$20,,0,1),_xlfn.ANCHORARRAY($AA317))*$P$154:$U$154)</f>
        <v>28.700000000000003</v>
      </c>
      <c r="AJ317" s="3" cm="1">
        <f t="array" ref="AJ317">SUM(_xlfn.CHOOSECOLS(_xlfn.XLOOKUP(AJ$298,Destinations!$B$6:$B$20,Destinations!$C$6:$L$20,,0,1),_xlfn.ANCHORARRAY($J317))*$L$154:$O$154) + SUM(_xlfn.CHOOSECOLS(_xlfn.XLOOKUP(AJ$298,Destinations!$B$6:$B$20,Destinations!$C$6:$L$20,,0,1),_xlfn.ANCHORARRAY($AA317))*$P$154:$U$154)</f>
        <v>30.9</v>
      </c>
      <c r="AK317" s="3" cm="1">
        <f t="array" ref="AK317">SUM(_xlfn.CHOOSECOLS(_xlfn.XLOOKUP(AK$298,Destinations!$B$6:$B$20,Destinations!$C$6:$L$20,,0,1),_xlfn.ANCHORARRAY($J317))*$L$154:$O$154) + SUM(_xlfn.CHOOSECOLS(_xlfn.XLOOKUP(AK$298,Destinations!$B$6:$B$20,Destinations!$C$6:$L$20,,0,1),_xlfn.ANCHORARRAY($AA317))*$P$154:$U$154)</f>
        <v>30.300000000000004</v>
      </c>
      <c r="AL317" s="3" cm="1">
        <f t="array" ref="AL317">SUM(_xlfn.CHOOSECOLS(_xlfn.XLOOKUP(AL$298,Destinations!$B$6:$B$20,Destinations!$C$6:$L$20,,0,1),_xlfn.ANCHORARRAY($J317))*$L$154:$O$154) + SUM(_xlfn.CHOOSECOLS(_xlfn.XLOOKUP(AL$298,Destinations!$B$6:$B$20,Destinations!$C$6:$L$20,,0,1),_xlfn.ANCHORARRAY($AA317))*$P$154:$U$154)</f>
        <v>30.4</v>
      </c>
      <c r="AM317" s="3" cm="1">
        <f t="array" ref="AM317">SUM(_xlfn.CHOOSECOLS(_xlfn.XLOOKUP(AM$298,Destinations!$B$6:$B$20,Destinations!$C$6:$L$20,,0,1),_xlfn.ANCHORARRAY($J317))*$L$154:$O$154) + SUM(_xlfn.CHOOSECOLS(_xlfn.XLOOKUP(AM$298,Destinations!$B$6:$B$20,Destinations!$C$6:$L$20,,0,1),_xlfn.ANCHORARRAY($AA317))*$P$154:$U$154)</f>
        <v>31.199999999999996</v>
      </c>
      <c r="AN317" s="3" cm="1">
        <f t="array" ref="AN317">SUM(_xlfn.CHOOSECOLS(_xlfn.XLOOKUP(AN$298,Destinations!$B$6:$B$20,Destinations!$C$6:$L$20,,0,1),_xlfn.ANCHORARRAY($J317))*$L$154:$O$154) + SUM(_xlfn.CHOOSECOLS(_xlfn.XLOOKUP(AN$298,Destinations!$B$6:$B$20,Destinations!$C$6:$L$20,,0,1),_xlfn.ANCHORARRAY($AA317))*$P$154:$U$154)</f>
        <v>30.799999999999997</v>
      </c>
      <c r="AO317" s="3" cm="1">
        <f t="array" ref="AO317">SUM(_xlfn.CHOOSECOLS(_xlfn.XLOOKUP(AO$298,Destinations!$B$6:$B$20,Destinations!$C$6:$L$20,,0,1),_xlfn.ANCHORARRAY($J317))*$L$154:$O$154) + SUM(_xlfn.CHOOSECOLS(_xlfn.XLOOKUP(AO$298,Destinations!$B$6:$B$20,Destinations!$C$6:$L$20,,0,1),_xlfn.ANCHORARRAY($AA317))*$P$154:$U$154)</f>
        <v>29.5</v>
      </c>
      <c r="AP317" s="3" cm="1">
        <f t="array" ref="AP317">SUM(_xlfn.CHOOSECOLS(_xlfn.XLOOKUP(AP$298,Destinations!$B$6:$B$20,Destinations!$C$6:$L$20,,0,1),_xlfn.ANCHORARRAY($J317))*$L$154:$O$154) + SUM(_xlfn.CHOOSECOLS(_xlfn.XLOOKUP(AP$298,Destinations!$B$6:$B$20,Destinations!$C$6:$L$20,,0,1),_xlfn.ANCHORARRAY($AA317))*$P$154:$U$154)</f>
        <v>27.700000000000003</v>
      </c>
      <c r="AQ317" s="3" cm="1">
        <f t="array" ref="AQ317">SUM(_xlfn.CHOOSECOLS(_xlfn.XLOOKUP(AQ$298,Destinations!$B$6:$B$20,Destinations!$C$6:$L$20,,0,1),_xlfn.ANCHORARRAY($J317))*$L$154:$O$154) + SUM(_xlfn.CHOOSECOLS(_xlfn.XLOOKUP(AQ$298,Destinations!$B$6:$B$20,Destinations!$C$6:$L$20,,0,1),_xlfn.ANCHORARRAY($AA317))*$P$154:$U$154)</f>
        <v>28.4</v>
      </c>
      <c r="AR317" s="3" cm="1">
        <f t="array" ref="AR317">SUM(_xlfn.CHOOSECOLS(_xlfn.XLOOKUP(AR$298,Destinations!$B$6:$B$20,Destinations!$C$6:$L$20,,0,1),_xlfn.ANCHORARRAY($J317))*$L$154:$O$154) + SUM(_xlfn.CHOOSECOLS(_xlfn.XLOOKUP(AR$298,Destinations!$B$6:$B$20,Destinations!$C$6:$L$20,,0,1),_xlfn.ANCHORARRAY($AA317))*$P$154:$U$154)</f>
        <v>30.1</v>
      </c>
      <c r="AS317" s="3" cm="1">
        <f t="array" ref="AS317">SUM(_xlfn.CHOOSECOLS(_xlfn.XLOOKUP(AS$298,Destinations!$B$6:$B$20,Destinations!$C$6:$L$20,,0,1),_xlfn.ANCHORARRAY($J317))*$L$154:$O$154) + SUM(_xlfn.CHOOSECOLS(_xlfn.XLOOKUP(AS$298,Destinations!$B$6:$B$20,Destinations!$C$6:$L$20,,0,1),_xlfn.ANCHORARRAY($AA317))*$P$154:$U$154)</f>
        <v>26.6</v>
      </c>
      <c r="AT317" s="3" cm="1">
        <f t="array" ref="AT317">SUM(_xlfn.CHOOSECOLS(_xlfn.XLOOKUP(AT$298,Destinations!$B$6:$B$20,Destinations!$C$6:$L$20,,0,1),_xlfn.ANCHORARRAY($J317))*$L$154:$O$154) + SUM(_xlfn.CHOOSECOLS(_xlfn.XLOOKUP(AT$298,Destinations!$B$6:$B$20,Destinations!$C$6:$L$20,,0,1),_xlfn.ANCHORARRAY($AA317))*$P$154:$U$154)</f>
        <v>29.800000000000004</v>
      </c>
      <c r="AU317" s="3" cm="1">
        <f t="array" ref="AU317">SUM(_xlfn.CHOOSECOLS(_xlfn.XLOOKUP(AU$298,Destinations!$B$6:$B$20,Destinations!$C$6:$L$20,,0,1),_xlfn.ANCHORARRAY($J317))*$L$154:$O$154) + SUM(_xlfn.CHOOSECOLS(_xlfn.XLOOKUP(AU$298,Destinations!$B$6:$B$20,Destinations!$C$6:$L$20,,0,1),_xlfn.ANCHORARRAY($AA317))*$P$154:$U$154)</f>
        <v>29.6</v>
      </c>
      <c r="AV317" s="3" cm="1">
        <f t="array" ref="AV317">SUM(_xlfn.CHOOSECOLS(_xlfn.XLOOKUP(AV$298,Destinations!$B$6:$B$20,Destinations!$C$6:$L$20,,0,1),_xlfn.ANCHORARRAY($J317))*$L$154:$O$154) + SUM(_xlfn.CHOOSECOLS(_xlfn.XLOOKUP(AV$298,Destinations!$B$6:$B$20,Destinations!$C$6:$L$20,,0,1),_xlfn.ANCHORARRAY($AA317))*$P$154:$U$154)</f>
        <v>34</v>
      </c>
      <c r="AX317" s="5" t="b" cm="1">
        <f t="array" ref="AX317:BL317">IFERROR(_xlfn.XLOOKUP(_xlfn.ANCHORARRAY($AH$298),Distances!$N$11:$N$20,Distances!$M$11:$M$20,, 0, 1), "South Island")=I317</f>
        <v>0</v>
      </c>
      <c r="AY317" s="5" t="b">
        <v>0</v>
      </c>
      <c r="AZ317" s="5" t="b">
        <v>0</v>
      </c>
      <c r="BA317" s="5" t="b">
        <v>0</v>
      </c>
      <c r="BB317" s="5" t="b">
        <v>0</v>
      </c>
      <c r="BC317" s="5" t="b">
        <v>0</v>
      </c>
      <c r="BD317" s="5" t="b">
        <v>0</v>
      </c>
      <c r="BE317" s="5" t="b">
        <v>0</v>
      </c>
      <c r="BF317" s="5" t="b">
        <v>0</v>
      </c>
      <c r="BG317" s="5" t="b">
        <v>0</v>
      </c>
      <c r="BH317" s="5" t="b">
        <v>1</v>
      </c>
      <c r="BI317" s="5" t="b">
        <v>1</v>
      </c>
      <c r="BJ317" s="5" t="b">
        <v>1</v>
      </c>
      <c r="BK317" s="5" t="b">
        <v>1</v>
      </c>
      <c r="BL317" s="5" t="b">
        <v>1</v>
      </c>
      <c r="BQ317" s="5">
        <v>1257</v>
      </c>
      <c r="BR317" s="5">
        <v>1134.75</v>
      </c>
      <c r="BS317" s="5">
        <v>1047</v>
      </c>
      <c r="BT317" s="5">
        <v>1042.5</v>
      </c>
      <c r="BU317" s="5">
        <v>992.25</v>
      </c>
      <c r="BV317" s="5">
        <v>1052.25</v>
      </c>
      <c r="BW317" s="5">
        <v>917.25</v>
      </c>
      <c r="BX317" s="5">
        <v>894.75</v>
      </c>
      <c r="BY317" s="5">
        <v>759</v>
      </c>
      <c r="BZ317" s="5">
        <v>656.25</v>
      </c>
      <c r="CA317" s="5">
        <v>430.5</v>
      </c>
      <c r="CB317" s="5">
        <v>120</v>
      </c>
      <c r="CC317" s="5">
        <v>481.5</v>
      </c>
      <c r="CD317" s="5">
        <v>390</v>
      </c>
      <c r="CE317" s="5">
        <v>543.75</v>
      </c>
      <c r="CG317" s="5">
        <v>17</v>
      </c>
      <c r="CH317" s="5">
        <v>17</v>
      </c>
      <c r="CI317" s="5">
        <v>20</v>
      </c>
      <c r="CJ317" s="5">
        <v>20</v>
      </c>
      <c r="CK317" s="5">
        <v>20</v>
      </c>
      <c r="CL317" s="5">
        <v>21</v>
      </c>
      <c r="CM317" s="5">
        <v>22</v>
      </c>
      <c r="CN317" s="5">
        <v>21</v>
      </c>
      <c r="CO317" s="5">
        <v>20</v>
      </c>
      <c r="CP317" s="5">
        <v>22</v>
      </c>
      <c r="CQ317" s="5">
        <v>26</v>
      </c>
      <c r="CR317" s="5">
        <v>25</v>
      </c>
      <c r="CS317" s="5">
        <v>25</v>
      </c>
      <c r="CT317" s="5">
        <v>26</v>
      </c>
      <c r="CU317" s="5">
        <v>29</v>
      </c>
      <c r="CW317" s="5">
        <f t="shared" si="3"/>
        <v>29</v>
      </c>
      <c r="CZ317" s="5">
        <f t="shared" si="4"/>
        <v>15</v>
      </c>
      <c r="DA317" s="5" t="str" cm="1">
        <f t="array" ref="DA317">_xlfn.CHOOSECOLS(_xlfn.ANCHORARRAY($AH$298),MATCH(CW317,CG317:CU317))</f>
        <v>Invercargill</v>
      </c>
    </row>
    <row r="318" spans="2:105" ht="22.5" customHeight="1">
      <c r="B318" s="11">
        <v>118</v>
      </c>
      <c r="C318" s="11">
        <v>7</v>
      </c>
      <c r="D318" s="18">
        <v>11</v>
      </c>
      <c r="E318" s="34" t="s">
        <v>226</v>
      </c>
      <c r="F318" s="37"/>
      <c r="G318" s="17" t="s">
        <v>78</v>
      </c>
      <c r="H318" s="17" t="s">
        <v>170</v>
      </c>
      <c r="I318" s="3" t="str">
        <v>North Island</v>
      </c>
      <c r="J318" s="3" cm="1">
        <f t="array" ref="J318:M318">_xlfn.XLOOKUP(H318,Families!$B$6:$B$25,_xlfn.ANCHORARRAY(Families!$I$6))</f>
        <v>3</v>
      </c>
      <c r="K318" s="3">
        <v>4</v>
      </c>
      <c r="L318" s="3">
        <v>6</v>
      </c>
      <c r="M318" s="3">
        <v>10</v>
      </c>
      <c r="O318" s="5" cm="1">
        <f t="array" ref="O318:X318">_xlfn.SEQUENCE(1,10,1,1)</f>
        <v>1</v>
      </c>
      <c r="P318" s="5">
        <v>2</v>
      </c>
      <c r="Q318" s="5">
        <v>3</v>
      </c>
      <c r="R318" s="5">
        <v>4</v>
      </c>
      <c r="S318" s="5">
        <v>5</v>
      </c>
      <c r="T318" s="5">
        <v>6</v>
      </c>
      <c r="U318" s="5">
        <v>7</v>
      </c>
      <c r="V318" s="5">
        <v>8</v>
      </c>
      <c r="W318" s="5">
        <v>9</v>
      </c>
      <c r="X318" s="5">
        <v>10</v>
      </c>
      <c r="AA318" s="5" cm="1">
        <f t="array" ref="AA318:AF318">_xlfn._xlws.FILTER(_xlfn.ANCHORARRAY(O318), COUNTIF(_xlfn.ANCHORARRAY(J318),_xlfn.ANCHORARRAY(O318))=0)</f>
        <v>1</v>
      </c>
      <c r="AB318" s="5">
        <v>2</v>
      </c>
      <c r="AC318" s="5">
        <v>5</v>
      </c>
      <c r="AD318" s="5">
        <v>7</v>
      </c>
      <c r="AE318" s="5">
        <v>8</v>
      </c>
      <c r="AF318" s="5">
        <v>9</v>
      </c>
      <c r="AH318" s="3" cm="1">
        <f t="array" ref="AH318">SUM(_xlfn.CHOOSECOLS(_xlfn.XLOOKUP(AH$298,Destinations!$B$6:$B$20,Destinations!$C$6:$L$20,,0,1),_xlfn.ANCHORARRAY($J318))*$L$154:$O$154) + SUM(_xlfn.CHOOSECOLS(_xlfn.XLOOKUP(AH$298,Destinations!$B$6:$B$20,Destinations!$C$6:$L$20,,0,1),_xlfn.ANCHORARRAY($AA318))*$P$154:$U$154)</f>
        <v>30.599999999999998</v>
      </c>
      <c r="AI318" s="3" cm="1">
        <f t="array" ref="AI318">SUM(_xlfn.CHOOSECOLS(_xlfn.XLOOKUP(AI$298,Destinations!$B$6:$B$20,Destinations!$C$6:$L$20,,0,1),_xlfn.ANCHORARRAY($J318))*$L$154:$O$154) + SUM(_xlfn.CHOOSECOLS(_xlfn.XLOOKUP(AI$298,Destinations!$B$6:$B$20,Destinations!$C$6:$L$20,,0,1),_xlfn.ANCHORARRAY($AA318))*$P$154:$U$154)</f>
        <v>27</v>
      </c>
      <c r="AJ318" s="3" cm="1">
        <f t="array" ref="AJ318">SUM(_xlfn.CHOOSECOLS(_xlfn.XLOOKUP(AJ$298,Destinations!$B$6:$B$20,Destinations!$C$6:$L$20,,0,1),_xlfn.ANCHORARRAY($J318))*$L$154:$O$154) + SUM(_xlfn.CHOOSECOLS(_xlfn.XLOOKUP(AJ$298,Destinations!$B$6:$B$20,Destinations!$C$6:$L$20,,0,1),_xlfn.ANCHORARRAY($AA318))*$P$154:$U$154)</f>
        <v>29.300000000000004</v>
      </c>
      <c r="AK318" s="3" cm="1">
        <f t="array" ref="AK318">SUM(_xlfn.CHOOSECOLS(_xlfn.XLOOKUP(AK$298,Destinations!$B$6:$B$20,Destinations!$C$6:$L$20,,0,1),_xlfn.ANCHORARRAY($J318))*$L$154:$O$154) + SUM(_xlfn.CHOOSECOLS(_xlfn.XLOOKUP(AK$298,Destinations!$B$6:$B$20,Destinations!$C$6:$L$20,,0,1),_xlfn.ANCHORARRAY($AA318))*$P$154:$U$154)</f>
        <v>30.6</v>
      </c>
      <c r="AL318" s="3" cm="1">
        <f t="array" ref="AL318">SUM(_xlfn.CHOOSECOLS(_xlfn.XLOOKUP(AL$298,Destinations!$B$6:$B$20,Destinations!$C$6:$L$20,,0,1),_xlfn.ANCHORARRAY($J318))*$L$154:$O$154) + SUM(_xlfn.CHOOSECOLS(_xlfn.XLOOKUP(AL$298,Destinations!$B$6:$B$20,Destinations!$C$6:$L$20,,0,1),_xlfn.ANCHORARRAY($AA318))*$P$154:$U$154)</f>
        <v>31.9</v>
      </c>
      <c r="AM318" s="3" cm="1">
        <f t="array" ref="AM318">SUM(_xlfn.CHOOSECOLS(_xlfn.XLOOKUP(AM$298,Destinations!$B$6:$B$20,Destinations!$C$6:$L$20,,0,1),_xlfn.ANCHORARRAY($J318))*$L$154:$O$154) + SUM(_xlfn.CHOOSECOLS(_xlfn.XLOOKUP(AM$298,Destinations!$B$6:$B$20,Destinations!$C$6:$L$20,,0,1),_xlfn.ANCHORARRAY($AA318))*$P$154:$U$154)</f>
        <v>33.199999999999996</v>
      </c>
      <c r="AN318" s="3" cm="1">
        <f t="array" ref="AN318">SUM(_xlfn.CHOOSECOLS(_xlfn.XLOOKUP(AN$298,Destinations!$B$6:$B$20,Destinations!$C$6:$L$20,,0,1),_xlfn.ANCHORARRAY($J318))*$L$154:$O$154) + SUM(_xlfn.CHOOSECOLS(_xlfn.XLOOKUP(AN$298,Destinations!$B$6:$B$20,Destinations!$C$6:$L$20,,0,1),_xlfn.ANCHORARRAY($AA318))*$P$154:$U$154)</f>
        <v>33</v>
      </c>
      <c r="AO318" s="3" cm="1">
        <f t="array" ref="AO318">SUM(_xlfn.CHOOSECOLS(_xlfn.XLOOKUP(AO$298,Destinations!$B$6:$B$20,Destinations!$C$6:$L$20,,0,1),_xlfn.ANCHORARRAY($J318))*$L$154:$O$154) + SUM(_xlfn.CHOOSECOLS(_xlfn.XLOOKUP(AO$298,Destinations!$B$6:$B$20,Destinations!$C$6:$L$20,,0,1),_xlfn.ANCHORARRAY($AA318))*$P$154:$U$154)</f>
        <v>30.400000000000002</v>
      </c>
      <c r="AP318" s="3" cm="1">
        <f t="array" ref="AP318">SUM(_xlfn.CHOOSECOLS(_xlfn.XLOOKUP(AP$298,Destinations!$B$6:$B$20,Destinations!$C$6:$L$20,,0,1),_xlfn.ANCHORARRAY($J318))*$L$154:$O$154) + SUM(_xlfn.CHOOSECOLS(_xlfn.XLOOKUP(AP$298,Destinations!$B$6:$B$20,Destinations!$C$6:$L$20,,0,1),_xlfn.ANCHORARRAY($AA318))*$P$154:$U$154)</f>
        <v>31.200000000000003</v>
      </c>
      <c r="AQ318" s="3" cm="1">
        <f t="array" ref="AQ318">SUM(_xlfn.CHOOSECOLS(_xlfn.XLOOKUP(AQ$298,Destinations!$B$6:$B$20,Destinations!$C$6:$L$20,,0,1),_xlfn.ANCHORARRAY($J318))*$L$154:$O$154) + SUM(_xlfn.CHOOSECOLS(_xlfn.XLOOKUP(AQ$298,Destinations!$B$6:$B$20,Destinations!$C$6:$L$20,,0,1),_xlfn.ANCHORARRAY($AA318))*$P$154:$U$154)</f>
        <v>29.3</v>
      </c>
      <c r="AR318" s="3" cm="1">
        <f t="array" ref="AR318">SUM(_xlfn.CHOOSECOLS(_xlfn.XLOOKUP(AR$298,Destinations!$B$6:$B$20,Destinations!$C$6:$L$20,,0,1),_xlfn.ANCHORARRAY($J318))*$L$154:$O$154) + SUM(_xlfn.CHOOSECOLS(_xlfn.XLOOKUP(AR$298,Destinations!$B$6:$B$20,Destinations!$C$6:$L$20,,0,1),_xlfn.ANCHORARRAY($AA318))*$P$154:$U$154)</f>
        <v>32.299999999999997</v>
      </c>
      <c r="AS318" s="3" cm="1">
        <f t="array" ref="AS318">SUM(_xlfn.CHOOSECOLS(_xlfn.XLOOKUP(AS$298,Destinations!$B$6:$B$20,Destinations!$C$6:$L$20,,0,1),_xlfn.ANCHORARRAY($J318))*$L$154:$O$154) + SUM(_xlfn.CHOOSECOLS(_xlfn.XLOOKUP(AS$298,Destinations!$B$6:$B$20,Destinations!$C$6:$L$20,,0,1),_xlfn.ANCHORARRAY($AA318))*$P$154:$U$154)</f>
        <v>26.3</v>
      </c>
      <c r="AT318" s="3" cm="1">
        <f t="array" ref="AT318">SUM(_xlfn.CHOOSECOLS(_xlfn.XLOOKUP(AT$298,Destinations!$B$6:$B$20,Destinations!$C$6:$L$20,,0,1),_xlfn.ANCHORARRAY($J318))*$L$154:$O$154) + SUM(_xlfn.CHOOSECOLS(_xlfn.XLOOKUP(AT$298,Destinations!$B$6:$B$20,Destinations!$C$6:$L$20,,0,1),_xlfn.ANCHORARRAY($AA318))*$P$154:$U$154)</f>
        <v>30.6</v>
      </c>
      <c r="AU318" s="3" cm="1">
        <f t="array" ref="AU318">SUM(_xlfn.CHOOSECOLS(_xlfn.XLOOKUP(AU$298,Destinations!$B$6:$B$20,Destinations!$C$6:$L$20,,0,1),_xlfn.ANCHORARRAY($J318))*$L$154:$O$154) + SUM(_xlfn.CHOOSECOLS(_xlfn.XLOOKUP(AU$298,Destinations!$B$6:$B$20,Destinations!$C$6:$L$20,,0,1),_xlfn.ANCHORARRAY($AA318))*$P$154:$U$154)</f>
        <v>29.3</v>
      </c>
      <c r="AV318" s="3" cm="1">
        <f t="array" ref="AV318">SUM(_xlfn.CHOOSECOLS(_xlfn.XLOOKUP(AV$298,Destinations!$B$6:$B$20,Destinations!$C$6:$L$20,,0,1),_xlfn.ANCHORARRAY($J318))*$L$154:$O$154) + SUM(_xlfn.CHOOSECOLS(_xlfn.XLOOKUP(AV$298,Destinations!$B$6:$B$20,Destinations!$C$6:$L$20,,0,1),_xlfn.ANCHORARRAY($AA318))*$P$154:$U$154)</f>
        <v>33.5</v>
      </c>
      <c r="AX318" s="5" t="b" cm="1">
        <f t="array" ref="AX318:BL318">IFERROR(_xlfn.XLOOKUP(_xlfn.ANCHORARRAY($AH$298),Distances!$N$11:$N$20,Distances!$M$11:$M$20,, 0, 1), "South Island")=I318</f>
        <v>1</v>
      </c>
      <c r="AY318" s="5" t="b">
        <v>1</v>
      </c>
      <c r="AZ318" s="5" t="b">
        <v>1</v>
      </c>
      <c r="BA318" s="5" t="b">
        <v>1</v>
      </c>
      <c r="BB318" s="5" t="b">
        <v>1</v>
      </c>
      <c r="BC318" s="5" t="b">
        <v>1</v>
      </c>
      <c r="BD318" s="5" t="b">
        <v>1</v>
      </c>
      <c r="BE318" s="5" t="b">
        <v>1</v>
      </c>
      <c r="BF318" s="5" t="b">
        <v>1</v>
      </c>
      <c r="BG318" s="5" t="b">
        <v>1</v>
      </c>
      <c r="BH318" s="5" t="b">
        <v>0</v>
      </c>
      <c r="BI318" s="5" t="b">
        <v>0</v>
      </c>
      <c r="BJ318" s="5" t="b">
        <v>0</v>
      </c>
      <c r="BK318" s="5" t="b">
        <v>0</v>
      </c>
      <c r="BL318" s="5" t="b">
        <v>0</v>
      </c>
      <c r="BQ318" s="5">
        <v>734.25</v>
      </c>
      <c r="BR318" s="5">
        <v>615</v>
      </c>
      <c r="BS318" s="5">
        <v>514.5</v>
      </c>
      <c r="BT318" s="5">
        <v>510</v>
      </c>
      <c r="BU318" s="5">
        <v>459.75</v>
      </c>
      <c r="BV318" s="5">
        <v>519.75</v>
      </c>
      <c r="BW318" s="5">
        <v>384.75</v>
      </c>
      <c r="BX318" s="5">
        <v>362.25</v>
      </c>
      <c r="BY318" s="5">
        <v>226.5</v>
      </c>
      <c r="BZ318" s="5">
        <v>120</v>
      </c>
      <c r="CA318" s="5">
        <v>485.25</v>
      </c>
      <c r="CB318" s="5">
        <v>656.25</v>
      </c>
      <c r="CC318" s="5">
        <v>1014</v>
      </c>
      <c r="CD318" s="5">
        <v>922.5</v>
      </c>
      <c r="CE318" s="5">
        <v>1076.25</v>
      </c>
      <c r="CG318" s="5">
        <v>23</v>
      </c>
      <c r="CH318" s="5">
        <v>21</v>
      </c>
      <c r="CI318" s="5">
        <v>24</v>
      </c>
      <c r="CJ318" s="5">
        <v>26</v>
      </c>
      <c r="CK318" s="5">
        <v>27</v>
      </c>
      <c r="CL318" s="5">
        <v>28</v>
      </c>
      <c r="CM318" s="5">
        <v>29</v>
      </c>
      <c r="CN318" s="5">
        <v>27</v>
      </c>
      <c r="CO318" s="5">
        <v>29</v>
      </c>
      <c r="CP318" s="5">
        <v>28</v>
      </c>
      <c r="CQ318" s="5">
        <v>27</v>
      </c>
      <c r="CR318" s="5">
        <v>20</v>
      </c>
      <c r="CS318" s="5">
        <v>20</v>
      </c>
      <c r="CT318" s="5">
        <v>20</v>
      </c>
      <c r="CU318" s="5">
        <v>23</v>
      </c>
      <c r="CW318" s="5">
        <f t="shared" si="3"/>
        <v>29</v>
      </c>
      <c r="CZ318" s="5">
        <f t="shared" si="4"/>
        <v>15</v>
      </c>
      <c r="DA318" s="5" t="str" cm="1">
        <f t="array" ref="DA318">_xlfn.CHOOSECOLS(_xlfn.ANCHORARRAY($AH$298),MATCH(CW318,CG318:CU318))</f>
        <v>Invercargill</v>
      </c>
    </row>
    <row r="319" spans="2:105" ht="22.5" customHeight="1">
      <c r="B319" s="11">
        <v>119</v>
      </c>
      <c r="C319" s="11">
        <v>7</v>
      </c>
      <c r="D319" s="18">
        <v>11</v>
      </c>
      <c r="E319" s="34" t="s">
        <v>223</v>
      </c>
      <c r="F319" s="37"/>
      <c r="G319" s="17" t="s">
        <v>70</v>
      </c>
      <c r="H319" s="17" t="s">
        <v>167</v>
      </c>
      <c r="I319" s="3" t="str">
        <v>North Island</v>
      </c>
      <c r="J319" s="3" cm="1">
        <f t="array" ref="J319:M319">_xlfn.XLOOKUP(H319,Families!$B$6:$B$25,_xlfn.ANCHORARRAY(Families!$I$6))</f>
        <v>6</v>
      </c>
      <c r="K319" s="3">
        <v>5</v>
      </c>
      <c r="L319" s="3">
        <v>8</v>
      </c>
      <c r="M319" s="3">
        <v>4</v>
      </c>
      <c r="O319" s="5" cm="1">
        <f t="array" ref="O319:X319">_xlfn.SEQUENCE(1,10,1,1)</f>
        <v>1</v>
      </c>
      <c r="P319" s="5">
        <v>2</v>
      </c>
      <c r="Q319" s="5">
        <v>3</v>
      </c>
      <c r="R319" s="5">
        <v>4</v>
      </c>
      <c r="S319" s="5">
        <v>5</v>
      </c>
      <c r="T319" s="5">
        <v>6</v>
      </c>
      <c r="U319" s="5">
        <v>7</v>
      </c>
      <c r="V319" s="5">
        <v>8</v>
      </c>
      <c r="W319" s="5">
        <v>9</v>
      </c>
      <c r="X319" s="5">
        <v>10</v>
      </c>
      <c r="AA319" s="5" cm="1">
        <f t="array" ref="AA319:AF319">_xlfn._xlws.FILTER(_xlfn.ANCHORARRAY(O319), COUNTIF(_xlfn.ANCHORARRAY(J319),_xlfn.ANCHORARRAY(O319))=0)</f>
        <v>1</v>
      </c>
      <c r="AB319" s="5">
        <v>2</v>
      </c>
      <c r="AC319" s="5">
        <v>3</v>
      </c>
      <c r="AD319" s="5">
        <v>7</v>
      </c>
      <c r="AE319" s="5">
        <v>9</v>
      </c>
      <c r="AF319" s="5">
        <v>10</v>
      </c>
      <c r="AH319" s="3" cm="1">
        <f t="array" ref="AH319">SUM(_xlfn.CHOOSECOLS(_xlfn.XLOOKUP(AH$298,Destinations!$B$6:$B$20,Destinations!$C$6:$L$20,,0,1),_xlfn.ANCHORARRAY($J319))*$L$154:$O$154) + SUM(_xlfn.CHOOSECOLS(_xlfn.XLOOKUP(AH$298,Destinations!$B$6:$B$20,Destinations!$C$6:$L$20,,0,1),_xlfn.ANCHORARRAY($AA319))*$P$154:$U$154)</f>
        <v>29.8</v>
      </c>
      <c r="AI319" s="3" cm="1">
        <f t="array" ref="AI319">SUM(_xlfn.CHOOSECOLS(_xlfn.XLOOKUP(AI$298,Destinations!$B$6:$B$20,Destinations!$C$6:$L$20,,0,1),_xlfn.ANCHORARRAY($J319))*$L$154:$O$154) + SUM(_xlfn.CHOOSECOLS(_xlfn.XLOOKUP(AI$298,Destinations!$B$6:$B$20,Destinations!$C$6:$L$20,,0,1),_xlfn.ANCHORARRAY($AA319))*$P$154:$U$154)</f>
        <v>30</v>
      </c>
      <c r="AJ319" s="3" cm="1">
        <f t="array" ref="AJ319">SUM(_xlfn.CHOOSECOLS(_xlfn.XLOOKUP(AJ$298,Destinations!$B$6:$B$20,Destinations!$C$6:$L$20,,0,1),_xlfn.ANCHORARRAY($J319))*$L$154:$O$154) + SUM(_xlfn.CHOOSECOLS(_xlfn.XLOOKUP(AJ$298,Destinations!$B$6:$B$20,Destinations!$C$6:$L$20,,0,1),_xlfn.ANCHORARRAY($AA319))*$P$154:$U$154)</f>
        <v>31.8</v>
      </c>
      <c r="AK319" s="3" cm="1">
        <f t="array" ref="AK319">SUM(_xlfn.CHOOSECOLS(_xlfn.XLOOKUP(AK$298,Destinations!$B$6:$B$20,Destinations!$C$6:$L$20,,0,1),_xlfn.ANCHORARRAY($J319))*$L$154:$O$154) + SUM(_xlfn.CHOOSECOLS(_xlfn.XLOOKUP(AK$298,Destinations!$B$6:$B$20,Destinations!$C$6:$L$20,,0,1),_xlfn.ANCHORARRAY($AA319))*$P$154:$U$154)</f>
        <v>30.700000000000003</v>
      </c>
      <c r="AL319" s="3" cm="1">
        <f t="array" ref="AL319">SUM(_xlfn.CHOOSECOLS(_xlfn.XLOOKUP(AL$298,Destinations!$B$6:$B$20,Destinations!$C$6:$L$20,,0,1),_xlfn.ANCHORARRAY($J319))*$L$154:$O$154) + SUM(_xlfn.CHOOSECOLS(_xlfn.XLOOKUP(AL$298,Destinations!$B$6:$B$20,Destinations!$C$6:$L$20,,0,1),_xlfn.ANCHORARRAY($AA319))*$P$154:$U$154)</f>
        <v>27.7</v>
      </c>
      <c r="AM319" s="3" cm="1">
        <f t="array" ref="AM319">SUM(_xlfn.CHOOSECOLS(_xlfn.XLOOKUP(AM$298,Destinations!$B$6:$B$20,Destinations!$C$6:$L$20,,0,1),_xlfn.ANCHORARRAY($J319))*$L$154:$O$154) + SUM(_xlfn.CHOOSECOLS(_xlfn.XLOOKUP(AM$298,Destinations!$B$6:$B$20,Destinations!$C$6:$L$20,,0,1),_xlfn.ANCHORARRAY($AA319))*$P$154:$U$154)</f>
        <v>31.599999999999998</v>
      </c>
      <c r="AN319" s="3" cm="1">
        <f t="array" ref="AN319">SUM(_xlfn.CHOOSECOLS(_xlfn.XLOOKUP(AN$298,Destinations!$B$6:$B$20,Destinations!$C$6:$L$20,,0,1),_xlfn.ANCHORARRAY($J319))*$L$154:$O$154) + SUM(_xlfn.CHOOSECOLS(_xlfn.XLOOKUP(AN$298,Destinations!$B$6:$B$20,Destinations!$C$6:$L$20,,0,1),_xlfn.ANCHORARRAY($AA319))*$P$154:$U$154)</f>
        <v>31.400000000000002</v>
      </c>
      <c r="AO319" s="3" cm="1">
        <f t="array" ref="AO319">SUM(_xlfn.CHOOSECOLS(_xlfn.XLOOKUP(AO$298,Destinations!$B$6:$B$20,Destinations!$C$6:$L$20,,0,1),_xlfn.ANCHORARRAY($J319))*$L$154:$O$154) + SUM(_xlfn.CHOOSECOLS(_xlfn.XLOOKUP(AO$298,Destinations!$B$6:$B$20,Destinations!$C$6:$L$20,,0,1),_xlfn.ANCHORARRAY($AA319))*$P$154:$U$154)</f>
        <v>29.1</v>
      </c>
      <c r="AP319" s="3" cm="1">
        <f t="array" ref="AP319">SUM(_xlfn.CHOOSECOLS(_xlfn.XLOOKUP(AP$298,Destinations!$B$6:$B$20,Destinations!$C$6:$L$20,,0,1),_xlfn.ANCHORARRAY($J319))*$L$154:$O$154) + SUM(_xlfn.CHOOSECOLS(_xlfn.XLOOKUP(AP$298,Destinations!$B$6:$B$20,Destinations!$C$6:$L$20,,0,1),_xlfn.ANCHORARRAY($AA319))*$P$154:$U$154)</f>
        <v>27.400000000000002</v>
      </c>
      <c r="AQ319" s="3" cm="1">
        <f t="array" ref="AQ319">SUM(_xlfn.CHOOSECOLS(_xlfn.XLOOKUP(AQ$298,Destinations!$B$6:$B$20,Destinations!$C$6:$L$20,,0,1),_xlfn.ANCHORARRAY($J319))*$L$154:$O$154) + SUM(_xlfn.CHOOSECOLS(_xlfn.XLOOKUP(AQ$298,Destinations!$B$6:$B$20,Destinations!$C$6:$L$20,,0,1),_xlfn.ANCHORARRAY($AA319))*$P$154:$U$154)</f>
        <v>28.900000000000002</v>
      </c>
      <c r="AR319" s="3" cm="1">
        <f t="array" ref="AR319">SUM(_xlfn.CHOOSECOLS(_xlfn.XLOOKUP(AR$298,Destinations!$B$6:$B$20,Destinations!$C$6:$L$20,,0,1),_xlfn.ANCHORARRAY($J319))*$L$154:$O$154) + SUM(_xlfn.CHOOSECOLS(_xlfn.XLOOKUP(AR$298,Destinations!$B$6:$B$20,Destinations!$C$6:$L$20,,0,1),_xlfn.ANCHORARRAY($AA319))*$P$154:$U$154)</f>
        <v>31.000000000000004</v>
      </c>
      <c r="AS319" s="3" cm="1">
        <f t="array" ref="AS319">SUM(_xlfn.CHOOSECOLS(_xlfn.XLOOKUP(AS$298,Destinations!$B$6:$B$20,Destinations!$C$6:$L$20,,0,1),_xlfn.ANCHORARRAY($J319))*$L$154:$O$154) + SUM(_xlfn.CHOOSECOLS(_xlfn.XLOOKUP(AS$298,Destinations!$B$6:$B$20,Destinations!$C$6:$L$20,,0,1),_xlfn.ANCHORARRAY($AA319))*$P$154:$U$154)</f>
        <v>27.2</v>
      </c>
      <c r="AT319" s="3" cm="1">
        <f t="array" ref="AT319">SUM(_xlfn.CHOOSECOLS(_xlfn.XLOOKUP(AT$298,Destinations!$B$6:$B$20,Destinations!$C$6:$L$20,,0,1),_xlfn.ANCHORARRAY($J319))*$L$154:$O$154) + SUM(_xlfn.CHOOSECOLS(_xlfn.XLOOKUP(AT$298,Destinations!$B$6:$B$20,Destinations!$C$6:$L$20,,0,1),_xlfn.ANCHORARRAY($AA319))*$P$154:$U$154)</f>
        <v>32.400000000000006</v>
      </c>
      <c r="AU319" s="3" cm="1">
        <f t="array" ref="AU319">SUM(_xlfn.CHOOSECOLS(_xlfn.XLOOKUP(AU$298,Destinations!$B$6:$B$20,Destinations!$C$6:$L$20,,0,1),_xlfn.ANCHORARRAY($J319))*$L$154:$O$154) + SUM(_xlfn.CHOOSECOLS(_xlfn.XLOOKUP(AU$298,Destinations!$B$6:$B$20,Destinations!$C$6:$L$20,,0,1),_xlfn.ANCHORARRAY($AA319))*$P$154:$U$154)</f>
        <v>28.900000000000002</v>
      </c>
      <c r="AV319" s="3" cm="1">
        <f t="array" ref="AV319">SUM(_xlfn.CHOOSECOLS(_xlfn.XLOOKUP(AV$298,Destinations!$B$6:$B$20,Destinations!$C$6:$L$20,,0,1),_xlfn.ANCHORARRAY($J319))*$L$154:$O$154) + SUM(_xlfn.CHOOSECOLS(_xlfn.XLOOKUP(AV$298,Destinations!$B$6:$B$20,Destinations!$C$6:$L$20,,0,1),_xlfn.ANCHORARRAY($AA319))*$P$154:$U$154)</f>
        <v>32.700000000000003</v>
      </c>
      <c r="AX319" s="5" t="b" cm="1">
        <f t="array" ref="AX319:BL319">IFERROR(_xlfn.XLOOKUP(_xlfn.ANCHORARRAY($AH$298),Distances!$N$11:$N$20,Distances!$M$11:$M$20,, 0, 1), "South Island")=I319</f>
        <v>1</v>
      </c>
      <c r="AY319" s="5" t="b">
        <v>1</v>
      </c>
      <c r="AZ319" s="5" t="b">
        <v>1</v>
      </c>
      <c r="BA319" s="5" t="b">
        <v>1</v>
      </c>
      <c r="BB319" s="5" t="b">
        <v>1</v>
      </c>
      <c r="BC319" s="5" t="b">
        <v>1</v>
      </c>
      <c r="BD319" s="5" t="b">
        <v>1</v>
      </c>
      <c r="BE319" s="5" t="b">
        <v>1</v>
      </c>
      <c r="BF319" s="5" t="b">
        <v>1</v>
      </c>
      <c r="BG319" s="5" t="b">
        <v>1</v>
      </c>
      <c r="BH319" s="5" t="b">
        <v>0</v>
      </c>
      <c r="BI319" s="5" t="b">
        <v>0</v>
      </c>
      <c r="BJ319" s="5" t="b">
        <v>0</v>
      </c>
      <c r="BK319" s="5" t="b">
        <v>0</v>
      </c>
      <c r="BL319" s="5" t="b">
        <v>0</v>
      </c>
      <c r="BQ319" s="5">
        <v>247.5</v>
      </c>
      <c r="BR319" s="5">
        <v>120</v>
      </c>
      <c r="BS319" s="5">
        <v>274.5</v>
      </c>
      <c r="BT319" s="5">
        <v>213.75</v>
      </c>
      <c r="BU319" s="5">
        <v>295.5</v>
      </c>
      <c r="BV319" s="5">
        <v>498</v>
      </c>
      <c r="BW319" s="5">
        <v>396.75</v>
      </c>
      <c r="BX319" s="5">
        <v>437.25</v>
      </c>
      <c r="BY319" s="5">
        <v>516</v>
      </c>
      <c r="BZ319" s="5">
        <v>615</v>
      </c>
      <c r="CA319" s="5">
        <v>963.75</v>
      </c>
      <c r="CB319" s="5">
        <v>1134.75</v>
      </c>
      <c r="CC319" s="5">
        <v>1492.5</v>
      </c>
      <c r="CD319" s="5">
        <v>1400.25</v>
      </c>
      <c r="CE319" s="5">
        <v>1554.75</v>
      </c>
      <c r="CG319" s="5">
        <v>27</v>
      </c>
      <c r="CH319" s="5">
        <v>29</v>
      </c>
      <c r="CI319" s="5">
        <v>29</v>
      </c>
      <c r="CJ319" s="5">
        <v>29</v>
      </c>
      <c r="CK319" s="5">
        <v>25</v>
      </c>
      <c r="CL319" s="5">
        <v>27</v>
      </c>
      <c r="CM319" s="5">
        <v>27</v>
      </c>
      <c r="CN319" s="5">
        <v>25</v>
      </c>
      <c r="CO319" s="5">
        <v>22</v>
      </c>
      <c r="CP319" s="5">
        <v>23</v>
      </c>
      <c r="CQ319" s="5">
        <v>21</v>
      </c>
      <c r="CR319" s="5">
        <v>16</v>
      </c>
      <c r="CS319" s="5">
        <v>17</v>
      </c>
      <c r="CT319" s="5">
        <v>15</v>
      </c>
      <c r="CU319" s="5">
        <v>17</v>
      </c>
      <c r="CW319" s="5">
        <f t="shared" si="3"/>
        <v>29</v>
      </c>
      <c r="CZ319" s="5">
        <f t="shared" si="4"/>
        <v>15</v>
      </c>
      <c r="DA319" s="5" t="str" cm="1">
        <f t="array" ref="DA319">_xlfn.CHOOSECOLS(_xlfn.ANCHORARRAY($AH$298),MATCH(CW319,CG319:CU319))</f>
        <v>Invercargill</v>
      </c>
    </row>
    <row r="320" spans="2:105" ht="22.5" customHeight="1">
      <c r="B320" s="11">
        <v>120</v>
      </c>
      <c r="C320" s="11">
        <v>7</v>
      </c>
      <c r="D320" s="18">
        <v>11</v>
      </c>
      <c r="E320" s="34" t="s">
        <v>227</v>
      </c>
      <c r="F320" s="37"/>
      <c r="G320" s="17" t="s">
        <v>149</v>
      </c>
      <c r="H320" s="17" t="s">
        <v>124</v>
      </c>
      <c r="I320" s="3" t="str">
        <v>South Island</v>
      </c>
      <c r="J320" s="3" cm="1">
        <f t="array" ref="J320:M320">_xlfn.XLOOKUP(H320,Families!$B$6:$B$25,_xlfn.ANCHORARRAY(Families!$I$6))</f>
        <v>5</v>
      </c>
      <c r="K320" s="3">
        <v>10</v>
      </c>
      <c r="L320" s="3">
        <v>2</v>
      </c>
      <c r="M320" s="3">
        <v>1</v>
      </c>
      <c r="O320" s="5" cm="1">
        <f t="array" ref="O320:X320">_xlfn.SEQUENCE(1,10,1,1)</f>
        <v>1</v>
      </c>
      <c r="P320" s="5">
        <v>2</v>
      </c>
      <c r="Q320" s="5">
        <v>3</v>
      </c>
      <c r="R320" s="5">
        <v>4</v>
      </c>
      <c r="S320" s="5">
        <v>5</v>
      </c>
      <c r="T320" s="5">
        <v>6</v>
      </c>
      <c r="U320" s="5">
        <v>7</v>
      </c>
      <c r="V320" s="5">
        <v>8</v>
      </c>
      <c r="W320" s="5">
        <v>9</v>
      </c>
      <c r="X320" s="5">
        <v>10</v>
      </c>
      <c r="AA320" s="5" cm="1">
        <f t="array" ref="AA320:AF320">_xlfn._xlws.FILTER(_xlfn.ANCHORARRAY(O320), COUNTIF(_xlfn.ANCHORARRAY(J320),_xlfn.ANCHORARRAY(O320))=0)</f>
        <v>3</v>
      </c>
      <c r="AB320" s="5">
        <v>4</v>
      </c>
      <c r="AC320" s="5">
        <v>6</v>
      </c>
      <c r="AD320" s="5">
        <v>7</v>
      </c>
      <c r="AE320" s="5">
        <v>8</v>
      </c>
      <c r="AF320" s="5">
        <v>9</v>
      </c>
      <c r="AH320" s="3" cm="1">
        <f t="array" ref="AH320">SUM(_xlfn.CHOOSECOLS(_xlfn.XLOOKUP(AH$298,Destinations!$B$6:$B$20,Destinations!$C$6:$L$20,,0,1),_xlfn.ANCHORARRAY($J320))*$L$154:$O$154) + SUM(_xlfn.CHOOSECOLS(_xlfn.XLOOKUP(AH$298,Destinations!$B$6:$B$20,Destinations!$C$6:$L$20,,0,1),_xlfn.ANCHORARRAY($AA320))*$P$154:$U$154)</f>
        <v>34.299999999999997</v>
      </c>
      <c r="AI320" s="3" cm="1">
        <f t="array" ref="AI320">SUM(_xlfn.CHOOSECOLS(_xlfn.XLOOKUP(AI$298,Destinations!$B$6:$B$20,Destinations!$C$6:$L$20,,0,1),_xlfn.ANCHORARRAY($J320))*$L$154:$O$154) + SUM(_xlfn.CHOOSECOLS(_xlfn.XLOOKUP(AI$298,Destinations!$B$6:$B$20,Destinations!$C$6:$L$20,,0,1),_xlfn.ANCHORARRAY($AA320))*$P$154:$U$154)</f>
        <v>26.1</v>
      </c>
      <c r="AJ320" s="3" cm="1">
        <f t="array" ref="AJ320">SUM(_xlfn.CHOOSECOLS(_xlfn.XLOOKUP(AJ$298,Destinations!$B$6:$B$20,Destinations!$C$6:$L$20,,0,1),_xlfn.ANCHORARRAY($J320))*$L$154:$O$154) + SUM(_xlfn.CHOOSECOLS(_xlfn.XLOOKUP(AJ$298,Destinations!$B$6:$B$20,Destinations!$C$6:$L$20,,0,1),_xlfn.ANCHORARRAY($AA320))*$P$154:$U$154)</f>
        <v>30.799999999999997</v>
      </c>
      <c r="AK320" s="3" cm="1">
        <f t="array" ref="AK320">SUM(_xlfn.CHOOSECOLS(_xlfn.XLOOKUP(AK$298,Destinations!$B$6:$B$20,Destinations!$C$6:$L$20,,0,1),_xlfn.ANCHORARRAY($J320))*$L$154:$O$154) + SUM(_xlfn.CHOOSECOLS(_xlfn.XLOOKUP(AK$298,Destinations!$B$6:$B$20,Destinations!$C$6:$L$20,,0,1),_xlfn.ANCHORARRAY($AA320))*$P$154:$U$154)</f>
        <v>33</v>
      </c>
      <c r="AL320" s="3" cm="1">
        <f t="array" ref="AL320">SUM(_xlfn.CHOOSECOLS(_xlfn.XLOOKUP(AL$298,Destinations!$B$6:$B$20,Destinations!$C$6:$L$20,,0,1),_xlfn.ANCHORARRAY($J320))*$L$154:$O$154) + SUM(_xlfn.CHOOSECOLS(_xlfn.XLOOKUP(AL$298,Destinations!$B$6:$B$20,Destinations!$C$6:$L$20,,0,1),_xlfn.ANCHORARRAY($AA320))*$P$154:$U$154)</f>
        <v>30.1</v>
      </c>
      <c r="AM320" s="3" cm="1">
        <f t="array" ref="AM320">SUM(_xlfn.CHOOSECOLS(_xlfn.XLOOKUP(AM$298,Destinations!$B$6:$B$20,Destinations!$C$6:$L$20,,0,1),_xlfn.ANCHORARRAY($J320))*$L$154:$O$154) + SUM(_xlfn.CHOOSECOLS(_xlfn.XLOOKUP(AM$298,Destinations!$B$6:$B$20,Destinations!$C$6:$L$20,,0,1),_xlfn.ANCHORARRAY($AA320))*$P$154:$U$154)</f>
        <v>34.6</v>
      </c>
      <c r="AN320" s="3" cm="1">
        <f t="array" ref="AN320">SUM(_xlfn.CHOOSECOLS(_xlfn.XLOOKUP(AN$298,Destinations!$B$6:$B$20,Destinations!$C$6:$L$20,,0,1),_xlfn.ANCHORARRAY($J320))*$L$154:$O$154) + SUM(_xlfn.CHOOSECOLS(_xlfn.XLOOKUP(AN$298,Destinations!$B$6:$B$20,Destinations!$C$6:$L$20,,0,1),_xlfn.ANCHORARRAY($AA320))*$P$154:$U$154)</f>
        <v>33.1</v>
      </c>
      <c r="AO320" s="3" cm="1">
        <f t="array" ref="AO320">SUM(_xlfn.CHOOSECOLS(_xlfn.XLOOKUP(AO$298,Destinations!$B$6:$B$20,Destinations!$C$6:$L$20,,0,1),_xlfn.ANCHORARRAY($J320))*$L$154:$O$154) + SUM(_xlfn.CHOOSECOLS(_xlfn.XLOOKUP(AO$298,Destinations!$B$6:$B$20,Destinations!$C$6:$L$20,,0,1),_xlfn.ANCHORARRAY($AA320))*$P$154:$U$154)</f>
        <v>33</v>
      </c>
      <c r="AP320" s="3" cm="1">
        <f t="array" ref="AP320">SUM(_xlfn.CHOOSECOLS(_xlfn.XLOOKUP(AP$298,Destinations!$B$6:$B$20,Destinations!$C$6:$L$20,,0,1),_xlfn.ANCHORARRAY($J320))*$L$154:$O$154) + SUM(_xlfn.CHOOSECOLS(_xlfn.XLOOKUP(AP$298,Destinations!$B$6:$B$20,Destinations!$C$6:$L$20,,0,1),_xlfn.ANCHORARRAY($AA320))*$P$154:$U$154)</f>
        <v>31.5</v>
      </c>
      <c r="AQ320" s="3" cm="1">
        <f t="array" ref="AQ320">SUM(_xlfn.CHOOSECOLS(_xlfn.XLOOKUP(AQ$298,Destinations!$B$6:$B$20,Destinations!$C$6:$L$20,,0,1),_xlfn.ANCHORARRAY($J320))*$L$154:$O$154) + SUM(_xlfn.CHOOSECOLS(_xlfn.XLOOKUP(AQ$298,Destinations!$B$6:$B$20,Destinations!$C$6:$L$20,,0,1),_xlfn.ANCHORARRAY($AA320))*$P$154:$U$154)</f>
        <v>28.1</v>
      </c>
      <c r="AR320" s="3" cm="1">
        <f t="array" ref="AR320">SUM(_xlfn.CHOOSECOLS(_xlfn.XLOOKUP(AR$298,Destinations!$B$6:$B$20,Destinations!$C$6:$L$20,,0,1),_xlfn.ANCHORARRAY($J320))*$L$154:$O$154) + SUM(_xlfn.CHOOSECOLS(_xlfn.XLOOKUP(AR$298,Destinations!$B$6:$B$20,Destinations!$C$6:$L$20,,0,1),_xlfn.ANCHORARRAY($AA320))*$P$154:$U$154)</f>
        <v>32.700000000000003</v>
      </c>
      <c r="AS320" s="3" cm="1">
        <f t="array" ref="AS320">SUM(_xlfn.CHOOSECOLS(_xlfn.XLOOKUP(AS$298,Destinations!$B$6:$B$20,Destinations!$C$6:$L$20,,0,1),_xlfn.ANCHORARRAY($J320))*$L$154:$O$154) + SUM(_xlfn.CHOOSECOLS(_xlfn.XLOOKUP(AS$298,Destinations!$B$6:$B$20,Destinations!$C$6:$L$20,,0,1),_xlfn.ANCHORARRAY($AA320))*$P$154:$U$154)</f>
        <v>28.6</v>
      </c>
      <c r="AT320" s="3" cm="1">
        <f t="array" ref="AT320">SUM(_xlfn.CHOOSECOLS(_xlfn.XLOOKUP(AT$298,Destinations!$B$6:$B$20,Destinations!$C$6:$L$20,,0,1),_xlfn.ANCHORARRAY($J320))*$L$154:$O$154) + SUM(_xlfn.CHOOSECOLS(_xlfn.XLOOKUP(AT$298,Destinations!$B$6:$B$20,Destinations!$C$6:$L$20,,0,1),_xlfn.ANCHORARRAY($AA320))*$P$154:$U$154)</f>
        <v>28.900000000000006</v>
      </c>
      <c r="AU320" s="3" cm="1">
        <f t="array" ref="AU320">SUM(_xlfn.CHOOSECOLS(_xlfn.XLOOKUP(AU$298,Destinations!$B$6:$B$20,Destinations!$C$6:$L$20,,0,1),_xlfn.ANCHORARRAY($J320))*$L$154:$O$154) + SUM(_xlfn.CHOOSECOLS(_xlfn.XLOOKUP(AU$298,Destinations!$B$6:$B$20,Destinations!$C$6:$L$20,,0,1),_xlfn.ANCHORARRAY($AA320))*$P$154:$U$154)</f>
        <v>29.799999999999997</v>
      </c>
      <c r="AV320" s="3" cm="1">
        <f t="array" ref="AV320">SUM(_xlfn.CHOOSECOLS(_xlfn.XLOOKUP(AV$298,Destinations!$B$6:$B$20,Destinations!$C$6:$L$20,,0,1),_xlfn.ANCHORARRAY($J320))*$L$154:$O$154) + SUM(_xlfn.CHOOSECOLS(_xlfn.XLOOKUP(AV$298,Destinations!$B$6:$B$20,Destinations!$C$6:$L$20,,0,1),_xlfn.ANCHORARRAY($AA320))*$P$154:$U$154)</f>
        <v>37.299999999999997</v>
      </c>
      <c r="AX320" s="5" t="b" cm="1">
        <f t="array" ref="AX320:BL320">IFERROR(_xlfn.XLOOKUP(_xlfn.ANCHORARRAY($AH$298),Distances!$N$11:$N$20,Distances!$M$11:$M$20,, 0, 1), "South Island")=I320</f>
        <v>0</v>
      </c>
      <c r="AY320" s="5" t="b">
        <v>0</v>
      </c>
      <c r="AZ320" s="5" t="b">
        <v>0</v>
      </c>
      <c r="BA320" s="5" t="b">
        <v>0</v>
      </c>
      <c r="BB320" s="5" t="b">
        <v>0</v>
      </c>
      <c r="BC320" s="5" t="b">
        <v>0</v>
      </c>
      <c r="BD320" s="5" t="b">
        <v>0</v>
      </c>
      <c r="BE320" s="5" t="b">
        <v>0</v>
      </c>
      <c r="BF320" s="5" t="b">
        <v>0</v>
      </c>
      <c r="BG320" s="5" t="b">
        <v>0</v>
      </c>
      <c r="BH320" s="5" t="b">
        <v>1</v>
      </c>
      <c r="BI320" s="5" t="b">
        <v>1</v>
      </c>
      <c r="BJ320" s="5" t="b">
        <v>1</v>
      </c>
      <c r="BK320" s="5" t="b">
        <v>1</v>
      </c>
      <c r="BL320" s="5" t="b">
        <v>1</v>
      </c>
      <c r="BQ320" s="5">
        <v>1257</v>
      </c>
      <c r="BR320" s="5">
        <v>1134.75</v>
      </c>
      <c r="BS320" s="5">
        <v>1047</v>
      </c>
      <c r="BT320" s="5">
        <v>1042.5</v>
      </c>
      <c r="BU320" s="5">
        <v>992.25</v>
      </c>
      <c r="BV320" s="5">
        <v>1052.25</v>
      </c>
      <c r="BW320" s="5">
        <v>917.25</v>
      </c>
      <c r="BX320" s="5">
        <v>894.75</v>
      </c>
      <c r="BY320" s="5">
        <v>759</v>
      </c>
      <c r="BZ320" s="5">
        <v>656.25</v>
      </c>
      <c r="CA320" s="5">
        <v>430.5</v>
      </c>
      <c r="CB320" s="5">
        <v>120</v>
      </c>
      <c r="CC320" s="5">
        <v>481.5</v>
      </c>
      <c r="CD320" s="5">
        <v>390</v>
      </c>
      <c r="CE320" s="5">
        <v>543.75</v>
      </c>
      <c r="CG320" s="5">
        <v>22</v>
      </c>
      <c r="CH320" s="5">
        <v>15</v>
      </c>
      <c r="CI320" s="5">
        <v>20</v>
      </c>
      <c r="CJ320" s="5">
        <v>23</v>
      </c>
      <c r="CK320" s="5">
        <v>20</v>
      </c>
      <c r="CL320" s="5">
        <v>24</v>
      </c>
      <c r="CM320" s="5">
        <v>24</v>
      </c>
      <c r="CN320" s="5">
        <v>24</v>
      </c>
      <c r="CO320" s="5">
        <v>24</v>
      </c>
      <c r="CP320" s="5">
        <v>22</v>
      </c>
      <c r="CQ320" s="5">
        <v>28</v>
      </c>
      <c r="CR320" s="5">
        <v>27</v>
      </c>
      <c r="CS320" s="5">
        <v>24</v>
      </c>
      <c r="CT320" s="5">
        <v>26</v>
      </c>
      <c r="CU320" s="5">
        <v>32</v>
      </c>
      <c r="CW320" s="5">
        <f t="shared" si="3"/>
        <v>32</v>
      </c>
      <c r="CZ320" s="5">
        <f t="shared" si="4"/>
        <v>15</v>
      </c>
      <c r="DA320" s="5" t="str" cm="1">
        <f t="array" ref="DA320">_xlfn.CHOOSECOLS(_xlfn.ANCHORARRAY($AH$298),MATCH(CW320,CG320:CU320))</f>
        <v>Invercargill</v>
      </c>
    </row>
    <row r="323" spans="7:48">
      <c r="G323" s="3" t="str" cm="1">
        <f t="array" ref="G323">_xlfn.CHOOSECOLS(_xlfn.ANCHORARRAY($AH$298),MATCH(MAX(CG301:CU301),CG301:CU301,0))&amp;"-"&amp;MAX(CG301:CU301)</f>
        <v>Napier-33</v>
      </c>
      <c r="AH323" s="5">
        <f>SUM(AH301:AH320)</f>
        <v>625.9</v>
      </c>
      <c r="AI323" s="5">
        <f t="shared" ref="AI323:AV323" si="5">SUM(AI301:AI320)</f>
        <v>568.30000000000007</v>
      </c>
      <c r="AJ323" s="5">
        <f t="shared" si="5"/>
        <v>599.5</v>
      </c>
      <c r="AK323" s="5">
        <f t="shared" si="5"/>
        <v>626.50000000000011</v>
      </c>
      <c r="AL323" s="5">
        <f t="shared" si="5"/>
        <v>618.70000000000005</v>
      </c>
      <c r="AM323" s="5">
        <f t="shared" si="5"/>
        <v>662.00000000000023</v>
      </c>
      <c r="AN323" s="5">
        <f t="shared" si="5"/>
        <v>640.40000000000009</v>
      </c>
      <c r="AO323" s="5">
        <f t="shared" si="5"/>
        <v>650.20000000000005</v>
      </c>
      <c r="AP323" s="5">
        <f t="shared" si="5"/>
        <v>602.20000000000005</v>
      </c>
      <c r="AQ323" s="5">
        <f t="shared" si="5"/>
        <v>578.19999999999993</v>
      </c>
      <c r="AR323" s="5">
        <f t="shared" si="5"/>
        <v>627.80000000000007</v>
      </c>
      <c r="AS323" s="5">
        <f t="shared" si="5"/>
        <v>558.40000000000009</v>
      </c>
      <c r="AT323" s="5">
        <f t="shared" si="5"/>
        <v>625.79999999999995</v>
      </c>
      <c r="AU323" s="5">
        <f t="shared" si="5"/>
        <v>590.09999999999991</v>
      </c>
      <c r="AV323" s="5">
        <f t="shared" si="5"/>
        <v>675.3</v>
      </c>
    </row>
    <row r="324" spans="7:48">
      <c r="G324" s="3" t="str" cm="1">
        <f t="array" ref="G324">_xlfn.CHOOSECOLS(_xlfn.ANCHORARRAY($AH$298),MATCH(MAX(CG302:CU302),CG302:CU302,0))&amp;"-"&amp;MAX(CG302:CU302)</f>
        <v>Queenstown-30</v>
      </c>
    </row>
    <row r="325" spans="7:48">
      <c r="G325" s="3" t="str" cm="1">
        <f t="array" ref="G325">_xlfn.CHOOSECOLS(_xlfn.ANCHORARRAY($AH$298),MATCH(MAX(CG303:CU303),CG303:CU303,0))&amp;"-"&amp;MAX(CG303:CU303)</f>
        <v>Whangarei-31</v>
      </c>
    </row>
    <row r="326" spans="7:48">
      <c r="G326" s="3" t="str" cm="1">
        <f t="array" ref="G326">_xlfn.CHOOSECOLS(_xlfn.ANCHORARRAY($AH$298),MATCH(MAX(CG304:CU304),CG304:CU304,0))&amp;"-"&amp;MAX(CG304:CU304)</f>
        <v>Invercargill-29</v>
      </c>
    </row>
    <row r="327" spans="7:48">
      <c r="G327" s="3" t="str" cm="1">
        <f t="array" ref="G327">_xlfn.CHOOSECOLS(_xlfn.ANCHORARRAY($AH$298),MATCH(MAX(CG305:CU305),CG305:CU305,0))&amp;"-"&amp;MAX(CG305:CU305)</f>
        <v>Invercargill-29</v>
      </c>
    </row>
    <row r="328" spans="7:48">
      <c r="G328" s="3" t="str" cm="1">
        <f t="array" ref="G328">_xlfn.CHOOSECOLS(_xlfn.ANCHORARRAY($AH$298),MATCH(MAX(CG306:CU306),CG306:CU306,0))&amp;"-"&amp;MAX(CG306:CU306)</f>
        <v>Napier-32</v>
      </c>
    </row>
    <row r="329" spans="7:48">
      <c r="G329" s="3" t="str" cm="1">
        <f t="array" ref="G329">_xlfn.CHOOSECOLS(_xlfn.ANCHORARRAY($AH$298),MATCH(MAX(CG307:CU307),CG307:CU307,0))&amp;"-"&amp;MAX(CG307:CU307)</f>
        <v>Napier-32</v>
      </c>
    </row>
    <row r="330" spans="7:48">
      <c r="G330" s="3" t="str" cm="1">
        <f t="array" ref="G330">_xlfn.CHOOSECOLS(_xlfn.ANCHORARRAY($AH$298),MATCH(MAX(CG308:CU308),CG308:CU308,0))&amp;"-"&amp;MAX(CG308:CU308)</f>
        <v>Invercargill-30</v>
      </c>
    </row>
    <row r="331" spans="7:48">
      <c r="G331" s="3" t="str" cm="1">
        <f t="array" ref="G331">_xlfn.CHOOSECOLS(_xlfn.ANCHORARRAY($AH$298),MATCH(MAX(CG309:CU309),CG309:CU309,0))&amp;"-"&amp;MAX(CG309:CU309)</f>
        <v>Napier-32</v>
      </c>
    </row>
    <row r="332" spans="7:48">
      <c r="G332" s="3" t="str" cm="1">
        <f t="array" ref="G332">_xlfn.CHOOSECOLS(_xlfn.ANCHORARRAY($AH$298),MATCH(MAX(CG310:CU310),CG310:CU310,0))&amp;"-"&amp;MAX(CG310:CU310)</f>
        <v>Queenstown-28</v>
      </c>
    </row>
    <row r="333" spans="7:48">
      <c r="G333" s="3" t="str" cm="1">
        <f t="array" ref="G333">_xlfn.CHOOSECOLS(_xlfn.ANCHORARRAY($AH$298),MATCH(MAX(CG311:CU311),CG311:CU311,0))&amp;"-"&amp;MAX(CG311:CU311)</f>
        <v>Gisborne-29</v>
      </c>
    </row>
    <row r="334" spans="7:48">
      <c r="G334" s="3" t="str" cm="1">
        <f t="array" ref="G334">_xlfn.CHOOSECOLS(_xlfn.ANCHORARRAY($AH$298),MATCH(MAX(CG312:CU312),CG312:CU312,0))&amp;"-"&amp;MAX(CG312:CU312)</f>
        <v>Hamilton-30</v>
      </c>
    </row>
    <row r="335" spans="7:48">
      <c r="G335" s="3" t="str" cm="1">
        <f t="array" ref="G335">_xlfn.CHOOSECOLS(_xlfn.ANCHORARRAY($AH$298),MATCH(MAX(CG313:CU313),CG313:CU313,0))&amp;"-"&amp;MAX(CG313:CU313)</f>
        <v>Queenstown-28</v>
      </c>
    </row>
    <row r="336" spans="7:48">
      <c r="G336" s="3" t="str" cm="1">
        <f t="array" ref="G336">_xlfn.CHOOSECOLS(_xlfn.ANCHORARRAY($AH$298),MATCH(MAX(CG314:CU314),CG314:CU314,0))&amp;"-"&amp;MAX(CG314:CU314)</f>
        <v>Auckland-29</v>
      </c>
    </row>
    <row r="337" spans="7:7">
      <c r="G337" s="3" t="str" cm="1">
        <f t="array" ref="G337">_xlfn.CHOOSECOLS(_xlfn.ANCHORARRAY($AH$298),MATCH(MAX(CG315:CU315),CG315:CU315,0))&amp;"-"&amp;MAX(CG315:CU315)</f>
        <v>Tauranga-30</v>
      </c>
    </row>
    <row r="338" spans="7:7">
      <c r="G338" s="3" t="str" cm="1">
        <f t="array" ref="G338">_xlfn.CHOOSECOLS(_xlfn.ANCHORARRAY($AH$298),MATCH(MAX(CG316:CU316),CG316:CU316,0))&amp;"-"&amp;MAX(CG316:CU316)</f>
        <v>Napier-31</v>
      </c>
    </row>
    <row r="339" spans="7:7">
      <c r="G339" s="3" t="str" cm="1">
        <f t="array" ref="G339">_xlfn.CHOOSECOLS(_xlfn.ANCHORARRAY($AH$298),MATCH(MAX(CG317:CU317),CG317:CU317,0))&amp;"-"&amp;MAX(CG317:CU317)</f>
        <v>Invercargill-29</v>
      </c>
    </row>
    <row r="340" spans="7:7">
      <c r="G340" s="3" t="str" cm="1">
        <f t="array" ref="G340">_xlfn.CHOOSECOLS(_xlfn.ANCHORARRAY($AH$298),MATCH(MAX(CG318:CU318),CG318:CU318,0))&amp;"-"&amp;MAX(CG318:CU318)</f>
        <v>New Plymouth-29</v>
      </c>
    </row>
    <row r="341" spans="7:7">
      <c r="G341" s="3" t="str" cm="1">
        <f t="array" ref="G341">_xlfn.CHOOSECOLS(_xlfn.ANCHORARRAY($AH$298),MATCH(MAX(CG319:CU319),CG319:CU319,0))&amp;"-"&amp;MAX(CG319:CU319)</f>
        <v>Auckland-29</v>
      </c>
    </row>
    <row r="342" spans="7:7">
      <c r="G342" s="3" t="str" cm="1">
        <f t="array" ref="G342">_xlfn.CHOOSECOLS(_xlfn.ANCHORARRAY($AH$298),MATCH(MAX(CG320:CU320),CG320:CU320,0))&amp;"-"&amp;MAX(CG320:CU320)</f>
        <v>Invercargill-32</v>
      </c>
    </row>
    <row r="1000" spans="649:649">
      <c r="XY1000" s="117">
        <v>125713</v>
      </c>
    </row>
  </sheetData>
  <mergeCells count="5">
    <mergeCell ref="G41:M41"/>
    <mergeCell ref="G42:M42"/>
    <mergeCell ref="G43:M43"/>
    <mergeCell ref="G44:M44"/>
    <mergeCell ref="G40:M4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CAAF736-F194-42BC-9A15-D2879907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F46</xm:sqref>
        </x14:conditionalFormatting>
        <x14:conditionalFormatting xmlns:xm="http://schemas.microsoft.com/office/excel/2006/main">
          <x14:cfRule type="iconSet" priority="4" id="{0F7DE0CB-48E8-4964-8EA4-18BA0B35B48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F63 F65:F74</xm:sqref>
        </x14:conditionalFormatting>
        <x14:conditionalFormatting xmlns:xm="http://schemas.microsoft.com/office/excel/2006/main">
          <x14:cfRule type="iconSet" priority="2" id="{0515F5FF-FFD5-455E-9976-7E952D2746E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F95 F97:F106</xm:sqref>
        </x14:conditionalFormatting>
        <x14:conditionalFormatting xmlns:xm="http://schemas.microsoft.com/office/excel/2006/main">
          <x14:cfRule type="iconSet" priority="3" id="{3C60AD7B-443E-4D42-89B3-66A5C5BF241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F299 F256 F212 F168 F124 F40:F44 F126:F145 F170:F189 F214:F233 F258:F277 F301:F320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E843-5C7A-411F-AF88-D23B1ED162EF}">
  <sheetPr codeName="Sheet2">
    <tabColor theme="7" tint="0.59999389629810485"/>
  </sheetPr>
  <dimension ref="A2:XX1000"/>
  <sheetViews>
    <sheetView showGridLines="0" zoomScale="70" zoomScaleNormal="70" workbookViewId="0">
      <selection activeCell="G31" sqref="G31:J41"/>
    </sheetView>
  </sheetViews>
  <sheetFormatPr defaultColWidth="8.42578125" defaultRowHeight="15"/>
  <cols>
    <col min="1" max="1" width="3.140625" style="3" customWidth="1"/>
    <col min="2" max="2" width="19.28515625" style="7" customWidth="1"/>
    <col min="3" max="5" width="12.85546875" style="7" customWidth="1"/>
    <col min="6" max="12" width="12.85546875" style="5" customWidth="1"/>
    <col min="13" max="16384" width="8.42578125" style="5"/>
  </cols>
  <sheetData>
    <row r="2" spans="2:14" ht="21" customHeight="1">
      <c r="B2" s="67" t="s">
        <v>190</v>
      </c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2:14" ht="14.25" customHeight="1" thickBot="1">
      <c r="B3" s="13"/>
      <c r="C3" s="13"/>
      <c r="D3" s="13"/>
      <c r="E3" s="13"/>
    </row>
    <row r="4" spans="2:14" ht="16.5" thickBot="1">
      <c r="B4" s="75"/>
      <c r="C4" s="84" t="s">
        <v>191</v>
      </c>
      <c r="D4" s="74"/>
      <c r="E4" s="74"/>
      <c r="F4" s="74"/>
      <c r="G4" s="74"/>
      <c r="H4" s="74"/>
      <c r="I4" s="74"/>
      <c r="J4" s="74"/>
      <c r="K4" s="74"/>
      <c r="L4" s="85"/>
    </row>
    <row r="5" spans="2:14" ht="16.5" thickBot="1">
      <c r="B5" s="75" t="s">
        <v>57</v>
      </c>
      <c r="C5" s="86" t="s">
        <v>58</v>
      </c>
      <c r="D5" s="73" t="s">
        <v>59</v>
      </c>
      <c r="E5" s="73" t="s">
        <v>60</v>
      </c>
      <c r="F5" s="73" t="s">
        <v>61</v>
      </c>
      <c r="G5" s="73" t="s">
        <v>62</v>
      </c>
      <c r="H5" s="73" t="s">
        <v>63</v>
      </c>
      <c r="I5" s="73" t="s">
        <v>64</v>
      </c>
      <c r="J5" s="73" t="s">
        <v>65</v>
      </c>
      <c r="K5" s="73" t="s">
        <v>66</v>
      </c>
      <c r="L5" s="87" t="s">
        <v>67</v>
      </c>
    </row>
    <row r="6" spans="2:14">
      <c r="B6" s="76" t="s">
        <v>69</v>
      </c>
      <c r="C6" s="78">
        <v>5</v>
      </c>
      <c r="D6" s="7">
        <v>9</v>
      </c>
      <c r="E6" s="7">
        <v>4</v>
      </c>
      <c r="F6" s="22">
        <v>6</v>
      </c>
      <c r="G6" s="22">
        <v>6</v>
      </c>
      <c r="H6" s="22">
        <v>3</v>
      </c>
      <c r="I6" s="22">
        <v>4</v>
      </c>
      <c r="J6" s="22">
        <v>4</v>
      </c>
      <c r="K6" s="22">
        <v>5</v>
      </c>
      <c r="L6" s="79">
        <v>8</v>
      </c>
      <c r="N6" s="5">
        <f>SUM(C6:L6)</f>
        <v>54</v>
      </c>
    </row>
    <row r="7" spans="2:14">
      <c r="B7" s="76" t="s">
        <v>70</v>
      </c>
      <c r="C7" s="78">
        <v>6</v>
      </c>
      <c r="D7" s="7">
        <v>6</v>
      </c>
      <c r="E7" s="7">
        <v>3</v>
      </c>
      <c r="F7" s="22">
        <v>5</v>
      </c>
      <c r="G7" s="22">
        <v>3</v>
      </c>
      <c r="H7" s="22">
        <v>7</v>
      </c>
      <c r="I7" s="22">
        <v>5</v>
      </c>
      <c r="J7" s="22">
        <v>8</v>
      </c>
      <c r="K7" s="22">
        <v>5</v>
      </c>
      <c r="L7" s="79">
        <v>1</v>
      </c>
      <c r="N7" s="5">
        <f t="shared" ref="N7:N20" si="0">SUM(C7:L7)</f>
        <v>49</v>
      </c>
    </row>
    <row r="8" spans="2:14">
      <c r="B8" s="76" t="s">
        <v>71</v>
      </c>
      <c r="C8" s="78">
        <v>3</v>
      </c>
      <c r="D8" s="7">
        <v>10</v>
      </c>
      <c r="E8" s="7">
        <v>4</v>
      </c>
      <c r="F8" s="22">
        <v>4</v>
      </c>
      <c r="G8" s="22">
        <v>6</v>
      </c>
      <c r="H8" s="22">
        <v>8</v>
      </c>
      <c r="I8" s="22">
        <v>4</v>
      </c>
      <c r="J8" s="22">
        <v>5</v>
      </c>
      <c r="K8" s="22">
        <v>5</v>
      </c>
      <c r="L8" s="79">
        <v>3</v>
      </c>
      <c r="N8" s="5">
        <f t="shared" si="0"/>
        <v>52</v>
      </c>
    </row>
    <row r="9" spans="2:14">
      <c r="B9" s="76" t="s">
        <v>72</v>
      </c>
      <c r="C9" s="78">
        <v>5</v>
      </c>
      <c r="D9" s="7">
        <v>7</v>
      </c>
      <c r="E9" s="7">
        <v>4</v>
      </c>
      <c r="F9" s="22">
        <v>5</v>
      </c>
      <c r="G9" s="22">
        <v>6</v>
      </c>
      <c r="H9" s="22">
        <v>5</v>
      </c>
      <c r="I9" s="22">
        <v>5</v>
      </c>
      <c r="J9" s="22">
        <v>4</v>
      </c>
      <c r="K9" s="22">
        <v>6</v>
      </c>
      <c r="L9" s="79">
        <v>7</v>
      </c>
      <c r="N9" s="5">
        <f t="shared" si="0"/>
        <v>54</v>
      </c>
    </row>
    <row r="10" spans="2:14">
      <c r="B10" s="76" t="s">
        <v>73</v>
      </c>
      <c r="C10" s="78">
        <v>10</v>
      </c>
      <c r="D10" s="7">
        <v>4</v>
      </c>
      <c r="E10" s="7">
        <v>10</v>
      </c>
      <c r="F10" s="22">
        <v>4</v>
      </c>
      <c r="G10" s="22">
        <v>3</v>
      </c>
      <c r="H10" s="22">
        <v>3</v>
      </c>
      <c r="I10" s="22">
        <v>4</v>
      </c>
      <c r="J10" s="22">
        <v>5</v>
      </c>
      <c r="K10" s="22">
        <v>5</v>
      </c>
      <c r="L10" s="79">
        <v>5</v>
      </c>
      <c r="N10" s="5">
        <f t="shared" si="0"/>
        <v>53</v>
      </c>
    </row>
    <row r="11" spans="2:14">
      <c r="B11" s="76" t="s">
        <v>74</v>
      </c>
      <c r="C11" s="78">
        <v>4</v>
      </c>
      <c r="D11" s="7">
        <v>9</v>
      </c>
      <c r="E11" s="7">
        <v>5</v>
      </c>
      <c r="F11" s="22">
        <v>8</v>
      </c>
      <c r="G11" s="22">
        <v>6</v>
      </c>
      <c r="H11" s="22">
        <v>3</v>
      </c>
      <c r="I11" s="22">
        <v>10</v>
      </c>
      <c r="J11" s="22">
        <v>3</v>
      </c>
      <c r="K11" s="22">
        <v>4</v>
      </c>
      <c r="L11" s="79">
        <v>6</v>
      </c>
      <c r="N11" s="5">
        <f t="shared" si="0"/>
        <v>58</v>
      </c>
    </row>
    <row r="12" spans="2:14">
      <c r="B12" s="76" t="s">
        <v>75</v>
      </c>
      <c r="C12" s="78">
        <v>5</v>
      </c>
      <c r="D12" s="7">
        <v>5</v>
      </c>
      <c r="E12" s="7">
        <v>5</v>
      </c>
      <c r="F12" s="22">
        <v>8</v>
      </c>
      <c r="G12" s="22">
        <v>6</v>
      </c>
      <c r="H12" s="22">
        <v>4</v>
      </c>
      <c r="I12" s="22">
        <v>5</v>
      </c>
      <c r="J12" s="22">
        <v>4</v>
      </c>
      <c r="K12" s="22">
        <v>5</v>
      </c>
      <c r="L12" s="79">
        <v>8</v>
      </c>
      <c r="N12" s="5">
        <f t="shared" si="0"/>
        <v>55</v>
      </c>
    </row>
    <row r="13" spans="2:14">
      <c r="B13" s="76" t="s">
        <v>76</v>
      </c>
      <c r="C13" s="78">
        <v>8</v>
      </c>
      <c r="D13" s="7">
        <v>8</v>
      </c>
      <c r="E13" s="7">
        <v>5</v>
      </c>
      <c r="F13" s="22">
        <v>6</v>
      </c>
      <c r="G13" s="22">
        <v>5</v>
      </c>
      <c r="H13" s="22">
        <v>2</v>
      </c>
      <c r="I13" s="22">
        <v>5</v>
      </c>
      <c r="J13" s="22">
        <v>3</v>
      </c>
      <c r="K13" s="22">
        <v>10</v>
      </c>
      <c r="L13" s="79">
        <v>4</v>
      </c>
      <c r="N13" s="5">
        <f t="shared" si="0"/>
        <v>56</v>
      </c>
    </row>
    <row r="14" spans="2:14">
      <c r="B14" s="76" t="s">
        <v>77</v>
      </c>
      <c r="C14" s="78">
        <v>4</v>
      </c>
      <c r="D14" s="7">
        <v>8</v>
      </c>
      <c r="E14" s="7">
        <v>6</v>
      </c>
      <c r="F14" s="22">
        <v>5</v>
      </c>
      <c r="G14" s="22">
        <v>3</v>
      </c>
      <c r="H14" s="22">
        <v>4</v>
      </c>
      <c r="I14" s="22">
        <v>4</v>
      </c>
      <c r="J14" s="22">
        <v>3</v>
      </c>
      <c r="K14" s="22">
        <v>6</v>
      </c>
      <c r="L14" s="79">
        <v>9</v>
      </c>
      <c r="N14" s="5">
        <f t="shared" si="0"/>
        <v>52</v>
      </c>
    </row>
    <row r="15" spans="2:14">
      <c r="B15" s="76" t="s">
        <v>78</v>
      </c>
      <c r="C15" s="78">
        <v>6</v>
      </c>
      <c r="D15" s="7">
        <v>5</v>
      </c>
      <c r="E15" s="7">
        <v>5</v>
      </c>
      <c r="F15" s="22">
        <v>4</v>
      </c>
      <c r="G15" s="22">
        <v>3</v>
      </c>
      <c r="H15" s="22">
        <v>7</v>
      </c>
      <c r="I15" s="22">
        <v>7</v>
      </c>
      <c r="J15" s="22">
        <v>5</v>
      </c>
      <c r="K15" s="22">
        <v>3</v>
      </c>
      <c r="L15" s="79">
        <v>5</v>
      </c>
      <c r="N15" s="5">
        <f t="shared" si="0"/>
        <v>50</v>
      </c>
    </row>
    <row r="16" spans="2:14">
      <c r="B16" s="76" t="s">
        <v>79</v>
      </c>
      <c r="C16" s="78">
        <v>6</v>
      </c>
      <c r="D16" s="7">
        <v>8</v>
      </c>
      <c r="E16" s="7">
        <v>5</v>
      </c>
      <c r="F16" s="22">
        <v>10</v>
      </c>
      <c r="G16" s="22">
        <v>6</v>
      </c>
      <c r="H16" s="22">
        <v>3</v>
      </c>
      <c r="I16" s="22">
        <v>4</v>
      </c>
      <c r="J16" s="22">
        <v>4</v>
      </c>
      <c r="K16" s="22">
        <v>3</v>
      </c>
      <c r="L16" s="79">
        <v>5</v>
      </c>
      <c r="N16" s="5">
        <f t="shared" si="0"/>
        <v>54</v>
      </c>
    </row>
    <row r="17" spans="2:14">
      <c r="B17" s="76" t="s">
        <v>149</v>
      </c>
      <c r="C17" s="78">
        <v>8</v>
      </c>
      <c r="D17" s="7">
        <v>5</v>
      </c>
      <c r="E17" s="7">
        <v>3</v>
      </c>
      <c r="F17" s="22">
        <v>5</v>
      </c>
      <c r="G17" s="22">
        <v>5</v>
      </c>
      <c r="H17" s="22">
        <v>4</v>
      </c>
      <c r="I17" s="22">
        <v>6</v>
      </c>
      <c r="J17" s="22">
        <v>4</v>
      </c>
      <c r="K17" s="22">
        <v>4</v>
      </c>
      <c r="L17" s="79">
        <v>4</v>
      </c>
      <c r="N17" s="5">
        <f t="shared" si="0"/>
        <v>48</v>
      </c>
    </row>
    <row r="18" spans="2:14">
      <c r="B18" s="76" t="s">
        <v>103</v>
      </c>
      <c r="C18" s="78">
        <v>10</v>
      </c>
      <c r="D18" s="7">
        <v>6</v>
      </c>
      <c r="E18" s="7">
        <v>3</v>
      </c>
      <c r="F18" s="22">
        <v>9</v>
      </c>
      <c r="G18" s="22">
        <v>3</v>
      </c>
      <c r="H18" s="22">
        <v>7</v>
      </c>
      <c r="I18" s="22">
        <v>2</v>
      </c>
      <c r="J18" s="22">
        <v>7</v>
      </c>
      <c r="K18" s="22">
        <v>5</v>
      </c>
      <c r="L18" s="79">
        <v>1</v>
      </c>
      <c r="N18" s="5">
        <f t="shared" si="0"/>
        <v>53</v>
      </c>
    </row>
    <row r="19" spans="2:14">
      <c r="B19" s="76" t="s">
        <v>151</v>
      </c>
      <c r="C19" s="78">
        <v>6</v>
      </c>
      <c r="D19" s="7">
        <v>5</v>
      </c>
      <c r="E19" s="7">
        <v>6</v>
      </c>
      <c r="F19" s="22">
        <v>5</v>
      </c>
      <c r="G19" s="22">
        <v>6</v>
      </c>
      <c r="H19" s="22">
        <v>4</v>
      </c>
      <c r="I19" s="22">
        <v>6</v>
      </c>
      <c r="J19" s="22">
        <v>4</v>
      </c>
      <c r="K19" s="22">
        <v>5</v>
      </c>
      <c r="L19" s="79">
        <v>4</v>
      </c>
      <c r="N19" s="5">
        <f t="shared" si="0"/>
        <v>51</v>
      </c>
    </row>
    <row r="20" spans="2:14" ht="15.75" thickBot="1">
      <c r="B20" s="77" t="s">
        <v>150</v>
      </c>
      <c r="C20" s="80">
        <v>5</v>
      </c>
      <c r="D20" s="81">
        <v>4</v>
      </c>
      <c r="E20" s="81">
        <v>6</v>
      </c>
      <c r="F20" s="82">
        <v>5</v>
      </c>
      <c r="G20" s="82">
        <v>10</v>
      </c>
      <c r="H20" s="82">
        <v>3</v>
      </c>
      <c r="I20" s="82">
        <v>5</v>
      </c>
      <c r="J20" s="82">
        <v>3</v>
      </c>
      <c r="K20" s="82">
        <v>7</v>
      </c>
      <c r="L20" s="83">
        <v>10</v>
      </c>
      <c r="N20" s="5">
        <f t="shared" si="0"/>
        <v>58</v>
      </c>
    </row>
    <row r="23" spans="2:14">
      <c r="C23" s="7">
        <f>SUM(C6:C20)</f>
        <v>91</v>
      </c>
      <c r="D23" s="7">
        <f t="shared" ref="D23:L23" si="1">SUM(D6:D20)</f>
        <v>99</v>
      </c>
      <c r="E23" s="7">
        <f t="shared" si="1"/>
        <v>74</v>
      </c>
      <c r="F23" s="7">
        <f t="shared" si="1"/>
        <v>89</v>
      </c>
      <c r="G23" s="7">
        <f t="shared" si="1"/>
        <v>77</v>
      </c>
      <c r="H23" s="7">
        <f t="shared" si="1"/>
        <v>67</v>
      </c>
      <c r="I23" s="7">
        <f t="shared" si="1"/>
        <v>76</v>
      </c>
      <c r="J23" s="7">
        <f t="shared" si="1"/>
        <v>66</v>
      </c>
      <c r="K23" s="7">
        <f t="shared" si="1"/>
        <v>78</v>
      </c>
      <c r="L23" s="7">
        <f t="shared" si="1"/>
        <v>80</v>
      </c>
    </row>
    <row r="32" spans="2:14" ht="15.75" thickBot="1">
      <c r="G32" s="81">
        <v>4</v>
      </c>
      <c r="H32" s="82">
        <v>5</v>
      </c>
      <c r="I32" s="82">
        <v>3</v>
      </c>
      <c r="J32" s="82">
        <v>3</v>
      </c>
    </row>
    <row r="34" spans="7:10">
      <c r="G34" s="7">
        <v>6</v>
      </c>
      <c r="H34" s="22">
        <v>9</v>
      </c>
      <c r="I34" s="22">
        <v>7</v>
      </c>
      <c r="J34" s="22">
        <v>7</v>
      </c>
    </row>
    <row r="39" spans="7:10">
      <c r="G39" s="78" t="s">
        <v>61</v>
      </c>
      <c r="H39" s="7" t="s">
        <v>65</v>
      </c>
      <c r="I39" s="7" t="s">
        <v>63</v>
      </c>
      <c r="J39" s="79" t="s">
        <v>59</v>
      </c>
    </row>
    <row r="1000" spans="648:648" ht="15.75">
      <c r="XX1000" s="117">
        <v>125713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C618-2609-4A66-AB5E-CDB2B88D5D13}">
  <sheetPr codeName="Sheet3">
    <tabColor theme="7" tint="0.59999389629810485"/>
  </sheetPr>
  <dimension ref="A2:XX1000"/>
  <sheetViews>
    <sheetView showGridLines="0" zoomScale="70" zoomScaleNormal="70" workbookViewId="0">
      <selection activeCell="F14" sqref="C14:F14"/>
    </sheetView>
  </sheetViews>
  <sheetFormatPr defaultColWidth="8.42578125" defaultRowHeight="15"/>
  <cols>
    <col min="1" max="1" width="3.140625" style="3" customWidth="1"/>
    <col min="2" max="2" width="19.28515625" style="7" customWidth="1"/>
    <col min="3" max="5" width="14.28515625" style="7" customWidth="1"/>
    <col min="6" max="6" width="14.28515625" style="5" customWidth="1"/>
    <col min="7" max="9" width="8.42578125" style="5"/>
    <col min="10" max="10" width="12.140625" style="5" customWidth="1"/>
    <col min="11" max="12" width="8.42578125" style="5"/>
    <col min="13" max="13" width="10" style="5" bestFit="1" customWidth="1"/>
    <col min="14" max="16384" width="8.42578125" style="5"/>
  </cols>
  <sheetData>
    <row r="2" spans="2:15" ht="21" customHeight="1">
      <c r="B2" s="67" t="s">
        <v>192</v>
      </c>
      <c r="C2" s="67"/>
      <c r="D2" s="67"/>
      <c r="E2" s="67"/>
      <c r="F2" s="67"/>
    </row>
    <row r="3" spans="2:15" ht="14.25" customHeight="1" thickBot="1">
      <c r="B3" s="13"/>
      <c r="C3" s="13"/>
      <c r="D3" s="13"/>
      <c r="E3" s="13"/>
    </row>
    <row r="4" spans="2:15" ht="16.5" thickBot="1">
      <c r="B4" s="75"/>
      <c r="C4" s="84" t="s">
        <v>193</v>
      </c>
      <c r="D4" s="74"/>
      <c r="E4" s="74"/>
      <c r="F4" s="85"/>
    </row>
    <row r="5" spans="2:15" ht="16.5" thickBot="1">
      <c r="B5" s="75" t="s">
        <v>194</v>
      </c>
      <c r="C5" s="86" t="s">
        <v>195</v>
      </c>
      <c r="D5" s="73" t="s">
        <v>196</v>
      </c>
      <c r="E5" s="73" t="s">
        <v>197</v>
      </c>
      <c r="F5" s="87" t="s">
        <v>198</v>
      </c>
    </row>
    <row r="6" spans="2:15">
      <c r="B6" s="76" t="s">
        <v>120</v>
      </c>
      <c r="C6" s="78" t="s">
        <v>58</v>
      </c>
      <c r="D6" s="7" t="s">
        <v>62</v>
      </c>
      <c r="E6" s="7" t="s">
        <v>67</v>
      </c>
      <c r="F6" s="79" t="s">
        <v>59</v>
      </c>
      <c r="I6" s="5" cm="1">
        <f t="array" ref="I6:L25">MATCH(C6:F25,Destinations!C5:L5,0)</f>
        <v>1</v>
      </c>
      <c r="J6" s="5">
        <v>5</v>
      </c>
      <c r="K6" s="5">
        <v>10</v>
      </c>
      <c r="L6" s="5">
        <v>2</v>
      </c>
      <c r="N6" s="5" cm="1">
        <f t="array" ref="N6:N15">_xlfn.UNIQUE(_xlfn.TOCOL(_xlfn.ANCHORARRAY(I6)))</f>
        <v>1</v>
      </c>
      <c r="O6" s="5" cm="1">
        <f t="array" ref="O6:O15">COUNTIF(_xlfn.ANCHORARRAY(I6),_xlfn.ANCHORARRAY(N6))</f>
        <v>10</v>
      </c>
    </row>
    <row r="7" spans="2:15">
      <c r="B7" s="76" t="s">
        <v>130</v>
      </c>
      <c r="C7" s="78" t="s">
        <v>63</v>
      </c>
      <c r="D7" s="7" t="s">
        <v>60</v>
      </c>
      <c r="E7" s="7" t="s">
        <v>65</v>
      </c>
      <c r="F7" s="79" t="s">
        <v>61</v>
      </c>
      <c r="I7" s="5">
        <v>6</v>
      </c>
      <c r="J7" s="5">
        <v>3</v>
      </c>
      <c r="K7" s="5">
        <v>8</v>
      </c>
      <c r="L7" s="5">
        <v>4</v>
      </c>
      <c r="N7" s="5">
        <v>5</v>
      </c>
      <c r="O7" s="5">
        <v>8</v>
      </c>
    </row>
    <row r="8" spans="2:15">
      <c r="B8" s="76" t="s">
        <v>122</v>
      </c>
      <c r="C8" s="78" t="s">
        <v>66</v>
      </c>
      <c r="D8" s="7" t="s">
        <v>64</v>
      </c>
      <c r="E8" s="7" t="s">
        <v>58</v>
      </c>
      <c r="F8" s="79" t="s">
        <v>67</v>
      </c>
      <c r="I8" s="5">
        <v>9</v>
      </c>
      <c r="J8" s="5">
        <v>7</v>
      </c>
      <c r="K8" s="5">
        <v>1</v>
      </c>
      <c r="L8" s="5">
        <v>10</v>
      </c>
      <c r="N8" s="5">
        <v>10</v>
      </c>
      <c r="O8" s="5">
        <v>9</v>
      </c>
    </row>
    <row r="9" spans="2:15">
      <c r="B9" s="76" t="s">
        <v>129</v>
      </c>
      <c r="C9" s="78" t="s">
        <v>61</v>
      </c>
      <c r="D9" s="7" t="s">
        <v>63</v>
      </c>
      <c r="E9" s="7" t="s">
        <v>59</v>
      </c>
      <c r="F9" s="79" t="s">
        <v>60</v>
      </c>
      <c r="I9" s="5">
        <v>4</v>
      </c>
      <c r="J9" s="5">
        <v>6</v>
      </c>
      <c r="K9" s="5">
        <v>2</v>
      </c>
      <c r="L9" s="5">
        <v>3</v>
      </c>
      <c r="N9" s="5">
        <v>2</v>
      </c>
      <c r="O9" s="5">
        <v>7</v>
      </c>
    </row>
    <row r="10" spans="2:15">
      <c r="B10" s="76" t="s">
        <v>128</v>
      </c>
      <c r="C10" s="78" t="s">
        <v>65</v>
      </c>
      <c r="D10" s="7" t="s">
        <v>66</v>
      </c>
      <c r="E10" s="7" t="s">
        <v>62</v>
      </c>
      <c r="F10" s="79" t="s">
        <v>58</v>
      </c>
      <c r="I10" s="5">
        <v>8</v>
      </c>
      <c r="J10" s="5">
        <v>9</v>
      </c>
      <c r="K10" s="5">
        <v>5</v>
      </c>
      <c r="L10" s="5">
        <v>1</v>
      </c>
      <c r="N10" s="5">
        <v>6</v>
      </c>
      <c r="O10" s="5">
        <v>9</v>
      </c>
    </row>
    <row r="11" spans="2:15">
      <c r="B11" s="76" t="s">
        <v>126</v>
      </c>
      <c r="C11" s="78" t="s">
        <v>67</v>
      </c>
      <c r="D11" s="7" t="s">
        <v>64</v>
      </c>
      <c r="E11" s="7" t="s">
        <v>63</v>
      </c>
      <c r="F11" s="79" t="s">
        <v>61</v>
      </c>
      <c r="I11" s="5">
        <v>10</v>
      </c>
      <c r="J11" s="5">
        <v>7</v>
      </c>
      <c r="K11" s="5">
        <v>6</v>
      </c>
      <c r="L11" s="5">
        <v>4</v>
      </c>
      <c r="N11" s="5">
        <v>3</v>
      </c>
      <c r="O11" s="5">
        <v>7</v>
      </c>
    </row>
    <row r="12" spans="2:15">
      <c r="B12" s="76" t="s">
        <v>127</v>
      </c>
      <c r="C12" s="78" t="s">
        <v>59</v>
      </c>
      <c r="D12" s="7" t="s">
        <v>58</v>
      </c>
      <c r="E12" s="7" t="s">
        <v>66</v>
      </c>
      <c r="F12" s="79" t="s">
        <v>65</v>
      </c>
      <c r="I12" s="5">
        <v>2</v>
      </c>
      <c r="J12" s="5">
        <v>1</v>
      </c>
      <c r="K12" s="5">
        <v>9</v>
      </c>
      <c r="L12" s="5">
        <v>8</v>
      </c>
      <c r="N12" s="5">
        <v>8</v>
      </c>
      <c r="O12" s="5">
        <v>8</v>
      </c>
    </row>
    <row r="13" spans="2:15">
      <c r="B13" s="76" t="s">
        <v>121</v>
      </c>
      <c r="C13" s="78" t="s">
        <v>60</v>
      </c>
      <c r="D13" s="7" t="s">
        <v>62</v>
      </c>
      <c r="E13" s="7" t="s">
        <v>67</v>
      </c>
      <c r="F13" s="79" t="s">
        <v>64</v>
      </c>
      <c r="I13" s="5">
        <v>3</v>
      </c>
      <c r="J13" s="5">
        <v>5</v>
      </c>
      <c r="K13" s="5">
        <v>10</v>
      </c>
      <c r="L13" s="5">
        <v>7</v>
      </c>
      <c r="N13" s="5">
        <v>4</v>
      </c>
      <c r="O13" s="5">
        <v>9</v>
      </c>
    </row>
    <row r="14" spans="2:15">
      <c r="B14" s="76" t="s">
        <v>168</v>
      </c>
      <c r="C14" s="78" t="s">
        <v>61</v>
      </c>
      <c r="D14" s="7" t="s">
        <v>65</v>
      </c>
      <c r="E14" s="7" t="s">
        <v>63</v>
      </c>
      <c r="F14" s="79" t="s">
        <v>59</v>
      </c>
      <c r="I14" s="5">
        <v>4</v>
      </c>
      <c r="J14" s="5">
        <v>8</v>
      </c>
      <c r="K14" s="5">
        <v>6</v>
      </c>
      <c r="L14" s="5">
        <v>2</v>
      </c>
      <c r="N14" s="5">
        <v>9</v>
      </c>
      <c r="O14" s="5">
        <v>8</v>
      </c>
    </row>
    <row r="15" spans="2:15">
      <c r="B15" s="76" t="s">
        <v>131</v>
      </c>
      <c r="C15" s="78" t="s">
        <v>66</v>
      </c>
      <c r="D15" s="7" t="s">
        <v>60</v>
      </c>
      <c r="E15" s="7" t="s">
        <v>58</v>
      </c>
      <c r="F15" s="79" t="s">
        <v>62</v>
      </c>
      <c r="I15" s="5">
        <v>9</v>
      </c>
      <c r="J15" s="5">
        <v>3</v>
      </c>
      <c r="K15" s="5">
        <v>1</v>
      </c>
      <c r="L15" s="5">
        <v>5</v>
      </c>
      <c r="N15" s="5">
        <v>7</v>
      </c>
      <c r="O15" s="5">
        <v>5</v>
      </c>
    </row>
    <row r="16" spans="2:15">
      <c r="B16" s="76" t="s">
        <v>172</v>
      </c>
      <c r="C16" s="78" t="s">
        <v>63</v>
      </c>
      <c r="D16" s="7" t="s">
        <v>61</v>
      </c>
      <c r="E16" s="7" t="s">
        <v>67</v>
      </c>
      <c r="F16" s="79" t="s">
        <v>65</v>
      </c>
      <c r="I16" s="5">
        <v>6</v>
      </c>
      <c r="J16" s="5">
        <v>4</v>
      </c>
      <c r="K16" s="5">
        <v>10</v>
      </c>
      <c r="L16" s="5">
        <v>8</v>
      </c>
    </row>
    <row r="17" spans="2:13">
      <c r="B17" s="76" t="s">
        <v>132</v>
      </c>
      <c r="C17" s="78" t="s">
        <v>58</v>
      </c>
      <c r="D17" s="7" t="s">
        <v>59</v>
      </c>
      <c r="E17" s="7" t="s">
        <v>64</v>
      </c>
      <c r="F17" s="79" t="s">
        <v>66</v>
      </c>
      <c r="I17" s="5">
        <v>1</v>
      </c>
      <c r="J17" s="5">
        <v>2</v>
      </c>
      <c r="K17" s="5">
        <v>7</v>
      </c>
      <c r="L17" s="5">
        <v>9</v>
      </c>
    </row>
    <row r="18" spans="2:13">
      <c r="B18" s="76" t="s">
        <v>171</v>
      </c>
      <c r="C18" s="78" t="s">
        <v>62</v>
      </c>
      <c r="D18" s="7" t="s">
        <v>65</v>
      </c>
      <c r="E18" s="7" t="s">
        <v>60</v>
      </c>
      <c r="F18" s="79" t="s">
        <v>63</v>
      </c>
      <c r="I18" s="5">
        <v>5</v>
      </c>
      <c r="J18" s="5">
        <v>8</v>
      </c>
      <c r="K18" s="5">
        <v>3</v>
      </c>
      <c r="L18" s="5">
        <v>6</v>
      </c>
    </row>
    <row r="19" spans="2:13">
      <c r="B19" s="76" t="s">
        <v>123</v>
      </c>
      <c r="C19" s="78" t="s">
        <v>67</v>
      </c>
      <c r="D19" s="7" t="s">
        <v>58</v>
      </c>
      <c r="E19" s="7" t="s">
        <v>61</v>
      </c>
      <c r="F19" s="79" t="s">
        <v>66</v>
      </c>
      <c r="I19" s="5">
        <v>10</v>
      </c>
      <c r="J19" s="5">
        <v>1</v>
      </c>
      <c r="K19" s="5">
        <v>4</v>
      </c>
      <c r="L19" s="5">
        <v>9</v>
      </c>
    </row>
    <row r="20" spans="2:13">
      <c r="B20" s="76" t="s">
        <v>124</v>
      </c>
      <c r="C20" s="78" t="s">
        <v>62</v>
      </c>
      <c r="D20" s="7" t="s">
        <v>67</v>
      </c>
      <c r="E20" s="7" t="s">
        <v>59</v>
      </c>
      <c r="F20" s="79" t="s">
        <v>58</v>
      </c>
      <c r="I20" s="5">
        <v>5</v>
      </c>
      <c r="J20" s="5">
        <v>10</v>
      </c>
      <c r="K20" s="5">
        <v>2</v>
      </c>
      <c r="L20" s="5">
        <v>1</v>
      </c>
    </row>
    <row r="21" spans="2:13">
      <c r="B21" s="76" t="s">
        <v>173</v>
      </c>
      <c r="C21" s="78" t="s">
        <v>61</v>
      </c>
      <c r="D21" s="7" t="s">
        <v>67</v>
      </c>
      <c r="E21" s="7" t="s">
        <v>63</v>
      </c>
      <c r="F21" s="79" t="s">
        <v>60</v>
      </c>
      <c r="I21" s="5">
        <v>4</v>
      </c>
      <c r="J21" s="5">
        <v>10</v>
      </c>
      <c r="K21" s="5">
        <v>6</v>
      </c>
      <c r="L21" s="5">
        <v>3</v>
      </c>
    </row>
    <row r="22" spans="2:13">
      <c r="B22" s="76" t="s">
        <v>169</v>
      </c>
      <c r="C22" s="78" t="s">
        <v>66</v>
      </c>
      <c r="D22" s="7" t="s">
        <v>58</v>
      </c>
      <c r="E22" s="7" t="s">
        <v>65</v>
      </c>
      <c r="F22" s="79" t="s">
        <v>62</v>
      </c>
      <c r="I22" s="5">
        <v>9</v>
      </c>
      <c r="J22" s="5">
        <v>1</v>
      </c>
      <c r="K22" s="5">
        <v>8</v>
      </c>
      <c r="L22" s="5">
        <v>5</v>
      </c>
    </row>
    <row r="23" spans="2:13">
      <c r="B23" s="76" t="s">
        <v>170</v>
      </c>
      <c r="C23" s="78" t="s">
        <v>60</v>
      </c>
      <c r="D23" s="7" t="s">
        <v>61</v>
      </c>
      <c r="E23" s="7" t="s">
        <v>63</v>
      </c>
      <c r="F23" s="79" t="s">
        <v>67</v>
      </c>
      <c r="I23" s="5">
        <v>3</v>
      </c>
      <c r="J23" s="5">
        <v>4</v>
      </c>
      <c r="K23" s="5">
        <v>6</v>
      </c>
      <c r="L23" s="5">
        <v>10</v>
      </c>
    </row>
    <row r="24" spans="2:13">
      <c r="B24" s="76" t="s">
        <v>125</v>
      </c>
      <c r="C24" s="78" t="s">
        <v>58</v>
      </c>
      <c r="D24" s="7" t="s">
        <v>66</v>
      </c>
      <c r="E24" s="7" t="s">
        <v>64</v>
      </c>
      <c r="F24" s="79" t="s">
        <v>59</v>
      </c>
      <c r="I24" s="5">
        <v>1</v>
      </c>
      <c r="J24" s="5">
        <v>9</v>
      </c>
      <c r="K24" s="5">
        <v>7</v>
      </c>
      <c r="L24" s="5">
        <v>2</v>
      </c>
    </row>
    <row r="25" spans="2:13" ht="15.75" thickBot="1">
      <c r="B25" s="77" t="s">
        <v>167</v>
      </c>
      <c r="C25" s="80" t="s">
        <v>63</v>
      </c>
      <c r="D25" s="81" t="s">
        <v>62</v>
      </c>
      <c r="E25" s="81" t="s">
        <v>65</v>
      </c>
      <c r="F25" s="83" t="s">
        <v>61</v>
      </c>
      <c r="I25" s="5">
        <v>6</v>
      </c>
      <c r="J25" s="5">
        <v>5</v>
      </c>
      <c r="K25" s="5">
        <v>8</v>
      </c>
      <c r="L25" s="5">
        <v>4</v>
      </c>
    </row>
    <row r="30" spans="2:13">
      <c r="J30" s="5" t="str" cm="1">
        <f t="array" ref="J30:J39">_xlfn.UNIQUE(_xlfn.TOCOL(C6:F25))</f>
        <v>Attractions</v>
      </c>
      <c r="K30" s="5" cm="1">
        <f t="array" ref="K30:K39">COUNTIF(C6:F25,_xlfn.ANCHORARRAY(J30))</f>
        <v>10</v>
      </c>
      <c r="M30" s="5" t="b" cm="1">
        <f t="array" ref="M30:M39">_xlfn.ANCHORARRAY(K30)=_xlfn.ANCHORARRAY(O6)</f>
        <v>1</v>
      </c>
    </row>
    <row r="31" spans="2:13">
      <c r="J31" s="5" t="str">
        <v>Safety</v>
      </c>
      <c r="K31" s="5">
        <v>8</v>
      </c>
      <c r="M31" s="5" t="b">
        <v>1</v>
      </c>
    </row>
    <row r="32" spans="2:13">
      <c r="J32" s="5" t="str">
        <v>Affordability</v>
      </c>
      <c r="K32" s="5">
        <v>9</v>
      </c>
      <c r="M32" s="5" t="b">
        <v>1</v>
      </c>
    </row>
    <row r="33" spans="10:13">
      <c r="J33" s="5" t="str">
        <v>Climate</v>
      </c>
      <c r="K33" s="5">
        <v>7</v>
      </c>
      <c r="M33" s="5" t="b">
        <v>1</v>
      </c>
    </row>
    <row r="34" spans="10:13">
      <c r="J34" s="5" t="str">
        <v>Nightlife</v>
      </c>
      <c r="K34" s="5">
        <v>9</v>
      </c>
      <c r="M34" s="5" t="b">
        <v>1</v>
      </c>
    </row>
    <row r="35" spans="10:13">
      <c r="J35" s="5" t="str">
        <v>Culture</v>
      </c>
      <c r="K35" s="5">
        <v>7</v>
      </c>
      <c r="M35" s="5" t="b">
        <v>1</v>
      </c>
    </row>
    <row r="36" spans="10:13">
      <c r="J36" s="5" t="str">
        <v>Events</v>
      </c>
      <c r="K36" s="5">
        <v>8</v>
      </c>
      <c r="M36" s="5" t="b">
        <v>1</v>
      </c>
    </row>
    <row r="37" spans="10:13">
      <c r="J37" s="5" t="str">
        <v>Scenery</v>
      </c>
      <c r="K37" s="5">
        <v>9</v>
      </c>
      <c r="M37" s="5" t="b">
        <v>1</v>
      </c>
    </row>
    <row r="38" spans="10:13">
      <c r="J38" s="5" t="str">
        <v>Hospitality</v>
      </c>
      <c r="K38" s="5">
        <v>8</v>
      </c>
      <c r="M38" s="5" t="b">
        <v>1</v>
      </c>
    </row>
    <row r="39" spans="10:13">
      <c r="J39" s="5" t="str">
        <v>History</v>
      </c>
      <c r="K39" s="5">
        <v>5</v>
      </c>
      <c r="M39" s="5" t="b">
        <v>1</v>
      </c>
    </row>
    <row r="1000" spans="648:648" ht="15.75">
      <c r="XX1000" s="117">
        <v>125713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4C31-4B62-4BB5-9120-7B689F34BA86}">
  <sheetPr codeName="Sheet4">
    <tabColor theme="7" tint="0.59999389629810485"/>
  </sheetPr>
  <dimension ref="A2:XX1000"/>
  <sheetViews>
    <sheetView showGridLines="0" zoomScale="70" zoomScaleNormal="70" workbookViewId="0">
      <selection activeCell="Q19" sqref="Q19"/>
    </sheetView>
  </sheetViews>
  <sheetFormatPr defaultColWidth="8.42578125" defaultRowHeight="15"/>
  <cols>
    <col min="1" max="1" width="3.140625" style="3" customWidth="1"/>
    <col min="2" max="11" width="8.42578125" style="3" customWidth="1"/>
    <col min="12" max="12" width="8.5703125" style="3" customWidth="1"/>
    <col min="13" max="13" width="2.85546875" style="3" customWidth="1"/>
    <col min="14" max="14" width="24.28515625" style="3" customWidth="1"/>
    <col min="15" max="15" width="3.140625" style="3" customWidth="1"/>
    <col min="16" max="16" width="19.28515625" style="7" customWidth="1"/>
    <col min="17" max="19" width="12.85546875" style="7" customWidth="1"/>
    <col min="20" max="22" width="12.85546875" style="5" customWidth="1"/>
    <col min="23" max="23" width="15.42578125" style="5" bestFit="1" customWidth="1"/>
    <col min="24" max="24" width="12.85546875" style="5" customWidth="1"/>
    <col min="25" max="25" width="18.7109375" style="5" bestFit="1" customWidth="1"/>
    <col min="26" max="27" width="12.85546875" style="5" customWidth="1"/>
    <col min="28" max="28" width="13.85546875" style="5" bestFit="1" customWidth="1"/>
    <col min="29" max="29" width="13.140625" style="5" bestFit="1" customWidth="1"/>
    <col min="30" max="31" width="12.85546875" style="5" customWidth="1"/>
    <col min="32" max="16384" width="8.42578125" style="5"/>
  </cols>
  <sheetData>
    <row r="2" spans="2:31" ht="21" customHeight="1">
      <c r="B2" s="67" t="s">
        <v>199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P2" s="67" t="s">
        <v>200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 spans="2:31" ht="14.25" customHeight="1" thickBot="1">
      <c r="P3" s="13"/>
      <c r="Q3" s="13"/>
      <c r="R3" s="13"/>
      <c r="S3" s="13"/>
    </row>
    <row r="4" spans="2:31" ht="16.5" thickBot="1">
      <c r="N4" s="75" t="s">
        <v>201</v>
      </c>
      <c r="P4" s="75"/>
      <c r="Q4" s="86" t="s">
        <v>69</v>
      </c>
      <c r="R4" s="73" t="s">
        <v>70</v>
      </c>
      <c r="S4" s="73" t="s">
        <v>71</v>
      </c>
      <c r="T4" s="73" t="s">
        <v>72</v>
      </c>
      <c r="U4" s="73" t="s">
        <v>73</v>
      </c>
      <c r="V4" s="73" t="s">
        <v>74</v>
      </c>
      <c r="W4" s="73" t="s">
        <v>75</v>
      </c>
      <c r="X4" s="73" t="s">
        <v>76</v>
      </c>
      <c r="Y4" s="73" t="s">
        <v>77</v>
      </c>
      <c r="Z4" s="73" t="s">
        <v>78</v>
      </c>
      <c r="AA4" s="73" t="s">
        <v>79</v>
      </c>
      <c r="AB4" s="73" t="s">
        <v>149</v>
      </c>
      <c r="AC4" s="73" t="s">
        <v>103</v>
      </c>
      <c r="AD4" s="73" t="s">
        <v>151</v>
      </c>
      <c r="AE4" s="87" t="s">
        <v>150</v>
      </c>
    </row>
    <row r="5" spans="2:31">
      <c r="N5" s="88" t="s">
        <v>70</v>
      </c>
      <c r="P5" s="90" t="s">
        <v>69</v>
      </c>
      <c r="Q5" s="78">
        <v>0</v>
      </c>
      <c r="R5" s="7">
        <v>170</v>
      </c>
      <c r="S5" s="7">
        <v>376</v>
      </c>
      <c r="T5" s="22">
        <v>297</v>
      </c>
      <c r="U5" s="22">
        <v>404</v>
      </c>
      <c r="V5" s="22">
        <v>675</v>
      </c>
      <c r="W5" s="22">
        <v>539</v>
      </c>
      <c r="X5" s="22">
        <v>593</v>
      </c>
      <c r="Y5" s="22">
        <v>698</v>
      </c>
      <c r="Z5" s="22">
        <v>819</v>
      </c>
      <c r="AA5" s="22">
        <v>1008</v>
      </c>
      <c r="AB5" s="22">
        <v>1236</v>
      </c>
      <c r="AC5" s="22">
        <v>1713</v>
      </c>
      <c r="AD5" s="22">
        <v>1591</v>
      </c>
      <c r="AE5" s="79">
        <v>1796</v>
      </c>
    </row>
    <row r="6" spans="2:31">
      <c r="N6" s="88" t="s">
        <v>149</v>
      </c>
      <c r="P6" s="90" t="s">
        <v>70</v>
      </c>
      <c r="Q6" s="78">
        <v>170</v>
      </c>
      <c r="R6" s="7">
        <v>0</v>
      </c>
      <c r="S6" s="7">
        <v>206</v>
      </c>
      <c r="T6" s="22">
        <v>125</v>
      </c>
      <c r="U6" s="22">
        <v>234</v>
      </c>
      <c r="V6" s="22">
        <v>504</v>
      </c>
      <c r="W6" s="22">
        <v>369</v>
      </c>
      <c r="X6" s="22">
        <v>423</v>
      </c>
      <c r="Y6" s="22">
        <v>528</v>
      </c>
      <c r="Z6" s="22">
        <v>660</v>
      </c>
      <c r="AA6" s="22">
        <v>845</v>
      </c>
      <c r="AB6" s="22">
        <v>1073</v>
      </c>
      <c r="AC6" s="22">
        <v>1550</v>
      </c>
      <c r="AD6" s="22">
        <v>1427</v>
      </c>
      <c r="AE6" s="79">
        <v>1633</v>
      </c>
    </row>
    <row r="7" spans="2:31">
      <c r="N7" s="89" t="s">
        <v>78</v>
      </c>
      <c r="P7" s="90" t="s">
        <v>71</v>
      </c>
      <c r="Q7" s="78">
        <v>376</v>
      </c>
      <c r="R7" s="7">
        <v>206</v>
      </c>
      <c r="S7" s="7">
        <v>0</v>
      </c>
      <c r="T7" s="22">
        <v>106</v>
      </c>
      <c r="U7" s="22">
        <v>64</v>
      </c>
      <c r="V7" s="22">
        <v>276</v>
      </c>
      <c r="W7" s="22">
        <v>309</v>
      </c>
      <c r="X7" s="22">
        <v>280</v>
      </c>
      <c r="Y7" s="22">
        <v>397</v>
      </c>
      <c r="Z7" s="22">
        <v>526</v>
      </c>
      <c r="AA7" s="22">
        <v>728</v>
      </c>
      <c r="AB7" s="22">
        <v>956</v>
      </c>
      <c r="AC7" s="22">
        <v>1433</v>
      </c>
      <c r="AD7" s="22">
        <v>1310</v>
      </c>
      <c r="AE7" s="79">
        <v>1516</v>
      </c>
    </row>
    <row r="8" spans="2:31">
      <c r="P8" s="90" t="s">
        <v>72</v>
      </c>
      <c r="Q8" s="78">
        <v>297</v>
      </c>
      <c r="R8" s="7">
        <v>125</v>
      </c>
      <c r="S8" s="7">
        <v>106</v>
      </c>
      <c r="T8" s="22">
        <v>0</v>
      </c>
      <c r="U8" s="22">
        <v>107</v>
      </c>
      <c r="V8" s="22">
        <v>376</v>
      </c>
      <c r="W8" s="22">
        <v>240</v>
      </c>
      <c r="X8" s="22">
        <v>301</v>
      </c>
      <c r="Y8" s="22">
        <v>392</v>
      </c>
      <c r="Z8" s="22">
        <v>520</v>
      </c>
      <c r="AA8" s="22">
        <v>721</v>
      </c>
      <c r="AB8" s="22">
        <v>950</v>
      </c>
      <c r="AC8" s="22">
        <v>1427</v>
      </c>
      <c r="AD8" s="22">
        <v>1305</v>
      </c>
      <c r="AE8" s="79">
        <v>1509</v>
      </c>
    </row>
    <row r="9" spans="2:31">
      <c r="P9" s="90" t="s">
        <v>73</v>
      </c>
      <c r="Q9" s="78">
        <v>404</v>
      </c>
      <c r="R9" s="7">
        <v>234</v>
      </c>
      <c r="S9" s="7">
        <v>64</v>
      </c>
      <c r="T9" s="22">
        <v>107</v>
      </c>
      <c r="U9" s="22">
        <v>0</v>
      </c>
      <c r="V9" s="22">
        <v>274</v>
      </c>
      <c r="W9" s="22">
        <v>294</v>
      </c>
      <c r="X9" s="22">
        <v>220</v>
      </c>
      <c r="Y9" s="22">
        <v>324</v>
      </c>
      <c r="Z9" s="22">
        <v>453</v>
      </c>
      <c r="AA9" s="22">
        <v>655</v>
      </c>
      <c r="AB9" s="22">
        <v>883</v>
      </c>
      <c r="AC9" s="22">
        <v>1360</v>
      </c>
      <c r="AD9" s="22">
        <v>1237</v>
      </c>
      <c r="AE9" s="79">
        <v>1443</v>
      </c>
    </row>
    <row r="10" spans="2:31" ht="16.5" thickBot="1">
      <c r="N10" s="75" t="s">
        <v>202</v>
      </c>
      <c r="P10" s="90" t="s">
        <v>74</v>
      </c>
      <c r="Q10" s="78">
        <v>675</v>
      </c>
      <c r="R10" s="7">
        <v>504</v>
      </c>
      <c r="S10" s="7">
        <v>276</v>
      </c>
      <c r="T10" s="22">
        <v>376</v>
      </c>
      <c r="U10" s="22">
        <v>274</v>
      </c>
      <c r="V10" s="22">
        <v>0</v>
      </c>
      <c r="W10" s="22">
        <v>564</v>
      </c>
      <c r="X10" s="22">
        <v>215</v>
      </c>
      <c r="Y10" s="22">
        <v>392</v>
      </c>
      <c r="Z10" s="22">
        <v>533</v>
      </c>
      <c r="AA10" s="22">
        <v>735</v>
      </c>
      <c r="AB10" s="22">
        <v>963</v>
      </c>
      <c r="AC10" s="22">
        <v>1440</v>
      </c>
      <c r="AD10" s="22">
        <v>1317</v>
      </c>
      <c r="AE10" s="79">
        <v>1523</v>
      </c>
    </row>
    <row r="11" spans="2:31" ht="16.5" thickBot="1">
      <c r="M11" s="75" t="s">
        <v>202</v>
      </c>
      <c r="N11" s="88" t="s">
        <v>69</v>
      </c>
      <c r="P11" s="90" t="s">
        <v>75</v>
      </c>
      <c r="Q11" s="78">
        <v>539</v>
      </c>
      <c r="R11" s="7">
        <v>369</v>
      </c>
      <c r="S11" s="7">
        <v>309</v>
      </c>
      <c r="T11" s="22">
        <v>240</v>
      </c>
      <c r="U11" s="22">
        <v>294</v>
      </c>
      <c r="V11" s="22">
        <v>564</v>
      </c>
      <c r="W11" s="22">
        <v>0</v>
      </c>
      <c r="X11" s="22">
        <v>413</v>
      </c>
      <c r="Y11" s="22">
        <v>232</v>
      </c>
      <c r="Z11" s="22">
        <v>353</v>
      </c>
      <c r="AA11" s="22">
        <v>555</v>
      </c>
      <c r="AB11" s="22">
        <v>783</v>
      </c>
      <c r="AC11" s="22">
        <v>1260</v>
      </c>
      <c r="AD11" s="22">
        <v>1137</v>
      </c>
      <c r="AE11" s="79">
        <v>1343</v>
      </c>
    </row>
    <row r="12" spans="2:31" ht="16.5" thickBot="1">
      <c r="M12" s="75" t="s">
        <v>202</v>
      </c>
      <c r="N12" s="88" t="s">
        <v>70</v>
      </c>
      <c r="P12" s="90" t="s">
        <v>76</v>
      </c>
      <c r="Q12" s="78">
        <v>593</v>
      </c>
      <c r="R12" s="7">
        <v>423</v>
      </c>
      <c r="S12" s="7">
        <v>280</v>
      </c>
      <c r="T12" s="22">
        <v>301</v>
      </c>
      <c r="U12" s="22">
        <v>220</v>
      </c>
      <c r="V12" s="22">
        <v>215</v>
      </c>
      <c r="W12" s="22">
        <v>413</v>
      </c>
      <c r="X12" s="22">
        <v>0</v>
      </c>
      <c r="Y12" s="22">
        <v>183</v>
      </c>
      <c r="Z12" s="22">
        <v>323</v>
      </c>
      <c r="AA12" s="22">
        <v>525</v>
      </c>
      <c r="AB12" s="22">
        <v>753</v>
      </c>
      <c r="AC12" s="22">
        <v>1230</v>
      </c>
      <c r="AD12" s="22">
        <v>1108</v>
      </c>
      <c r="AE12" s="79">
        <v>1313</v>
      </c>
    </row>
    <row r="13" spans="2:31" ht="16.5" thickBot="1">
      <c r="M13" s="75" t="s">
        <v>202</v>
      </c>
      <c r="N13" s="88" t="s">
        <v>71</v>
      </c>
      <c r="P13" s="90" t="s">
        <v>77</v>
      </c>
      <c r="Q13" s="78">
        <v>698</v>
      </c>
      <c r="R13" s="7">
        <v>528</v>
      </c>
      <c r="S13" s="7">
        <v>397</v>
      </c>
      <c r="T13" s="22">
        <v>392</v>
      </c>
      <c r="U13" s="22">
        <v>324</v>
      </c>
      <c r="V13" s="22">
        <v>392</v>
      </c>
      <c r="W13" s="22">
        <v>232</v>
      </c>
      <c r="X13" s="22">
        <v>183</v>
      </c>
      <c r="Y13" s="22">
        <v>0</v>
      </c>
      <c r="Z13" s="22">
        <v>142</v>
      </c>
      <c r="AA13" s="22">
        <v>344</v>
      </c>
      <c r="AB13" s="22">
        <v>572</v>
      </c>
      <c r="AC13" s="22">
        <v>1049</v>
      </c>
      <c r="AD13" s="22">
        <v>926</v>
      </c>
      <c r="AE13" s="79">
        <v>1132</v>
      </c>
    </row>
    <row r="14" spans="2:31" ht="16.5" thickBot="1">
      <c r="M14" s="75" t="s">
        <v>202</v>
      </c>
      <c r="N14" s="88" t="s">
        <v>72</v>
      </c>
      <c r="P14" s="90" t="s">
        <v>78</v>
      </c>
      <c r="Q14" s="78">
        <v>819</v>
      </c>
      <c r="R14" s="7">
        <v>660</v>
      </c>
      <c r="S14" s="7">
        <v>526</v>
      </c>
      <c r="T14" s="22">
        <v>520</v>
      </c>
      <c r="U14" s="22">
        <v>453</v>
      </c>
      <c r="V14" s="22">
        <v>533</v>
      </c>
      <c r="W14" s="22">
        <v>353</v>
      </c>
      <c r="X14" s="22">
        <v>323</v>
      </c>
      <c r="Y14" s="22">
        <v>142</v>
      </c>
      <c r="Z14" s="22">
        <v>0</v>
      </c>
      <c r="AA14" s="22">
        <v>207</v>
      </c>
      <c r="AB14" s="22">
        <v>435</v>
      </c>
      <c r="AC14" s="22">
        <v>912</v>
      </c>
      <c r="AD14" s="22">
        <v>790</v>
      </c>
      <c r="AE14" s="79">
        <v>995</v>
      </c>
    </row>
    <row r="15" spans="2:31" ht="16.5" thickBot="1">
      <c r="M15" s="75" t="s">
        <v>202</v>
      </c>
      <c r="N15" s="88" t="s">
        <v>73</v>
      </c>
      <c r="P15" s="90" t="s">
        <v>79</v>
      </c>
      <c r="Q15" s="78">
        <v>1008</v>
      </c>
      <c r="R15" s="7">
        <v>845</v>
      </c>
      <c r="S15" s="7">
        <v>728</v>
      </c>
      <c r="T15" s="22">
        <v>721</v>
      </c>
      <c r="U15" s="22">
        <v>655</v>
      </c>
      <c r="V15" s="22">
        <v>735</v>
      </c>
      <c r="W15" s="22">
        <v>555</v>
      </c>
      <c r="X15" s="22">
        <v>525</v>
      </c>
      <c r="Y15" s="22">
        <v>344</v>
      </c>
      <c r="Z15" s="22">
        <v>207</v>
      </c>
      <c r="AA15" s="22">
        <v>0</v>
      </c>
      <c r="AB15" s="22">
        <v>414</v>
      </c>
      <c r="AC15" s="22">
        <v>811</v>
      </c>
      <c r="AD15" s="22">
        <v>769</v>
      </c>
      <c r="AE15" s="79">
        <v>973</v>
      </c>
    </row>
    <row r="16" spans="2:31" ht="16.5" thickBot="1">
      <c r="M16" s="75" t="s">
        <v>202</v>
      </c>
      <c r="N16" s="88" t="s">
        <v>74</v>
      </c>
      <c r="P16" s="90" t="s">
        <v>149</v>
      </c>
      <c r="Q16" s="78">
        <v>1236</v>
      </c>
      <c r="R16" s="7">
        <v>1073</v>
      </c>
      <c r="S16" s="7">
        <v>956</v>
      </c>
      <c r="T16" s="22">
        <v>950</v>
      </c>
      <c r="U16" s="22">
        <v>883</v>
      </c>
      <c r="V16" s="22">
        <v>963</v>
      </c>
      <c r="W16" s="22">
        <v>783</v>
      </c>
      <c r="X16" s="22">
        <v>753</v>
      </c>
      <c r="Y16" s="22">
        <v>572</v>
      </c>
      <c r="Z16" s="22">
        <v>435</v>
      </c>
      <c r="AA16" s="22">
        <v>414</v>
      </c>
      <c r="AB16" s="22">
        <v>0</v>
      </c>
      <c r="AC16" s="22">
        <v>482</v>
      </c>
      <c r="AD16" s="22">
        <v>360</v>
      </c>
      <c r="AE16" s="79">
        <v>565</v>
      </c>
    </row>
    <row r="17" spans="13:31" ht="16.5" thickBot="1">
      <c r="M17" s="75" t="s">
        <v>202</v>
      </c>
      <c r="N17" s="88" t="s">
        <v>75</v>
      </c>
      <c r="P17" s="90" t="s">
        <v>103</v>
      </c>
      <c r="Q17" s="78">
        <v>1713</v>
      </c>
      <c r="R17" s="7">
        <v>1550</v>
      </c>
      <c r="S17" s="7">
        <v>1433</v>
      </c>
      <c r="T17" s="22">
        <v>1427</v>
      </c>
      <c r="U17" s="22">
        <v>1360</v>
      </c>
      <c r="V17" s="22">
        <v>1440</v>
      </c>
      <c r="W17" s="22">
        <v>1260</v>
      </c>
      <c r="X17" s="22">
        <v>1230</v>
      </c>
      <c r="Y17" s="22">
        <v>1049</v>
      </c>
      <c r="Z17" s="22">
        <v>912</v>
      </c>
      <c r="AA17" s="22">
        <v>811</v>
      </c>
      <c r="AB17" s="22">
        <v>482</v>
      </c>
      <c r="AC17" s="22">
        <v>0</v>
      </c>
      <c r="AD17" s="22">
        <v>283</v>
      </c>
      <c r="AE17" s="79">
        <v>187</v>
      </c>
    </row>
    <row r="18" spans="13:31" ht="16.5" thickBot="1">
      <c r="M18" s="75" t="s">
        <v>202</v>
      </c>
      <c r="N18" s="88" t="s">
        <v>76</v>
      </c>
      <c r="P18" s="90" t="s">
        <v>151</v>
      </c>
      <c r="Q18" s="78">
        <v>1591</v>
      </c>
      <c r="R18" s="7">
        <v>1427</v>
      </c>
      <c r="S18" s="7">
        <v>1310</v>
      </c>
      <c r="T18" s="22">
        <v>1305</v>
      </c>
      <c r="U18" s="22">
        <v>1237</v>
      </c>
      <c r="V18" s="22">
        <v>1317</v>
      </c>
      <c r="W18" s="22">
        <v>1137</v>
      </c>
      <c r="X18" s="22">
        <v>1108</v>
      </c>
      <c r="Y18" s="22">
        <v>926</v>
      </c>
      <c r="Z18" s="22">
        <v>790</v>
      </c>
      <c r="AA18" s="22">
        <v>769</v>
      </c>
      <c r="AB18" s="22">
        <v>360</v>
      </c>
      <c r="AC18" s="22">
        <v>283</v>
      </c>
      <c r="AD18" s="22">
        <v>0</v>
      </c>
      <c r="AE18" s="79">
        <v>206</v>
      </c>
    </row>
    <row r="19" spans="13:31" ht="16.5" thickBot="1">
      <c r="M19" s="75" t="s">
        <v>202</v>
      </c>
      <c r="N19" s="88" t="s">
        <v>77</v>
      </c>
      <c r="P19" s="91" t="s">
        <v>150</v>
      </c>
      <c r="Q19" s="80">
        <v>1796</v>
      </c>
      <c r="R19" s="81">
        <v>1633</v>
      </c>
      <c r="S19" s="81">
        <v>1516</v>
      </c>
      <c r="T19" s="82">
        <v>1509</v>
      </c>
      <c r="U19" s="82">
        <v>1443</v>
      </c>
      <c r="V19" s="82">
        <v>1523</v>
      </c>
      <c r="W19" s="82">
        <v>1343</v>
      </c>
      <c r="X19" s="82">
        <v>1313</v>
      </c>
      <c r="Y19" s="82">
        <v>1132</v>
      </c>
      <c r="Z19" s="82">
        <v>995</v>
      </c>
      <c r="AA19" s="82">
        <v>973</v>
      </c>
      <c r="AB19" s="82">
        <v>565</v>
      </c>
      <c r="AC19" s="82">
        <v>187</v>
      </c>
      <c r="AD19" s="82">
        <v>206</v>
      </c>
      <c r="AE19" s="83">
        <v>0</v>
      </c>
    </row>
    <row r="20" spans="13:31" ht="16.5" thickBot="1">
      <c r="M20" s="75" t="s">
        <v>202</v>
      </c>
      <c r="N20" s="89" t="s">
        <v>78</v>
      </c>
    </row>
    <row r="21" spans="13:31" ht="15.75" thickBot="1"/>
    <row r="22" spans="13:31" ht="16.5" thickBot="1">
      <c r="N22" s="75" t="s">
        <v>203</v>
      </c>
    </row>
    <row r="23" spans="13:31" ht="16.5" thickBot="1">
      <c r="M23" s="75" t="s">
        <v>203</v>
      </c>
      <c r="N23" s="88" t="s">
        <v>79</v>
      </c>
    </row>
    <row r="24" spans="13:31" ht="16.5" thickBot="1">
      <c r="M24" s="75" t="s">
        <v>203</v>
      </c>
      <c r="N24" s="88" t="s">
        <v>149</v>
      </c>
    </row>
    <row r="25" spans="13:31" ht="16.5" thickBot="1">
      <c r="M25" s="75" t="s">
        <v>203</v>
      </c>
      <c r="N25" s="88" t="s">
        <v>103</v>
      </c>
    </row>
    <row r="26" spans="13:31" ht="16.5" thickBot="1">
      <c r="M26" s="75" t="s">
        <v>203</v>
      </c>
      <c r="N26" s="88" t="s">
        <v>151</v>
      </c>
    </row>
    <row r="27" spans="13:31" ht="16.5" thickBot="1">
      <c r="M27" s="75" t="s">
        <v>203</v>
      </c>
      <c r="N27" s="89" t="s">
        <v>150</v>
      </c>
    </row>
    <row r="1000" spans="648:648" ht="15.75">
      <c r="XX1000" s="117">
        <v>125713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133-84DC-4F6A-BBE9-DC695F66D526}">
  <sheetPr codeName="Sheet7"/>
  <dimension ref="A1:T127"/>
  <sheetViews>
    <sheetView showGridLines="0" zoomScale="70" zoomScaleNormal="70" workbookViewId="0"/>
  </sheetViews>
  <sheetFormatPr defaultColWidth="8.42578125" defaultRowHeight="23.25" customHeight="1"/>
  <cols>
    <col min="1" max="1" width="3.28515625" style="103" customWidth="1"/>
    <col min="2" max="2" width="12.7109375" style="115" customWidth="1"/>
    <col min="3" max="3" width="55.42578125" style="116" customWidth="1"/>
    <col min="4" max="4" width="9.5703125" style="103" customWidth="1"/>
    <col min="5" max="20" width="5.5703125" style="103" customWidth="1"/>
    <col min="21" max="44" width="8.28515625" style="106" customWidth="1"/>
    <col min="45" max="70" width="6.28515625" style="106" customWidth="1"/>
    <col min="71" max="16384" width="8.42578125" style="106"/>
  </cols>
  <sheetData>
    <row r="1" spans="2:20" ht="23.25" customHeight="1" thickBot="1">
      <c r="B1" s="101" t="s">
        <v>204</v>
      </c>
      <c r="C1" s="102"/>
      <c r="F1" s="104"/>
      <c r="G1" s="104"/>
      <c r="H1" s="104"/>
      <c r="I1" s="105"/>
      <c r="J1" s="105"/>
      <c r="K1" s="106"/>
      <c r="L1" s="106"/>
      <c r="M1" s="106"/>
      <c r="N1" s="106"/>
      <c r="O1" s="106"/>
      <c r="P1" s="106"/>
      <c r="Q1" s="106"/>
      <c r="R1" s="106"/>
      <c r="S1" s="106"/>
      <c r="T1" s="106"/>
    </row>
    <row r="2" spans="2:20" ht="23.25" customHeight="1" thickBot="1">
      <c r="B2" s="107" t="s">
        <v>28</v>
      </c>
      <c r="C2" s="108" t="s">
        <v>56</v>
      </c>
      <c r="D2" s="107" t="s">
        <v>30</v>
      </c>
      <c r="Q2" s="106"/>
      <c r="R2" s="106"/>
      <c r="S2" s="106"/>
      <c r="T2" s="106"/>
    </row>
    <row r="3" spans="2:20" ht="23.25" customHeight="1">
      <c r="B3" s="109" t="s">
        <v>33</v>
      </c>
      <c r="C3" s="110">
        <f>IF(ISBLANK(Case!E40),"",Case!E40)</f>
        <v>1796</v>
      </c>
      <c r="D3" s="111">
        <v>20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</row>
    <row r="4" spans="2:20" ht="23.25" customHeight="1">
      <c r="B4" s="112" t="s">
        <v>36</v>
      </c>
      <c r="C4" s="110" t="str">
        <f>IF(ISBLANK(Case!E41),"",Case!E41)</f>
        <v>Climate</v>
      </c>
      <c r="D4" s="113">
        <v>30</v>
      </c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</row>
    <row r="5" spans="2:20" ht="23.25" customHeight="1">
      <c r="B5" s="112" t="s">
        <v>38</v>
      </c>
      <c r="C5" s="110">
        <f>IF(ISBLANK(Case!E42),"",Case!E42)</f>
        <v>10</v>
      </c>
      <c r="D5" s="113">
        <v>50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</row>
    <row r="6" spans="2:20" ht="23.25" customHeight="1">
      <c r="B6" s="112" t="s">
        <v>40</v>
      </c>
      <c r="C6" s="110" t="str">
        <f>IF(ISBLANK(Case!E43),"",Case!E43)</f>
        <v>Hillary</v>
      </c>
      <c r="D6" s="113">
        <v>70</v>
      </c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</row>
    <row r="7" spans="2:20" ht="23.25" customHeight="1">
      <c r="B7" s="112" t="s">
        <v>42</v>
      </c>
      <c r="C7" s="110">
        <f>IF(ISBLANK(Case!E44),"",Case!E44)</f>
        <v>1677</v>
      </c>
      <c r="D7" s="113">
        <v>80</v>
      </c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</row>
    <row r="8" spans="2:20" ht="23.25" customHeight="1">
      <c r="B8" s="114">
        <v>1</v>
      </c>
      <c r="C8" s="110">
        <f>IF(ISBLANK(Case!E65),"",Case!E65)</f>
        <v>9</v>
      </c>
      <c r="D8" s="109">
        <v>5</v>
      </c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</row>
    <row r="9" spans="2:20" ht="23.25" customHeight="1">
      <c r="B9" s="114">
        <f t="shared" ref="B9:B72" si="0">B8+1</f>
        <v>2</v>
      </c>
      <c r="C9" s="110">
        <f>IF(ISBLANK(Case!E66),"",Case!E66)</f>
        <v>8</v>
      </c>
      <c r="D9" s="109">
        <v>5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</row>
    <row r="10" spans="2:20" ht="23.25" customHeight="1">
      <c r="B10" s="114">
        <f t="shared" si="0"/>
        <v>3</v>
      </c>
      <c r="C10" s="110">
        <f>IF(ISBLANK(Case!E67),"",Case!E67)</f>
        <v>10</v>
      </c>
      <c r="D10" s="109">
        <v>5</v>
      </c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</row>
    <row r="11" spans="2:20" ht="23.25" customHeight="1">
      <c r="B11" s="114">
        <f t="shared" si="0"/>
        <v>4</v>
      </c>
      <c r="C11" s="110">
        <f>IF(ISBLANK(Case!E68),"",Case!E68)</f>
        <v>7</v>
      </c>
      <c r="D11" s="109">
        <v>5</v>
      </c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</row>
    <row r="12" spans="2:20" ht="23.25" customHeight="1">
      <c r="B12" s="114">
        <f t="shared" si="0"/>
        <v>5</v>
      </c>
      <c r="C12" s="110">
        <f>IF(ISBLANK(Case!E69),"",Case!E69)</f>
        <v>10</v>
      </c>
      <c r="D12" s="109">
        <v>5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</row>
    <row r="13" spans="2:20" ht="23.25" customHeight="1">
      <c r="B13" s="114">
        <f t="shared" si="0"/>
        <v>6</v>
      </c>
      <c r="C13" s="110">
        <f>IF(ISBLANK(Case!E70),"",Case!E70)</f>
        <v>10</v>
      </c>
      <c r="D13" s="109">
        <v>5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</row>
    <row r="14" spans="2:20" ht="23.25" customHeight="1">
      <c r="B14" s="114">
        <f t="shared" si="0"/>
        <v>7</v>
      </c>
      <c r="C14" s="110">
        <f>IF(ISBLANK(Case!E71),"",Case!E71)</f>
        <v>8</v>
      </c>
      <c r="D14" s="109">
        <v>5</v>
      </c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</row>
    <row r="15" spans="2:20" ht="23.25" customHeight="1">
      <c r="B15" s="114">
        <f t="shared" si="0"/>
        <v>8</v>
      </c>
      <c r="C15" s="110">
        <f>IF(ISBLANK(Case!E72),"",Case!E72)</f>
        <v>10</v>
      </c>
      <c r="D15" s="109">
        <v>5</v>
      </c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</row>
    <row r="16" spans="2:20" ht="23.25" customHeight="1">
      <c r="B16" s="114">
        <f t="shared" si="0"/>
        <v>9</v>
      </c>
      <c r="C16" s="110">
        <f>IF(ISBLANK(Case!E73),"",Case!E73)</f>
        <v>9</v>
      </c>
      <c r="D16" s="109">
        <v>5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</row>
    <row r="17" spans="2:20" ht="23.25" customHeight="1">
      <c r="B17" s="114">
        <f t="shared" si="0"/>
        <v>10</v>
      </c>
      <c r="C17" s="110">
        <f>IF(ISBLANK(Case!E74),"",Case!E74)</f>
        <v>7</v>
      </c>
      <c r="D17" s="109">
        <v>5</v>
      </c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</row>
    <row r="18" spans="2:20" ht="23.25" customHeight="1">
      <c r="B18" s="114">
        <f t="shared" si="0"/>
        <v>11</v>
      </c>
      <c r="C18" s="110">
        <f>IF(ISBLANK(Case!E97),"",Case!E97)</f>
        <v>241</v>
      </c>
      <c r="D18" s="109">
        <v>5</v>
      </c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</row>
    <row r="19" spans="2:20" ht="23.25" customHeight="1">
      <c r="B19" s="114">
        <f t="shared" si="0"/>
        <v>12</v>
      </c>
      <c r="C19" s="110">
        <f>IF(ISBLANK(Case!E98),"",Case!E98)</f>
        <v>191</v>
      </c>
      <c r="D19" s="109">
        <v>5</v>
      </c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</row>
    <row r="20" spans="2:20" ht="23.25" customHeight="1">
      <c r="B20" s="114">
        <f t="shared" si="0"/>
        <v>13</v>
      </c>
      <c r="C20" s="110">
        <f>IF(ISBLANK(Case!E99),"",Case!E99)</f>
        <v>185</v>
      </c>
      <c r="D20" s="109">
        <v>5</v>
      </c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</row>
    <row r="21" spans="2:20" ht="23.25" customHeight="1">
      <c r="B21" s="114">
        <f t="shared" si="0"/>
        <v>14</v>
      </c>
      <c r="C21" s="110">
        <f>IF(ISBLANK(Case!E100),"",Case!E100)</f>
        <v>178</v>
      </c>
      <c r="D21" s="109">
        <v>5</v>
      </c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</row>
    <row r="22" spans="2:20" ht="23.25" customHeight="1">
      <c r="B22" s="114">
        <f t="shared" si="0"/>
        <v>15</v>
      </c>
      <c r="C22" s="110">
        <f>IF(ISBLANK(Case!E101),"",Case!E101)</f>
        <v>286</v>
      </c>
      <c r="D22" s="109">
        <v>5</v>
      </c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</row>
    <row r="23" spans="2:20" ht="23.25" customHeight="1">
      <c r="B23" s="114">
        <f t="shared" si="0"/>
        <v>16</v>
      </c>
      <c r="C23" s="110">
        <f>IF(ISBLANK(Case!E102),"",Case!E102)</f>
        <v>248</v>
      </c>
      <c r="D23" s="109">
        <v>5</v>
      </c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</row>
    <row r="24" spans="2:20" ht="23.25" customHeight="1">
      <c r="B24" s="114">
        <f t="shared" si="0"/>
        <v>17</v>
      </c>
      <c r="C24" s="110">
        <f>IF(ISBLANK(Case!E103),"",Case!E103)</f>
        <v>221</v>
      </c>
      <c r="D24" s="109">
        <v>5</v>
      </c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</row>
    <row r="25" spans="2:20" ht="23.25" customHeight="1">
      <c r="B25" s="114">
        <f t="shared" si="0"/>
        <v>18</v>
      </c>
      <c r="C25" s="110">
        <f>IF(ISBLANK(Case!E104),"",Case!E104)</f>
        <v>247</v>
      </c>
      <c r="D25" s="109">
        <v>5</v>
      </c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</row>
    <row r="26" spans="2:20" ht="23.25" customHeight="1">
      <c r="B26" s="114">
        <f t="shared" si="0"/>
        <v>19</v>
      </c>
      <c r="C26" s="110">
        <f>IF(ISBLANK(Case!E105),"",Case!E105)</f>
        <v>325</v>
      </c>
      <c r="D26" s="109">
        <v>5</v>
      </c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</row>
    <row r="27" spans="2:20" ht="23.25" customHeight="1">
      <c r="B27" s="114">
        <f t="shared" si="0"/>
        <v>20</v>
      </c>
      <c r="C27" s="110">
        <f>IF(ISBLANK(Case!E106),"",Case!E106)</f>
        <v>474</v>
      </c>
      <c r="D27" s="109">
        <v>5</v>
      </c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</row>
    <row r="28" spans="2:20" ht="23.25" customHeight="1">
      <c r="B28" s="114">
        <f t="shared" si="0"/>
        <v>21</v>
      </c>
      <c r="C28" s="110">
        <f>IF(ISBLANK(Case!E126),"",Case!E126)</f>
        <v>5</v>
      </c>
      <c r="D28" s="109">
        <v>7</v>
      </c>
    </row>
    <row r="29" spans="2:20" ht="23.25" customHeight="1">
      <c r="B29" s="114">
        <f t="shared" si="0"/>
        <v>22</v>
      </c>
      <c r="C29" s="110">
        <f>IF(ISBLANK(Case!E127),"",Case!E127)</f>
        <v>3</v>
      </c>
      <c r="D29" s="109">
        <v>7</v>
      </c>
    </row>
    <row r="30" spans="2:20" ht="23.25" customHeight="1">
      <c r="B30" s="114">
        <f t="shared" si="0"/>
        <v>23</v>
      </c>
      <c r="C30" s="110">
        <f>IF(ISBLANK(Case!E128),"",Case!E128)</f>
        <v>7</v>
      </c>
      <c r="D30" s="109">
        <v>7</v>
      </c>
    </row>
    <row r="31" spans="2:20" ht="23.25" customHeight="1">
      <c r="B31" s="114">
        <f t="shared" si="0"/>
        <v>24</v>
      </c>
      <c r="C31" s="110">
        <f>IF(ISBLANK(Case!E129),"",Case!E129)</f>
        <v>4</v>
      </c>
      <c r="D31" s="109">
        <v>7</v>
      </c>
    </row>
    <row r="32" spans="2:20" s="103" customFormat="1" ht="23.25" customHeight="1">
      <c r="B32" s="114">
        <f t="shared" si="0"/>
        <v>25</v>
      </c>
      <c r="C32" s="110">
        <f>IF(ISBLANK(Case!E130),"",Case!E130)</f>
        <v>3</v>
      </c>
      <c r="D32" s="109">
        <v>7</v>
      </c>
    </row>
    <row r="33" spans="2:4" s="103" customFormat="1" ht="23.25" customHeight="1">
      <c r="B33" s="114">
        <f t="shared" si="0"/>
        <v>26</v>
      </c>
      <c r="C33" s="110">
        <f>IF(ISBLANK(Case!E131),"",Case!E131)</f>
        <v>4</v>
      </c>
      <c r="D33" s="109">
        <v>7</v>
      </c>
    </row>
    <row r="34" spans="2:4" s="103" customFormat="1" ht="23.25" customHeight="1">
      <c r="B34" s="114">
        <f t="shared" si="0"/>
        <v>27</v>
      </c>
      <c r="C34" s="110">
        <f>IF(ISBLANK(Case!E132),"",Case!E132)</f>
        <v>7</v>
      </c>
      <c r="D34" s="109">
        <v>7</v>
      </c>
    </row>
    <row r="35" spans="2:4" s="103" customFormat="1" ht="23.25" customHeight="1">
      <c r="B35" s="114">
        <f t="shared" si="0"/>
        <v>28</v>
      </c>
      <c r="C35" s="110">
        <f>IF(ISBLANK(Case!E133),"",Case!E133)</f>
        <v>5</v>
      </c>
      <c r="D35" s="109">
        <v>7</v>
      </c>
    </row>
    <row r="36" spans="2:4" s="103" customFormat="1" ht="23.25" customHeight="1">
      <c r="B36" s="114">
        <f t="shared" si="0"/>
        <v>29</v>
      </c>
      <c r="C36" s="110">
        <f>IF(ISBLANK(Case!E134),"",Case!E134)</f>
        <v>6</v>
      </c>
      <c r="D36" s="109">
        <v>7</v>
      </c>
    </row>
    <row r="37" spans="2:4" s="103" customFormat="1" ht="23.25" customHeight="1">
      <c r="B37" s="114">
        <f t="shared" si="0"/>
        <v>30</v>
      </c>
      <c r="C37" s="110">
        <f>IF(ISBLANK(Case!E135),"",Case!E135)</f>
        <v>4</v>
      </c>
      <c r="D37" s="109">
        <v>7</v>
      </c>
    </row>
    <row r="38" spans="2:4" s="103" customFormat="1" ht="23.25" customHeight="1">
      <c r="B38" s="114">
        <f t="shared" si="0"/>
        <v>31</v>
      </c>
      <c r="C38" s="110">
        <f>IF(ISBLANK(Case!E136),"",Case!E136)</f>
        <v>6</v>
      </c>
      <c r="D38" s="109">
        <v>7</v>
      </c>
    </row>
    <row r="39" spans="2:4" s="103" customFormat="1" ht="23.25" customHeight="1">
      <c r="B39" s="114">
        <f t="shared" si="0"/>
        <v>32</v>
      </c>
      <c r="C39" s="110">
        <f>IF(ISBLANK(Case!E137),"",Case!E137)</f>
        <v>4</v>
      </c>
      <c r="D39" s="109">
        <v>7</v>
      </c>
    </row>
    <row r="40" spans="2:4" s="103" customFormat="1" ht="23.25" customHeight="1">
      <c r="B40" s="114">
        <f t="shared" si="0"/>
        <v>33</v>
      </c>
      <c r="C40" s="110">
        <f>IF(ISBLANK(Case!E138),"",Case!E138)</f>
        <v>5</v>
      </c>
      <c r="D40" s="109">
        <v>7</v>
      </c>
    </row>
    <row r="41" spans="2:4" s="103" customFormat="1" ht="23.25" customHeight="1">
      <c r="B41" s="114">
        <f t="shared" si="0"/>
        <v>34</v>
      </c>
      <c r="C41" s="110">
        <f>IF(ISBLANK(Case!E139),"",Case!E139)</f>
        <v>8</v>
      </c>
      <c r="D41" s="109">
        <v>7</v>
      </c>
    </row>
    <row r="42" spans="2:4" s="103" customFormat="1" ht="23.25" customHeight="1">
      <c r="B42" s="114">
        <f t="shared" si="0"/>
        <v>35</v>
      </c>
      <c r="C42" s="110">
        <f>IF(ISBLANK(Case!E140),"",Case!E140)</f>
        <v>9</v>
      </c>
      <c r="D42" s="109">
        <v>7</v>
      </c>
    </row>
    <row r="43" spans="2:4" s="103" customFormat="1" ht="23.25" customHeight="1">
      <c r="B43" s="114">
        <f t="shared" si="0"/>
        <v>36</v>
      </c>
      <c r="C43" s="110">
        <f>IF(ISBLANK(Case!E141),"",Case!E141)</f>
        <v>10</v>
      </c>
      <c r="D43" s="109">
        <v>7</v>
      </c>
    </row>
    <row r="44" spans="2:4" s="103" customFormat="1" ht="23.25" customHeight="1">
      <c r="B44" s="114">
        <f t="shared" si="0"/>
        <v>37</v>
      </c>
      <c r="C44" s="110">
        <f>IF(ISBLANK(Case!E142),"",Case!E142)</f>
        <v>7</v>
      </c>
      <c r="D44" s="109">
        <v>7</v>
      </c>
    </row>
    <row r="45" spans="2:4" s="103" customFormat="1" ht="23.25" customHeight="1">
      <c r="B45" s="114">
        <f t="shared" si="0"/>
        <v>38</v>
      </c>
      <c r="C45" s="110">
        <f>IF(ISBLANK(Case!E143),"",Case!E143)</f>
        <v>6</v>
      </c>
      <c r="D45" s="109">
        <v>7</v>
      </c>
    </row>
    <row r="46" spans="2:4" s="103" customFormat="1" ht="23.25" customHeight="1">
      <c r="B46" s="114">
        <f t="shared" si="0"/>
        <v>39</v>
      </c>
      <c r="C46" s="110">
        <f>IF(ISBLANK(Case!E144),"",Case!E144)</f>
        <v>8</v>
      </c>
      <c r="D46" s="109">
        <v>7</v>
      </c>
    </row>
    <row r="47" spans="2:4" s="103" customFormat="1" ht="23.25" customHeight="1">
      <c r="B47" s="114">
        <f t="shared" si="0"/>
        <v>40</v>
      </c>
      <c r="C47" s="110">
        <f>IF(ISBLANK(Case!E145),"",Case!E145)</f>
        <v>5</v>
      </c>
      <c r="D47" s="109">
        <v>7</v>
      </c>
    </row>
    <row r="48" spans="2:4" s="103" customFormat="1" ht="23.25" customHeight="1">
      <c r="B48" s="114">
        <f t="shared" si="0"/>
        <v>41</v>
      </c>
      <c r="C48" s="110">
        <f>IF(ISBLANK(Case!E170),"",Case!E170)</f>
        <v>35</v>
      </c>
      <c r="D48" s="109">
        <v>8</v>
      </c>
    </row>
    <row r="49" spans="2:4" s="103" customFormat="1" ht="23.25" customHeight="1">
      <c r="B49" s="114">
        <f t="shared" si="0"/>
        <v>42</v>
      </c>
      <c r="C49" s="110">
        <f>IF(ISBLANK(Case!E171),"",Case!E171)</f>
        <v>29</v>
      </c>
      <c r="D49" s="109">
        <v>8</v>
      </c>
    </row>
    <row r="50" spans="2:4" s="103" customFormat="1" ht="23.25" customHeight="1">
      <c r="B50" s="114">
        <f t="shared" si="0"/>
        <v>43</v>
      </c>
      <c r="C50" s="110">
        <f>IF(ISBLANK(Case!E172),"",Case!E172)</f>
        <v>27</v>
      </c>
      <c r="D50" s="109">
        <v>8</v>
      </c>
    </row>
    <row r="51" spans="2:4" s="103" customFormat="1" ht="23.25" customHeight="1">
      <c r="B51" s="114">
        <f t="shared" si="0"/>
        <v>44</v>
      </c>
      <c r="C51" s="110">
        <f>IF(ISBLANK(Case!E173),"",Case!E173)</f>
        <v>34</v>
      </c>
      <c r="D51" s="109">
        <v>8</v>
      </c>
    </row>
    <row r="52" spans="2:4" s="103" customFormat="1" ht="23.25" customHeight="1">
      <c r="B52" s="114">
        <f t="shared" si="0"/>
        <v>45</v>
      </c>
      <c r="C52" s="110">
        <f>IF(ISBLANK(Case!E174),"",Case!E174)</f>
        <v>33</v>
      </c>
      <c r="D52" s="109">
        <v>8</v>
      </c>
    </row>
    <row r="53" spans="2:4" s="103" customFormat="1" ht="23.25" customHeight="1">
      <c r="B53" s="114">
        <f t="shared" si="0"/>
        <v>46</v>
      </c>
      <c r="C53" s="110">
        <f>IF(ISBLANK(Case!E175),"",Case!E175)</f>
        <v>35</v>
      </c>
      <c r="D53" s="109">
        <v>8</v>
      </c>
    </row>
    <row r="54" spans="2:4" s="103" customFormat="1" ht="23.25" customHeight="1">
      <c r="B54" s="114">
        <f t="shared" si="0"/>
        <v>47</v>
      </c>
      <c r="C54" s="110">
        <f>IF(ISBLANK(Case!E176),"",Case!E176)</f>
        <v>29</v>
      </c>
      <c r="D54" s="109">
        <v>8</v>
      </c>
    </row>
    <row r="55" spans="2:4" s="103" customFormat="1" ht="23.25" customHeight="1">
      <c r="B55" s="114">
        <f t="shared" si="0"/>
        <v>48</v>
      </c>
      <c r="C55" s="110">
        <f>IF(ISBLANK(Case!E177),"",Case!E177)</f>
        <v>26</v>
      </c>
      <c r="D55" s="109">
        <v>8</v>
      </c>
    </row>
    <row r="56" spans="2:4" s="103" customFormat="1" ht="23.25" customHeight="1">
      <c r="B56" s="114">
        <f t="shared" si="0"/>
        <v>49</v>
      </c>
      <c r="C56" s="110">
        <f>IF(ISBLANK(Case!E178),"",Case!E178)</f>
        <v>33</v>
      </c>
      <c r="D56" s="109">
        <v>8</v>
      </c>
    </row>
    <row r="57" spans="2:4" s="103" customFormat="1" ht="23.25" customHeight="1">
      <c r="B57" s="114">
        <f t="shared" si="0"/>
        <v>50</v>
      </c>
      <c r="C57" s="110">
        <f>IF(ISBLANK(Case!E179),"",Case!E179)</f>
        <v>28</v>
      </c>
      <c r="D57" s="109">
        <v>8</v>
      </c>
    </row>
    <row r="58" spans="2:4" s="103" customFormat="1" ht="23.25" customHeight="1">
      <c r="B58" s="114">
        <f t="shared" si="0"/>
        <v>51</v>
      </c>
      <c r="C58" s="110">
        <f>IF(ISBLANK(Case!E180),"",Case!E180)</f>
        <v>29</v>
      </c>
      <c r="D58" s="109">
        <v>8</v>
      </c>
    </row>
    <row r="59" spans="2:4" s="103" customFormat="1" ht="23.25" customHeight="1">
      <c r="B59" s="114">
        <f t="shared" si="0"/>
        <v>52</v>
      </c>
      <c r="C59" s="110">
        <f>IF(ISBLANK(Case!E181),"",Case!E181)</f>
        <v>29</v>
      </c>
      <c r="D59" s="109">
        <v>8</v>
      </c>
    </row>
    <row r="60" spans="2:4" s="103" customFormat="1" ht="23.25" customHeight="1">
      <c r="B60" s="114">
        <f t="shared" si="0"/>
        <v>53</v>
      </c>
      <c r="C60" s="110">
        <f>IF(ISBLANK(Case!E182),"",Case!E182)</f>
        <v>28</v>
      </c>
      <c r="D60" s="109">
        <v>8</v>
      </c>
    </row>
    <row r="61" spans="2:4" s="103" customFormat="1" ht="23.25" customHeight="1">
      <c r="B61" s="114">
        <f t="shared" si="0"/>
        <v>54</v>
      </c>
      <c r="C61" s="110">
        <f>IF(ISBLANK(Case!E183),"",Case!E183)</f>
        <v>35</v>
      </c>
      <c r="D61" s="109">
        <v>8</v>
      </c>
    </row>
    <row r="62" spans="2:4" s="103" customFormat="1" ht="23.25" customHeight="1">
      <c r="B62" s="114">
        <f t="shared" si="0"/>
        <v>55</v>
      </c>
      <c r="C62" s="110">
        <f>IF(ISBLANK(Case!E184),"",Case!E184)</f>
        <v>32</v>
      </c>
      <c r="D62" s="109">
        <v>8</v>
      </c>
    </row>
    <row r="63" spans="2:4" s="103" customFormat="1" ht="23.25" customHeight="1">
      <c r="B63" s="114">
        <f t="shared" si="0"/>
        <v>56</v>
      </c>
      <c r="C63" s="110">
        <f>IF(ISBLANK(Case!E185),"",Case!E185)</f>
        <v>36</v>
      </c>
      <c r="D63" s="109">
        <v>8</v>
      </c>
    </row>
    <row r="64" spans="2:4" s="103" customFormat="1" ht="23.25" customHeight="1">
      <c r="B64" s="114">
        <f t="shared" si="0"/>
        <v>57</v>
      </c>
      <c r="C64" s="110">
        <f>IF(ISBLANK(Case!E186),"",Case!E186)</f>
        <v>32</v>
      </c>
      <c r="D64" s="109">
        <v>8</v>
      </c>
    </row>
    <row r="65" spans="2:4" s="103" customFormat="1" ht="23.25" customHeight="1">
      <c r="B65" s="114">
        <f t="shared" si="0"/>
        <v>58</v>
      </c>
      <c r="C65" s="110">
        <f>IF(ISBLANK(Case!E187),"",Case!E187)</f>
        <v>34</v>
      </c>
      <c r="D65" s="109">
        <v>8</v>
      </c>
    </row>
    <row r="66" spans="2:4" s="103" customFormat="1" ht="23.25" customHeight="1">
      <c r="B66" s="114">
        <f t="shared" si="0"/>
        <v>59</v>
      </c>
      <c r="C66" s="110">
        <f>IF(ISBLANK(Case!E188),"",Case!E188)</f>
        <v>31</v>
      </c>
      <c r="D66" s="109">
        <v>8</v>
      </c>
    </row>
    <row r="67" spans="2:4" s="103" customFormat="1" ht="23.25" customHeight="1">
      <c r="B67" s="114">
        <f t="shared" si="0"/>
        <v>60</v>
      </c>
      <c r="C67" s="110">
        <f>IF(ISBLANK(Case!E189),"",Case!E189)</f>
        <v>33</v>
      </c>
      <c r="D67" s="109">
        <v>8</v>
      </c>
    </row>
    <row r="68" spans="2:4" s="103" customFormat="1" ht="23.25" customHeight="1">
      <c r="B68" s="114">
        <f t="shared" si="0"/>
        <v>61</v>
      </c>
      <c r="C68" s="110">
        <f>IF(ISBLANK(Case!E214),"",Case!E214)</f>
        <v>400</v>
      </c>
      <c r="D68" s="109">
        <v>9</v>
      </c>
    </row>
    <row r="69" spans="2:4" s="103" customFormat="1" ht="23.25" customHeight="1">
      <c r="B69" s="114">
        <f t="shared" si="0"/>
        <v>62</v>
      </c>
      <c r="C69" s="110">
        <f>IF(ISBLANK(Case!E215),"",Case!E215)</f>
        <v>311</v>
      </c>
      <c r="D69" s="109">
        <v>9</v>
      </c>
    </row>
    <row r="70" spans="2:4" s="103" customFormat="1" ht="23.25" customHeight="1">
      <c r="B70" s="114">
        <f t="shared" si="0"/>
        <v>63</v>
      </c>
      <c r="C70" s="110">
        <f>IF(ISBLANK(Case!E216),"",Case!E216)</f>
        <v>1435</v>
      </c>
      <c r="D70" s="109">
        <v>9</v>
      </c>
    </row>
    <row r="71" spans="2:4" s="103" customFormat="1" ht="23.25" customHeight="1">
      <c r="B71" s="114">
        <f t="shared" si="0"/>
        <v>64</v>
      </c>
      <c r="C71" s="110">
        <f>IF(ISBLANK(Case!E217),"",Case!E217)</f>
        <v>128</v>
      </c>
      <c r="D71" s="109">
        <v>9</v>
      </c>
    </row>
    <row r="72" spans="2:4" s="103" customFormat="1" ht="23.25" customHeight="1">
      <c r="B72" s="114">
        <f t="shared" si="0"/>
        <v>65</v>
      </c>
      <c r="C72" s="110">
        <f>IF(ISBLANK(Case!E218),"",Case!E218)</f>
        <v>243</v>
      </c>
      <c r="D72" s="109">
        <v>9</v>
      </c>
    </row>
    <row r="73" spans="2:4" s="103" customFormat="1" ht="23.25" customHeight="1">
      <c r="B73" s="114">
        <f t="shared" ref="B73:B127" si="1">B72+1</f>
        <v>66</v>
      </c>
      <c r="C73" s="110">
        <f>IF(ISBLANK(Case!E219),"",Case!E219)</f>
        <v>400</v>
      </c>
      <c r="D73" s="109">
        <v>9</v>
      </c>
    </row>
    <row r="74" spans="2:4" s="103" customFormat="1" ht="23.25" customHeight="1">
      <c r="B74" s="114">
        <f t="shared" si="1"/>
        <v>67</v>
      </c>
      <c r="C74" s="110">
        <f>IF(ISBLANK(Case!E220),"",Case!E220)</f>
        <v>803</v>
      </c>
      <c r="D74" s="109">
        <v>9</v>
      </c>
    </row>
    <row r="75" spans="2:4" s="103" customFormat="1" ht="23.25" customHeight="1">
      <c r="B75" s="114">
        <f t="shared" si="1"/>
        <v>68</v>
      </c>
      <c r="C75" s="110">
        <f>IF(ISBLANK(Case!E221),"",Case!E221)</f>
        <v>1373</v>
      </c>
      <c r="D75" s="109">
        <v>9</v>
      </c>
    </row>
    <row r="76" spans="2:4" s="103" customFormat="1" ht="23.25" customHeight="1">
      <c r="B76" s="114">
        <f t="shared" si="1"/>
        <v>69</v>
      </c>
      <c r="C76" s="110">
        <f>IF(ISBLANK(Case!E222),"",Case!E222)</f>
        <v>751</v>
      </c>
      <c r="D76" s="109">
        <v>9</v>
      </c>
    </row>
    <row r="77" spans="2:4" s="103" customFormat="1" ht="23.25" customHeight="1">
      <c r="B77" s="114">
        <f t="shared" si="1"/>
        <v>70</v>
      </c>
      <c r="C77" s="110">
        <f>IF(ISBLANK(Case!E223),"",Case!E223)</f>
        <v>137</v>
      </c>
      <c r="D77" s="109">
        <v>9</v>
      </c>
    </row>
    <row r="78" spans="2:4" s="103" customFormat="1" ht="23.25" customHeight="1">
      <c r="B78" s="114">
        <f t="shared" si="1"/>
        <v>71</v>
      </c>
      <c r="C78" s="110">
        <f>IF(ISBLANK(Case!E224),"",Case!E224)</f>
        <v>495</v>
      </c>
      <c r="D78" s="109">
        <v>9</v>
      </c>
    </row>
    <row r="79" spans="2:4" s="103" customFormat="1" ht="23.25" customHeight="1">
      <c r="B79" s="114">
        <f t="shared" si="1"/>
        <v>72</v>
      </c>
      <c r="C79" s="110">
        <f>IF(ISBLANK(Case!E225),"",Case!E225)</f>
        <v>317</v>
      </c>
      <c r="D79" s="109">
        <v>9</v>
      </c>
    </row>
    <row r="80" spans="2:4" s="103" customFormat="1" ht="23.25" customHeight="1">
      <c r="B80" s="114">
        <f t="shared" si="1"/>
        <v>73</v>
      </c>
      <c r="C80" s="110">
        <f>IF(ISBLANK(Case!E226),"",Case!E226)</f>
        <v>107</v>
      </c>
      <c r="D80" s="109">
        <v>9</v>
      </c>
    </row>
    <row r="81" spans="2:4" s="103" customFormat="1" ht="23.25" customHeight="1">
      <c r="B81" s="114">
        <f t="shared" si="1"/>
        <v>74</v>
      </c>
      <c r="C81" s="110">
        <f>IF(ISBLANK(Case!E227),"",Case!E227)</f>
        <v>932</v>
      </c>
      <c r="D81" s="109">
        <v>9</v>
      </c>
    </row>
    <row r="82" spans="2:4" s="103" customFormat="1" ht="23.25" customHeight="1">
      <c r="B82" s="114">
        <f t="shared" si="1"/>
        <v>75</v>
      </c>
      <c r="C82" s="110">
        <f>IF(ISBLANK(Case!E228),"",Case!E228)</f>
        <v>1230</v>
      </c>
      <c r="D82" s="109">
        <v>9</v>
      </c>
    </row>
    <row r="83" spans="2:4" s="103" customFormat="1" ht="23.25" customHeight="1">
      <c r="B83" s="114">
        <f t="shared" si="1"/>
        <v>76</v>
      </c>
      <c r="C83" s="110">
        <f>IF(ISBLANK(Case!E229),"",Case!E229)</f>
        <v>317</v>
      </c>
      <c r="D83" s="109">
        <v>9</v>
      </c>
    </row>
    <row r="84" spans="2:4" s="103" customFormat="1" ht="23.25" customHeight="1">
      <c r="B84" s="114">
        <f t="shared" si="1"/>
        <v>77</v>
      </c>
      <c r="C84" s="110">
        <f>IF(ISBLANK(Case!E230),"",Case!E230)</f>
        <v>1342</v>
      </c>
      <c r="D84" s="109">
        <v>9</v>
      </c>
    </row>
    <row r="85" spans="2:4" s="103" customFormat="1" ht="23.25" customHeight="1">
      <c r="B85" s="114">
        <f t="shared" si="1"/>
        <v>78</v>
      </c>
      <c r="C85" s="110">
        <f>IF(ISBLANK(Case!E231),"",Case!E231)</f>
        <v>310</v>
      </c>
      <c r="D85" s="109">
        <v>9</v>
      </c>
    </row>
    <row r="86" spans="2:4" s="103" customFormat="1" ht="23.25" customHeight="1">
      <c r="B86" s="114">
        <f t="shared" si="1"/>
        <v>79</v>
      </c>
      <c r="C86" s="110">
        <f>IF(ISBLANK(Case!E232),"",Case!E232)</f>
        <v>1435</v>
      </c>
      <c r="D86" s="109">
        <v>9</v>
      </c>
    </row>
    <row r="87" spans="2:4" s="103" customFormat="1" ht="23.25" customHeight="1">
      <c r="B87" s="114">
        <f t="shared" si="1"/>
        <v>80</v>
      </c>
      <c r="C87" s="110">
        <f>IF(ISBLANK(Case!E233),"",Case!E233)</f>
        <v>180</v>
      </c>
      <c r="D87" s="109">
        <v>9</v>
      </c>
    </row>
    <row r="88" spans="2:4" s="103" customFormat="1" ht="23.25" customHeight="1">
      <c r="B88" s="114">
        <f t="shared" si="1"/>
        <v>81</v>
      </c>
      <c r="C88" s="110">
        <f>IF(ISBLANK(Case!E258),"",Case!E258)</f>
        <v>29</v>
      </c>
      <c r="D88" s="109">
        <v>10</v>
      </c>
    </row>
    <row r="89" spans="2:4" s="103" customFormat="1" ht="23.25" customHeight="1">
      <c r="B89" s="114">
        <f t="shared" si="1"/>
        <v>82</v>
      </c>
      <c r="C89" s="110">
        <f>IF(ISBLANK(Case!E259),"",Case!E259)</f>
        <v>24</v>
      </c>
      <c r="D89" s="109">
        <v>10</v>
      </c>
    </row>
    <row r="90" spans="2:4" s="103" customFormat="1" ht="23.25" customHeight="1">
      <c r="B90" s="114">
        <f t="shared" si="1"/>
        <v>83</v>
      </c>
      <c r="C90" s="110">
        <f>IF(ISBLANK(Case!E260),"",Case!E260)</f>
        <v>20</v>
      </c>
      <c r="D90" s="109">
        <v>10</v>
      </c>
    </row>
    <row r="91" spans="2:4" s="103" customFormat="1" ht="23.25" customHeight="1">
      <c r="B91" s="114">
        <f t="shared" si="1"/>
        <v>84</v>
      </c>
      <c r="C91" s="110">
        <f>IF(ISBLANK(Case!E261),"",Case!E261)</f>
        <v>25</v>
      </c>
      <c r="D91" s="109">
        <v>10</v>
      </c>
    </row>
    <row r="92" spans="2:4" s="103" customFormat="1" ht="23.25" customHeight="1">
      <c r="B92" s="114">
        <f t="shared" si="1"/>
        <v>85</v>
      </c>
      <c r="C92" s="110">
        <f>IF(ISBLANK(Case!E262),"",Case!E262)</f>
        <v>28</v>
      </c>
      <c r="D92" s="109">
        <v>10</v>
      </c>
    </row>
    <row r="93" spans="2:4" s="103" customFormat="1" ht="23.25" customHeight="1">
      <c r="B93" s="114">
        <f t="shared" si="1"/>
        <v>86</v>
      </c>
      <c r="C93" s="110">
        <f>IF(ISBLANK(Case!E263),"",Case!E263)</f>
        <v>30</v>
      </c>
      <c r="D93" s="109">
        <v>10</v>
      </c>
    </row>
    <row r="94" spans="2:4" s="103" customFormat="1" ht="23.25" customHeight="1">
      <c r="B94" s="114">
        <f t="shared" si="1"/>
        <v>87</v>
      </c>
      <c r="C94" s="110">
        <f>IF(ISBLANK(Case!E264),"",Case!E264)</f>
        <v>28</v>
      </c>
      <c r="D94" s="109">
        <v>10</v>
      </c>
    </row>
    <row r="95" spans="2:4" s="103" customFormat="1" ht="23.25" customHeight="1">
      <c r="B95" s="114">
        <f t="shared" si="1"/>
        <v>88</v>
      </c>
      <c r="C95" s="110">
        <f>IF(ISBLANK(Case!E265),"",Case!E265)</f>
        <v>19</v>
      </c>
      <c r="D95" s="109">
        <v>10</v>
      </c>
    </row>
    <row r="96" spans="2:4" s="103" customFormat="1" ht="23.25" customHeight="1">
      <c r="B96" s="114">
        <f t="shared" si="1"/>
        <v>89</v>
      </c>
      <c r="C96" s="110">
        <f>IF(ISBLANK(Case!E266),"",Case!E266)</f>
        <v>26</v>
      </c>
      <c r="D96" s="109">
        <v>10</v>
      </c>
    </row>
    <row r="97" spans="2:4" s="103" customFormat="1" ht="23.25" customHeight="1">
      <c r="B97" s="114">
        <f t="shared" si="1"/>
        <v>90</v>
      </c>
      <c r="C97" s="110">
        <f>IF(ISBLANK(Case!E267),"",Case!E267)</f>
        <v>26</v>
      </c>
      <c r="D97" s="109">
        <v>10</v>
      </c>
    </row>
    <row r="98" spans="2:4" s="103" customFormat="1" ht="23.25" customHeight="1">
      <c r="B98" s="114">
        <f t="shared" si="1"/>
        <v>91</v>
      </c>
      <c r="C98" s="110">
        <f>IF(ISBLANK(Case!E268),"",Case!E268)</f>
        <v>24</v>
      </c>
      <c r="D98" s="109">
        <v>10</v>
      </c>
    </row>
    <row r="99" spans="2:4" s="103" customFormat="1" ht="23.25" customHeight="1">
      <c r="B99" s="114">
        <f t="shared" si="1"/>
        <v>92</v>
      </c>
      <c r="C99" s="110">
        <f>IF(ISBLANK(Case!E269),"",Case!E269)</f>
        <v>29</v>
      </c>
      <c r="D99" s="109">
        <v>10</v>
      </c>
    </row>
    <row r="100" spans="2:4" s="103" customFormat="1" ht="23.25" customHeight="1">
      <c r="B100" s="114">
        <f t="shared" si="1"/>
        <v>93</v>
      </c>
      <c r="C100" s="110">
        <f>IF(ISBLANK(Case!E270),"",Case!E270)</f>
        <v>28</v>
      </c>
      <c r="D100" s="109">
        <v>10</v>
      </c>
    </row>
    <row r="101" spans="2:4" s="103" customFormat="1" ht="23.25" customHeight="1">
      <c r="B101" s="114">
        <f t="shared" si="1"/>
        <v>94</v>
      </c>
      <c r="C101" s="110">
        <f>IF(ISBLANK(Case!E271),"",Case!E271)</f>
        <v>26</v>
      </c>
      <c r="D101" s="109">
        <v>10</v>
      </c>
    </row>
    <row r="102" spans="2:4" s="103" customFormat="1" ht="23.25" customHeight="1">
      <c r="B102" s="114">
        <f t="shared" si="1"/>
        <v>95</v>
      </c>
      <c r="C102" s="110">
        <f>IF(ISBLANK(Case!E272),"",Case!E272)</f>
        <v>23</v>
      </c>
      <c r="D102" s="109">
        <v>10</v>
      </c>
    </row>
    <row r="103" spans="2:4" s="103" customFormat="1" ht="23.25" customHeight="1">
      <c r="B103" s="114">
        <f t="shared" si="1"/>
        <v>96</v>
      </c>
      <c r="C103" s="110">
        <f>IF(ISBLANK(Case!E273),"",Case!E273)</f>
        <v>26</v>
      </c>
      <c r="D103" s="109">
        <v>10</v>
      </c>
    </row>
    <row r="104" spans="2:4" s="103" customFormat="1" ht="23.25" customHeight="1">
      <c r="B104" s="114">
        <f t="shared" si="1"/>
        <v>97</v>
      </c>
      <c r="C104" s="110">
        <f>IF(ISBLANK(Case!E274),"",Case!E274)</f>
        <v>26</v>
      </c>
      <c r="D104" s="109">
        <v>10</v>
      </c>
    </row>
    <row r="105" spans="2:4" s="103" customFormat="1" ht="23.25" customHeight="1">
      <c r="B105" s="114">
        <f t="shared" si="1"/>
        <v>98</v>
      </c>
      <c r="C105" s="110">
        <f>IF(ISBLANK(Case!E275),"",Case!E275)</f>
        <v>30</v>
      </c>
      <c r="D105" s="109">
        <v>10</v>
      </c>
    </row>
    <row r="106" spans="2:4" s="103" customFormat="1" ht="23.25" customHeight="1">
      <c r="B106" s="114">
        <f t="shared" si="1"/>
        <v>99</v>
      </c>
      <c r="C106" s="110">
        <f>IF(ISBLANK(Case!E276),"",Case!E276)</f>
        <v>27</v>
      </c>
      <c r="D106" s="109">
        <v>10</v>
      </c>
    </row>
    <row r="107" spans="2:4" s="103" customFormat="1" ht="23.25" customHeight="1">
      <c r="B107" s="114">
        <f t="shared" si="1"/>
        <v>100</v>
      </c>
      <c r="C107" s="110">
        <f>IF(ISBLANK(Case!E277),"",Case!E277)</f>
        <v>27</v>
      </c>
      <c r="D107" s="109">
        <v>10</v>
      </c>
    </row>
    <row r="108" spans="2:4" s="103" customFormat="1" ht="23.25" customHeight="1">
      <c r="B108" s="114">
        <f t="shared" si="1"/>
        <v>101</v>
      </c>
      <c r="C108" s="110" t="str">
        <f>IF(ISBLANK(Case!E301),"",Case!E301)</f>
        <v>Napier-33</v>
      </c>
      <c r="D108" s="109">
        <v>11</v>
      </c>
    </row>
    <row r="109" spans="2:4" s="103" customFormat="1" ht="23.25" customHeight="1">
      <c r="B109" s="114">
        <f t="shared" si="1"/>
        <v>102</v>
      </c>
      <c r="C109" s="110" t="str">
        <f>IF(ISBLANK(Case!E302),"",Case!E302)</f>
        <v>Queenstown-30</v>
      </c>
      <c r="D109" s="109">
        <v>11</v>
      </c>
    </row>
    <row r="110" spans="2:4" s="103" customFormat="1" ht="23.25" customHeight="1">
      <c r="B110" s="114">
        <f t="shared" si="1"/>
        <v>103</v>
      </c>
      <c r="C110" s="110" t="str">
        <f>IF(ISBLANK(Case!E303),"",Case!E303)</f>
        <v>Whangarei-31</v>
      </c>
      <c r="D110" s="109">
        <v>11</v>
      </c>
    </row>
    <row r="111" spans="2:4" s="103" customFormat="1" ht="23.25" customHeight="1">
      <c r="B111" s="114">
        <f t="shared" si="1"/>
        <v>104</v>
      </c>
      <c r="C111" s="110" t="str">
        <f>IF(ISBLANK(Case!E304),"",Case!E304)</f>
        <v>Invercargill-29</v>
      </c>
      <c r="D111" s="109">
        <v>11</v>
      </c>
    </row>
    <row r="112" spans="2:4" s="103" customFormat="1" ht="23.25" customHeight="1">
      <c r="B112" s="114">
        <f t="shared" si="1"/>
        <v>105</v>
      </c>
      <c r="C112" s="110" t="str">
        <f>IF(ISBLANK(Case!E305),"",Case!E305)</f>
        <v>Invercargill-29</v>
      </c>
      <c r="D112" s="109">
        <v>11</v>
      </c>
    </row>
    <row r="113" spans="2:4" s="103" customFormat="1" ht="23.25" customHeight="1">
      <c r="B113" s="114">
        <f t="shared" si="1"/>
        <v>106</v>
      </c>
      <c r="C113" s="110" t="str">
        <f>IF(ISBLANK(Case!E306),"",Case!E306)</f>
        <v>Napier-32</v>
      </c>
      <c r="D113" s="109">
        <v>11</v>
      </c>
    </row>
    <row r="114" spans="2:4" s="103" customFormat="1" ht="23.25" customHeight="1">
      <c r="B114" s="114">
        <f t="shared" si="1"/>
        <v>107</v>
      </c>
      <c r="C114" s="110" t="str">
        <f>IF(ISBLANK(Case!E307),"",Case!E307)</f>
        <v>Napier-32</v>
      </c>
      <c r="D114" s="109">
        <v>11</v>
      </c>
    </row>
    <row r="115" spans="2:4" s="103" customFormat="1" ht="23.25" customHeight="1">
      <c r="B115" s="114">
        <f t="shared" si="1"/>
        <v>108</v>
      </c>
      <c r="C115" s="110" t="str">
        <f>IF(ISBLANK(Case!E308),"",Case!E308)</f>
        <v>Invercargill-30</v>
      </c>
      <c r="D115" s="109">
        <v>11</v>
      </c>
    </row>
    <row r="116" spans="2:4" s="103" customFormat="1" ht="23.25" customHeight="1">
      <c r="B116" s="114">
        <f t="shared" si="1"/>
        <v>109</v>
      </c>
      <c r="C116" s="110" t="str">
        <f>IF(ISBLANK(Case!E309),"",Case!E309)</f>
        <v>Napier-32</v>
      </c>
      <c r="D116" s="109">
        <v>11</v>
      </c>
    </row>
    <row r="117" spans="2:4" s="103" customFormat="1" ht="23.25" customHeight="1">
      <c r="B117" s="114">
        <f t="shared" si="1"/>
        <v>110</v>
      </c>
      <c r="C117" s="110" t="str">
        <f>IF(ISBLANK(Case!E310),"",Case!E310)</f>
        <v>Queenstown-28</v>
      </c>
      <c r="D117" s="109">
        <v>11</v>
      </c>
    </row>
    <row r="118" spans="2:4" s="103" customFormat="1" ht="23.25" customHeight="1">
      <c r="B118" s="114">
        <f t="shared" si="1"/>
        <v>111</v>
      </c>
      <c r="C118" s="110" t="str">
        <f>IF(ISBLANK(Case!E311),"",Case!E311)</f>
        <v>Gisborne-29</v>
      </c>
      <c r="D118" s="109">
        <v>11</v>
      </c>
    </row>
    <row r="119" spans="2:4" s="103" customFormat="1" ht="23.25" customHeight="1">
      <c r="B119" s="114">
        <f t="shared" si="1"/>
        <v>112</v>
      </c>
      <c r="C119" s="110" t="str">
        <f>IF(ISBLANK(Case!E312),"",Case!E312)</f>
        <v>Hamilton-30</v>
      </c>
      <c r="D119" s="109">
        <v>11</v>
      </c>
    </row>
    <row r="120" spans="2:4" s="103" customFormat="1" ht="23.25" customHeight="1">
      <c r="B120" s="114">
        <f t="shared" si="1"/>
        <v>113</v>
      </c>
      <c r="C120" s="110" t="str">
        <f>IF(ISBLANK(Case!E313),"",Case!E313)</f>
        <v>Queenstown-28</v>
      </c>
      <c r="D120" s="109">
        <v>11</v>
      </c>
    </row>
    <row r="121" spans="2:4" s="103" customFormat="1" ht="23.25" customHeight="1">
      <c r="B121" s="114">
        <f t="shared" si="1"/>
        <v>114</v>
      </c>
      <c r="C121" s="110" t="str">
        <f>IF(ISBLANK(Case!E314),"",Case!E314)</f>
        <v>Auckland-29</v>
      </c>
      <c r="D121" s="109">
        <v>11</v>
      </c>
    </row>
    <row r="122" spans="2:4" s="103" customFormat="1" ht="23.25" customHeight="1">
      <c r="B122" s="114">
        <f t="shared" si="1"/>
        <v>115</v>
      </c>
      <c r="C122" s="110" t="str">
        <f>IF(ISBLANK(Case!E315),"",Case!E315)</f>
        <v>Tauranga-30</v>
      </c>
      <c r="D122" s="109">
        <v>11</v>
      </c>
    </row>
    <row r="123" spans="2:4" s="103" customFormat="1" ht="23.25" customHeight="1">
      <c r="B123" s="114">
        <f t="shared" si="1"/>
        <v>116</v>
      </c>
      <c r="C123" s="110" t="str">
        <f>IF(ISBLANK(Case!E316),"",Case!E316)</f>
        <v>Napier-31</v>
      </c>
      <c r="D123" s="109">
        <v>11</v>
      </c>
    </row>
    <row r="124" spans="2:4" s="103" customFormat="1" ht="23.25" customHeight="1">
      <c r="B124" s="114">
        <f t="shared" si="1"/>
        <v>117</v>
      </c>
      <c r="C124" s="110" t="str">
        <f>IF(ISBLANK(Case!E317),"",Case!E317)</f>
        <v>Invercargill-29</v>
      </c>
      <c r="D124" s="109">
        <v>11</v>
      </c>
    </row>
    <row r="125" spans="2:4" s="103" customFormat="1" ht="23.25" customHeight="1">
      <c r="B125" s="114">
        <f t="shared" si="1"/>
        <v>118</v>
      </c>
      <c r="C125" s="110" t="str">
        <f>IF(ISBLANK(Case!E318),"",Case!E318)</f>
        <v>New Plymouth-29</v>
      </c>
      <c r="D125" s="109">
        <v>11</v>
      </c>
    </row>
    <row r="126" spans="2:4" s="103" customFormat="1" ht="23.25" customHeight="1">
      <c r="B126" s="114">
        <f t="shared" si="1"/>
        <v>119</v>
      </c>
      <c r="C126" s="110" t="str">
        <f>IF(ISBLANK(Case!E319),"",Case!E319)</f>
        <v>Auckland-29</v>
      </c>
      <c r="D126" s="109">
        <v>11</v>
      </c>
    </row>
    <row r="127" spans="2:4" s="103" customFormat="1" ht="23.25" customHeight="1">
      <c r="B127" s="114">
        <f t="shared" si="1"/>
        <v>120</v>
      </c>
      <c r="C127" s="110" t="str">
        <f>IF(ISBLANK(Case!E320),"",Case!E320)</f>
        <v>Invercargill-32</v>
      </c>
      <c r="D127" s="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Case</vt:lpstr>
      <vt:lpstr>Destinations</vt:lpstr>
      <vt:lpstr>Families</vt:lpstr>
      <vt:lpstr>Distances</vt:lpstr>
      <vt:lpstr>Graded 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FMWC;Nick Boberg</dc:creator>
  <cp:keywords/>
  <dc:description/>
  <cp:lastModifiedBy>Maciej Kopczyński</cp:lastModifiedBy>
  <cp:revision/>
  <dcterms:created xsi:type="dcterms:W3CDTF">2021-08-11T13:47:05Z</dcterms:created>
  <dcterms:modified xsi:type="dcterms:W3CDTF">2025-09-21T21:27:55Z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{50F4E8AB-4640-4F5D-BA39-192C65DEFCB0}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2023-11-06T13:47:34Z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55bcb695-1c55-4ea3-805d-04828c086c26</vt:lpwstr>
  </property>
  <property fmtid="{D5CDD505-2E9C-101B-9397-08002B2CF9AE}" pid="9" name="MSIP_Label_38f1469a-2c2a-4aee-b92b-090d4c5468ff_ContentBits">
    <vt:lpwstr>0</vt:lpwstr>
  </property>
</Properties>
</file>