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https://healthineers-my.sharepoint.com/personal/maciej_kopczynski_ext_siemens-healthineers_com/Documents/Desktop/"/>
    </mc:Choice>
  </mc:AlternateContent>
  <xr:revisionPtr revIDLastSave="192" documentId="8_{325F451B-D230-492C-BF1D-B93C029A7555}" xr6:coauthVersionLast="47" xr6:coauthVersionMax="47" xr10:uidLastSave="{5A409233-E987-4711-AAEA-99262A30B087}"/>
  <bookViews>
    <workbookView xWindow="-120" yWindow="-120" windowWidth="51840" windowHeight="21120" xr2:uid="{8474CC7E-7A6D-4F18-A6F2-E4FB31D1B88E}"/>
  </bookViews>
  <sheets>
    <sheet name="Case" sheetId="29" r:id="rId1"/>
    <sheet name="Scarves" sheetId="2" r:id="rId2"/>
    <sheet name="Graded Answers" sheetId="30" state="hidden" r:id="rId3"/>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0" hidden="1">Case!$AF$16:$AG$107</definedName>
    <definedName name="_xlnm._FilterDatabase" localSheetId="1" hidden="1">Scarves!$AF$2:$AG$84</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tartX">Scarves!$Y$3</definedName>
    <definedName name="startY">Scarves!$Z$3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14" i="29" l="1" a="1"/>
  <c r="AA314" i="29" s="1"/>
  <c r="AA315" i="29" a="1"/>
  <c r="AA315" i="29" s="1"/>
  <c r="AA316" i="29" a="1"/>
  <c r="AA316" i="29" s="1"/>
  <c r="AA317" i="29" a="1"/>
  <c r="AA317" i="29"/>
  <c r="AA318" i="29" a="1"/>
  <c r="AA318" i="29" s="1"/>
  <c r="AA319" i="29" a="1"/>
  <c r="AA319" i="29" s="1"/>
  <c r="AA320" i="29" a="1"/>
  <c r="AA320" i="29" s="1"/>
  <c r="AA321" i="29" a="1"/>
  <c r="AA321" i="29"/>
  <c r="AA322" i="29" a="1"/>
  <c r="AA322" i="29" s="1"/>
  <c r="AA323" i="29" a="1"/>
  <c r="AA323" i="29" s="1"/>
  <c r="AA324" i="29" a="1"/>
  <c r="AA324" i="29" s="1"/>
  <c r="AA325" i="29" a="1"/>
  <c r="AA325" i="29"/>
  <c r="AA326" i="29" a="1"/>
  <c r="AA326" i="29" s="1"/>
  <c r="AA327" i="29" a="1"/>
  <c r="AA327" i="29" s="1"/>
  <c r="AA328" i="29" a="1"/>
  <c r="AA328" i="29" s="1"/>
  <c r="AA329" i="29" a="1"/>
  <c r="AA329" i="29"/>
  <c r="AA330" i="29" a="1"/>
  <c r="AA330" i="29" s="1"/>
  <c r="AA331" i="29" a="1"/>
  <c r="AA331" i="29" s="1"/>
  <c r="AA332" i="29" a="1"/>
  <c r="AA332" i="29" s="1"/>
  <c r="AA313" i="29" a="1"/>
  <c r="AA313" i="29" s="1"/>
  <c r="E268" i="29" a="1"/>
  <c r="E268" i="29" s="1"/>
  <c r="C108" i="30" s="1"/>
  <c r="O332" i="29"/>
  <c r="J332" i="29"/>
  <c r="O331" i="29"/>
  <c r="J331" i="29"/>
  <c r="O330" i="29"/>
  <c r="J330" i="29"/>
  <c r="O329" i="29"/>
  <c r="J329" i="29"/>
  <c r="O328" i="29"/>
  <c r="J328" i="29"/>
  <c r="O327" i="29"/>
  <c r="J327" i="29"/>
  <c r="O326" i="29"/>
  <c r="J326" i="29"/>
  <c r="O325" i="29"/>
  <c r="J325" i="29"/>
  <c r="O324" i="29"/>
  <c r="J324" i="29"/>
  <c r="O323" i="29"/>
  <c r="J323" i="29"/>
  <c r="O322" i="29"/>
  <c r="J322" i="29"/>
  <c r="O321" i="29"/>
  <c r="J321" i="29"/>
  <c r="O320" i="29"/>
  <c r="J320" i="29"/>
  <c r="O319" i="29"/>
  <c r="J319" i="29"/>
  <c r="O318" i="29"/>
  <c r="J318" i="29"/>
  <c r="O317" i="29"/>
  <c r="J317" i="29"/>
  <c r="O316" i="29"/>
  <c r="J316" i="29"/>
  <c r="O315" i="29"/>
  <c r="J315" i="29"/>
  <c r="O314" i="29"/>
  <c r="J314" i="29"/>
  <c r="P313" i="29" a="1"/>
  <c r="P313" i="29" s="1"/>
  <c r="O313" i="29"/>
  <c r="K313" i="29" a="1"/>
  <c r="J313" i="29"/>
  <c r="E269" i="29" a="1"/>
  <c r="E269" i="29" s="1"/>
  <c r="C109" i="30" s="1"/>
  <c r="E270" i="29" a="1"/>
  <c r="E270" i="29" s="1"/>
  <c r="C110" i="30" s="1"/>
  <c r="E271" i="29" a="1"/>
  <c r="E271" i="29" s="1"/>
  <c r="C111" i="30" s="1"/>
  <c r="E272" i="29" a="1"/>
  <c r="E272" i="29" s="1"/>
  <c r="C112" i="30" s="1"/>
  <c r="E273" i="29" a="1"/>
  <c r="E273" i="29" s="1"/>
  <c r="C113" i="30" s="1"/>
  <c r="E274" i="29" a="1"/>
  <c r="E274" i="29" s="1"/>
  <c r="C114" i="30" s="1"/>
  <c r="E275" i="29" a="1"/>
  <c r="E275" i="29" s="1"/>
  <c r="C115" i="30" s="1"/>
  <c r="E276" i="29" a="1"/>
  <c r="E276" i="29" s="1"/>
  <c r="C116" i="30" s="1"/>
  <c r="E277" i="29" a="1"/>
  <c r="E277" i="29" s="1"/>
  <c r="C117" i="30" s="1"/>
  <c r="E278" i="29" a="1"/>
  <c r="E278" i="29" s="1"/>
  <c r="C118" i="30" s="1"/>
  <c r="E279" i="29" a="1"/>
  <c r="E279" i="29" s="1"/>
  <c r="C119" i="30" s="1"/>
  <c r="E280" i="29" a="1"/>
  <c r="E280" i="29" s="1"/>
  <c r="C120" i="30" s="1"/>
  <c r="E281" i="29" a="1"/>
  <c r="E281" i="29" s="1"/>
  <c r="C121" i="30" s="1"/>
  <c r="E282" i="29" a="1"/>
  <c r="E282" i="29" s="1"/>
  <c r="C122" i="30" s="1"/>
  <c r="E283" i="29" a="1"/>
  <c r="E283" i="29" s="1"/>
  <c r="C123" i="30" s="1"/>
  <c r="E284" i="29" a="1"/>
  <c r="E284" i="29" s="1"/>
  <c r="C124" i="30" s="1"/>
  <c r="E285" i="29" a="1"/>
  <c r="E285" i="29" s="1"/>
  <c r="C125" i="30" s="1"/>
  <c r="E286" i="29" a="1"/>
  <c r="E286" i="29" s="1"/>
  <c r="C126" i="30" s="1"/>
  <c r="E287" i="29" a="1"/>
  <c r="E287" i="29" s="1"/>
  <c r="C127" i="30" s="1"/>
  <c r="J224" i="29" a="1"/>
  <c r="J224" i="29" s="1"/>
  <c r="J225" i="29" a="1"/>
  <c r="J225" i="29" s="1"/>
  <c r="J226" i="29" a="1"/>
  <c r="J226" i="29"/>
  <c r="J227" i="29" a="1"/>
  <c r="J227" i="29" s="1"/>
  <c r="J228" i="29" a="1"/>
  <c r="J228" i="29" s="1"/>
  <c r="J229" i="29" a="1"/>
  <c r="J229" i="29" s="1"/>
  <c r="J230" i="29" a="1"/>
  <c r="J230" i="29"/>
  <c r="J231" i="29" a="1"/>
  <c r="J231" i="29" s="1"/>
  <c r="J232" i="29" a="1"/>
  <c r="J232" i="29" s="1"/>
  <c r="J233" i="29" a="1"/>
  <c r="J233" i="29" s="1"/>
  <c r="J234" i="29" a="1"/>
  <c r="J234" i="29"/>
  <c r="J235" i="29" a="1"/>
  <c r="J235" i="29" s="1"/>
  <c r="J236" i="29" a="1"/>
  <c r="J236" i="29" s="1"/>
  <c r="J237" i="29" a="1"/>
  <c r="J237" i="29" s="1"/>
  <c r="J238" i="29" a="1"/>
  <c r="J238" i="29"/>
  <c r="J239" i="29" a="1"/>
  <c r="J239" i="29" s="1"/>
  <c r="J240" i="29" a="1"/>
  <c r="J240" i="29" s="1"/>
  <c r="J241" i="29" a="1"/>
  <c r="J241" i="29" s="1"/>
  <c r="J242" i="29" a="1"/>
  <c r="J242" i="29"/>
  <c r="J223" i="29" a="1"/>
  <c r="J223" i="29" s="1"/>
  <c r="I223" i="29" a="1"/>
  <c r="I223" i="29" s="1"/>
  <c r="E183" i="29" a="1"/>
  <c r="E183" i="29"/>
  <c r="C69" i="30" s="1"/>
  <c r="E184" i="29" a="1"/>
  <c r="E184" i="29" s="1"/>
  <c r="C70" i="30" s="1"/>
  <c r="E185" i="29" a="1"/>
  <c r="E185" i="29"/>
  <c r="E186" i="29" a="1"/>
  <c r="E186" i="29"/>
  <c r="C72" i="30" s="1"/>
  <c r="E187" i="29" a="1"/>
  <c r="E187" i="29"/>
  <c r="C73" i="30" s="1"/>
  <c r="E188" i="29" a="1"/>
  <c r="E188" i="29" s="1"/>
  <c r="C74" i="30" s="1"/>
  <c r="E189" i="29" a="1"/>
  <c r="E189" i="29"/>
  <c r="E190" i="29" a="1"/>
  <c r="E190" i="29"/>
  <c r="C76" i="30" s="1"/>
  <c r="E191" i="29" a="1"/>
  <c r="E191" i="29"/>
  <c r="C77" i="30" s="1"/>
  <c r="E192" i="29" a="1"/>
  <c r="E192" i="29" s="1"/>
  <c r="C78" i="30" s="1"/>
  <c r="E193" i="29" a="1"/>
  <c r="E193" i="29"/>
  <c r="E194" i="29" a="1"/>
  <c r="E194" i="29"/>
  <c r="E195" i="29" a="1"/>
  <c r="E195" i="29"/>
  <c r="C81" i="30" s="1"/>
  <c r="E196" i="29" a="1"/>
  <c r="E196" i="29" s="1"/>
  <c r="C82" i="30" s="1"/>
  <c r="E197" i="29" a="1"/>
  <c r="E197" i="29"/>
  <c r="C83" i="30" s="1"/>
  <c r="E198" i="29" a="1"/>
  <c r="E198" i="29"/>
  <c r="E199" i="29" a="1"/>
  <c r="E199" i="29"/>
  <c r="C85" i="30" s="1"/>
  <c r="E200" i="29" a="1"/>
  <c r="E200" i="29" s="1"/>
  <c r="C86" i="30" s="1"/>
  <c r="E201" i="29" a="1"/>
  <c r="E201" i="29"/>
  <c r="C87" i="30" s="1"/>
  <c r="E182" i="29" a="1"/>
  <c r="E182" i="29" s="1"/>
  <c r="C68" i="30" s="1"/>
  <c r="C71" i="30"/>
  <c r="C75" i="30"/>
  <c r="C79" i="30"/>
  <c r="C80" i="30"/>
  <c r="K182" i="29" a="1"/>
  <c r="K182" i="29" s="1"/>
  <c r="L182" i="29" a="1"/>
  <c r="L182" i="29" s="1"/>
  <c r="E143" i="29"/>
  <c r="E144" i="29"/>
  <c r="C50" i="30" s="1"/>
  <c r="E145" i="29"/>
  <c r="E146" i="29"/>
  <c r="E147" i="29"/>
  <c r="E148" i="29"/>
  <c r="C54" i="30" s="1"/>
  <c r="E149" i="29"/>
  <c r="C55" i="30" s="1"/>
  <c r="E150" i="29"/>
  <c r="E151" i="29"/>
  <c r="E152" i="29"/>
  <c r="C58" i="30" s="1"/>
  <c r="E153" i="29"/>
  <c r="E154" i="29"/>
  <c r="E155" i="29"/>
  <c r="E156" i="29"/>
  <c r="C62" i="30" s="1"/>
  <c r="E157" i="29"/>
  <c r="C63" i="30" s="1"/>
  <c r="E158" i="29"/>
  <c r="E159" i="29"/>
  <c r="E160" i="29"/>
  <c r="C66" i="30" s="1"/>
  <c r="E161" i="29"/>
  <c r="E142" i="29"/>
  <c r="Y143" i="29"/>
  <c r="Y144" i="29"/>
  <c r="Y145" i="29"/>
  <c r="Y146" i="29"/>
  <c r="Y147" i="29"/>
  <c r="Y148" i="29"/>
  <c r="Y149" i="29"/>
  <c r="Y150" i="29"/>
  <c r="Y151" i="29"/>
  <c r="Y152" i="29"/>
  <c r="Y153" i="29"/>
  <c r="Y154" i="29"/>
  <c r="Y155" i="29"/>
  <c r="Y156" i="29"/>
  <c r="Y157" i="29"/>
  <c r="Y158" i="29"/>
  <c r="Y159" i="29"/>
  <c r="Y160" i="29"/>
  <c r="Y161" i="29"/>
  <c r="Y142" i="29"/>
  <c r="W142" i="29"/>
  <c r="W143" i="29"/>
  <c r="W144" i="29"/>
  <c r="W145" i="29"/>
  <c r="W146" i="29"/>
  <c r="W147" i="29"/>
  <c r="W148" i="29"/>
  <c r="W149" i="29"/>
  <c r="W150" i="29"/>
  <c r="W151" i="29"/>
  <c r="W152" i="29"/>
  <c r="W153" i="29"/>
  <c r="W154" i="29"/>
  <c r="W155" i="29"/>
  <c r="W156" i="29"/>
  <c r="W157" i="29"/>
  <c r="W158" i="29"/>
  <c r="W159" i="29"/>
  <c r="W160" i="29"/>
  <c r="W161" i="29"/>
  <c r="V142" i="29"/>
  <c r="V143" i="29"/>
  <c r="V144" i="29"/>
  <c r="V145" i="29"/>
  <c r="V146" i="29"/>
  <c r="V147" i="29"/>
  <c r="V148" i="29"/>
  <c r="V149" i="29"/>
  <c r="V150" i="29"/>
  <c r="V151" i="29"/>
  <c r="V152" i="29"/>
  <c r="V153" i="29"/>
  <c r="V154" i="29"/>
  <c r="V155" i="29"/>
  <c r="V156" i="29"/>
  <c r="V157" i="29"/>
  <c r="V158" i="29"/>
  <c r="V159" i="29"/>
  <c r="V160" i="29"/>
  <c r="V161" i="29"/>
  <c r="U143" i="29"/>
  <c r="U144" i="29"/>
  <c r="U145" i="29"/>
  <c r="U146" i="29"/>
  <c r="U147" i="29"/>
  <c r="U148" i="29"/>
  <c r="U149" i="29"/>
  <c r="U150" i="29"/>
  <c r="U151" i="29"/>
  <c r="U152" i="29"/>
  <c r="U153" i="29"/>
  <c r="U154" i="29"/>
  <c r="U155" i="29"/>
  <c r="U156" i="29"/>
  <c r="U157" i="29"/>
  <c r="U158" i="29"/>
  <c r="U159" i="29"/>
  <c r="U160" i="29"/>
  <c r="U161" i="29"/>
  <c r="U142" i="29"/>
  <c r="O143" i="29"/>
  <c r="O144" i="29"/>
  <c r="O145" i="29"/>
  <c r="O146" i="29"/>
  <c r="O147" i="29"/>
  <c r="O148" i="29"/>
  <c r="O149" i="29"/>
  <c r="O150" i="29"/>
  <c r="O151" i="29"/>
  <c r="O152" i="29"/>
  <c r="O153" i="29"/>
  <c r="O154" i="29"/>
  <c r="O155" i="29"/>
  <c r="O156" i="29"/>
  <c r="O157" i="29"/>
  <c r="O158" i="29"/>
  <c r="O159" i="29"/>
  <c r="O160" i="29"/>
  <c r="O161" i="29"/>
  <c r="O142" i="29"/>
  <c r="J143" i="29"/>
  <c r="J144" i="29"/>
  <c r="J145" i="29"/>
  <c r="J146" i="29"/>
  <c r="J147" i="29"/>
  <c r="J148" i="29"/>
  <c r="J149" i="29"/>
  <c r="J150" i="29"/>
  <c r="J151" i="29"/>
  <c r="J152" i="29"/>
  <c r="J153" i="29"/>
  <c r="J154" i="29"/>
  <c r="J155" i="29"/>
  <c r="J156" i="29"/>
  <c r="J157" i="29"/>
  <c r="J158" i="29"/>
  <c r="J159" i="29"/>
  <c r="J160" i="29"/>
  <c r="J161" i="29"/>
  <c r="J142" i="29"/>
  <c r="P142" i="29" a="1"/>
  <c r="P142" i="29" s="1"/>
  <c r="K142" i="29" a="1"/>
  <c r="K142" i="29" s="1"/>
  <c r="Q3" i="2"/>
  <c r="P3" i="2" a="1"/>
  <c r="P3" i="2" s="1"/>
  <c r="H96" i="29" a="1"/>
  <c r="H96" i="29" s="1"/>
  <c r="J96" i="29" s="1" a="1"/>
  <c r="J96" i="29" s="1"/>
  <c r="E53" i="29" a="1"/>
  <c r="E53" i="29" s="1"/>
  <c r="C8" i="30" s="1"/>
  <c r="AF3" i="2" a="1"/>
  <c r="AF3" i="2" s="1"/>
  <c r="AG3" i="2" s="1" a="1"/>
  <c r="AG3" i="2" s="1"/>
  <c r="AB4" i="2"/>
  <c r="AB5" i="2"/>
  <c r="AB6" i="2"/>
  <c r="AB7" i="2"/>
  <c r="AB8" i="2"/>
  <c r="AB9" i="2"/>
  <c r="AB10" i="2"/>
  <c r="AB11" i="2"/>
  <c r="AB12" i="2"/>
  <c r="AB13" i="2"/>
  <c r="AB14" i="2"/>
  <c r="AB15" i="2"/>
  <c r="AB16" i="2"/>
  <c r="AB17" i="2"/>
  <c r="AB18" i="2"/>
  <c r="AB19" i="2"/>
  <c r="AB20" i="2"/>
  <c r="AB21" i="2"/>
  <c r="AB22" i="2"/>
  <c r="AB23" i="2"/>
  <c r="AB24" i="2"/>
  <c r="AB25" i="2"/>
  <c r="AB26" i="2"/>
  <c r="AB27" i="2"/>
  <c r="AB28" i="2"/>
  <c r="AB29" i="2"/>
  <c r="AB30" i="2"/>
  <c r="AB31" i="2"/>
  <c r="AB32" i="2"/>
  <c r="AB33" i="2"/>
  <c r="AB34" i="2"/>
  <c r="AB35" i="2"/>
  <c r="AB36" i="2"/>
  <c r="AB37" i="2"/>
  <c r="AB38" i="2"/>
  <c r="AB39" i="2"/>
  <c r="AB40" i="2"/>
  <c r="AB41" i="2"/>
  <c r="AB42" i="2"/>
  <c r="AB43" i="2"/>
  <c r="AB44" i="2"/>
  <c r="AB45" i="2"/>
  <c r="AB46" i="2"/>
  <c r="AB47" i="2"/>
  <c r="AB48" i="2"/>
  <c r="AB49" i="2"/>
  <c r="AB50" i="2"/>
  <c r="AB51" i="2"/>
  <c r="AB52" i="2"/>
  <c r="AB53" i="2"/>
  <c r="AB54" i="2"/>
  <c r="AB55" i="2"/>
  <c r="AB56" i="2"/>
  <c r="AB57" i="2"/>
  <c r="AB58" i="2"/>
  <c r="AB59" i="2"/>
  <c r="AB60" i="2"/>
  <c r="AB61" i="2"/>
  <c r="AB62" i="2"/>
  <c r="AB63" i="2"/>
  <c r="AB64" i="2"/>
  <c r="AB65" i="2"/>
  <c r="AB66" i="2"/>
  <c r="AB67" i="2"/>
  <c r="AB68" i="2"/>
  <c r="AB69" i="2"/>
  <c r="AB70" i="2"/>
  <c r="AB71" i="2"/>
  <c r="AB72" i="2"/>
  <c r="AB73" i="2"/>
  <c r="AB74" i="2"/>
  <c r="AB75" i="2"/>
  <c r="AB76" i="2"/>
  <c r="AB77" i="2"/>
  <c r="AB78" i="2"/>
  <c r="AB79" i="2"/>
  <c r="AB80" i="2"/>
  <c r="AB81" i="2"/>
  <c r="AB82" i="2"/>
  <c r="AB83" i="2"/>
  <c r="AB84" i="2"/>
  <c r="AB85" i="2"/>
  <c r="AB86" i="2"/>
  <c r="AB87" i="2"/>
  <c r="AB88" i="2"/>
  <c r="AB89" i="2"/>
  <c r="AB90" i="2"/>
  <c r="AB91" i="2"/>
  <c r="AB92" i="2"/>
  <c r="AB93" i="2"/>
  <c r="AB94" i="2"/>
  <c r="AB95" i="2"/>
  <c r="AB96" i="2"/>
  <c r="AB97" i="2"/>
  <c r="AB98" i="2"/>
  <c r="AB99" i="2"/>
  <c r="AB100" i="2"/>
  <c r="AB101" i="2"/>
  <c r="AB102" i="2"/>
  <c r="AB3" i="2"/>
  <c r="E33" i="29" a="1"/>
  <c r="E33" i="29" s="1"/>
  <c r="C5" i="30" s="1"/>
  <c r="AC17" i="29" a="1"/>
  <c r="AC17" i="29" s="1"/>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P4" i="2" a="1"/>
  <c r="P4" i="2" s="1"/>
  <c r="P5" i="2" a="1"/>
  <c r="P5" i="2" s="1"/>
  <c r="P6" i="2" a="1"/>
  <c r="P6" i="2" s="1"/>
  <c r="P7" i="2" a="1"/>
  <c r="P7" i="2" s="1"/>
  <c r="P8" i="2" a="1"/>
  <c r="P8" i="2" s="1"/>
  <c r="P9" i="2" a="1"/>
  <c r="P9" i="2" s="1"/>
  <c r="P10" i="2" a="1"/>
  <c r="P10" i="2" s="1"/>
  <c r="P11" i="2" a="1"/>
  <c r="P11" i="2" s="1"/>
  <c r="P12" i="2" a="1"/>
  <c r="P12" i="2" s="1"/>
  <c r="P13" i="2" a="1"/>
  <c r="P13" i="2" s="1"/>
  <c r="P14" i="2" a="1"/>
  <c r="P14" i="2" s="1"/>
  <c r="P15" i="2" a="1"/>
  <c r="P15" i="2" s="1"/>
  <c r="P16" i="2" a="1"/>
  <c r="P16" i="2" s="1"/>
  <c r="P17" i="2" a="1"/>
  <c r="P17" i="2" s="1"/>
  <c r="P18" i="2" a="1"/>
  <c r="P18" i="2" s="1"/>
  <c r="P19" i="2" a="1"/>
  <c r="P19" i="2" s="1"/>
  <c r="P20" i="2" a="1"/>
  <c r="P20" i="2" s="1"/>
  <c r="P21" i="2" a="1"/>
  <c r="P21" i="2" s="1"/>
  <c r="P22" i="2" a="1"/>
  <c r="P22" i="2" s="1"/>
  <c r="P23" i="2" a="1"/>
  <c r="P23" i="2" s="1"/>
  <c r="P24" i="2" a="1"/>
  <c r="P24" i="2" s="1"/>
  <c r="P25" i="2" a="1"/>
  <c r="P25" i="2" s="1"/>
  <c r="P26" i="2" a="1"/>
  <c r="P26" i="2" s="1"/>
  <c r="P27" i="2" a="1"/>
  <c r="P27" i="2" s="1"/>
  <c r="P28" i="2" a="1"/>
  <c r="P28" i="2" s="1"/>
  <c r="P29" i="2" a="1"/>
  <c r="P29" i="2" s="1"/>
  <c r="P30" i="2" a="1"/>
  <c r="P30" i="2" s="1"/>
  <c r="P31" i="2" a="1"/>
  <c r="P31" i="2" s="1"/>
  <c r="P32" i="2" a="1"/>
  <c r="P32" i="2" s="1"/>
  <c r="P33" i="2" a="1"/>
  <c r="P33" i="2" s="1"/>
  <c r="P34" i="2" a="1"/>
  <c r="P34" i="2" s="1"/>
  <c r="P35" i="2" a="1"/>
  <c r="P35" i="2" s="1"/>
  <c r="P36" i="2" a="1"/>
  <c r="P36" i="2" s="1"/>
  <c r="P37" i="2" a="1"/>
  <c r="P37" i="2" s="1"/>
  <c r="P38" i="2" a="1"/>
  <c r="P38" i="2" s="1"/>
  <c r="P39" i="2" a="1"/>
  <c r="P39" i="2" s="1"/>
  <c r="P40" i="2" a="1"/>
  <c r="P40" i="2" s="1"/>
  <c r="P41" i="2" a="1"/>
  <c r="P41" i="2" s="1"/>
  <c r="P42" i="2" a="1"/>
  <c r="P42" i="2" s="1"/>
  <c r="P43" i="2" a="1"/>
  <c r="P43" i="2" s="1"/>
  <c r="P44" i="2" a="1"/>
  <c r="P44" i="2" s="1"/>
  <c r="P45" i="2" a="1"/>
  <c r="P45" i="2" s="1"/>
  <c r="P46" i="2" a="1"/>
  <c r="P46" i="2" s="1"/>
  <c r="P47" i="2" a="1"/>
  <c r="P47" i="2" s="1"/>
  <c r="P48" i="2" a="1"/>
  <c r="P48" i="2" s="1"/>
  <c r="P49" i="2" a="1"/>
  <c r="P49" i="2" s="1"/>
  <c r="P50" i="2" a="1"/>
  <c r="P50" i="2" s="1"/>
  <c r="P51" i="2" a="1"/>
  <c r="P51" i="2" s="1"/>
  <c r="P52" i="2" a="1"/>
  <c r="P52" i="2" s="1"/>
  <c r="P53" i="2" a="1"/>
  <c r="P53" i="2" s="1"/>
  <c r="P54" i="2" a="1"/>
  <c r="P54" i="2" s="1"/>
  <c r="P55" i="2" a="1"/>
  <c r="P55" i="2" s="1"/>
  <c r="P56" i="2" a="1"/>
  <c r="P56" i="2" s="1"/>
  <c r="P57" i="2" a="1"/>
  <c r="P57" i="2" s="1"/>
  <c r="P58" i="2" a="1"/>
  <c r="P58" i="2" s="1"/>
  <c r="P59" i="2" a="1"/>
  <c r="P59" i="2" s="1"/>
  <c r="P60" i="2" a="1"/>
  <c r="P60" i="2" s="1"/>
  <c r="P61" i="2" a="1"/>
  <c r="P61" i="2" s="1"/>
  <c r="P62" i="2" a="1"/>
  <c r="P62" i="2" s="1"/>
  <c r="P63" i="2" a="1"/>
  <c r="P63" i="2" s="1"/>
  <c r="P64" i="2" a="1"/>
  <c r="P64" i="2" s="1"/>
  <c r="P65" i="2" a="1"/>
  <c r="P65" i="2" s="1"/>
  <c r="P66" i="2" a="1"/>
  <c r="P66" i="2" s="1"/>
  <c r="P67" i="2" a="1"/>
  <c r="P67" i="2" s="1"/>
  <c r="P68" i="2" a="1"/>
  <c r="P68" i="2" s="1"/>
  <c r="P69" i="2" a="1"/>
  <c r="P69" i="2" s="1"/>
  <c r="P70" i="2" a="1"/>
  <c r="P70" i="2" s="1"/>
  <c r="P71" i="2" a="1"/>
  <c r="P71" i="2" s="1"/>
  <c r="P72" i="2" a="1"/>
  <c r="P72" i="2" s="1"/>
  <c r="P73" i="2" a="1"/>
  <c r="P73" i="2" s="1"/>
  <c r="P74" i="2" a="1"/>
  <c r="P74" i="2" s="1"/>
  <c r="P75" i="2" a="1"/>
  <c r="P75" i="2" s="1"/>
  <c r="P76" i="2" a="1"/>
  <c r="P76" i="2" s="1"/>
  <c r="P77" i="2" a="1"/>
  <c r="P77" i="2" s="1"/>
  <c r="P78" i="2" a="1"/>
  <c r="P78" i="2" s="1"/>
  <c r="P79" i="2" a="1"/>
  <c r="P79" i="2" s="1"/>
  <c r="P80" i="2" a="1"/>
  <c r="P80" i="2" s="1"/>
  <c r="P81" i="2" a="1"/>
  <c r="P81" i="2" s="1"/>
  <c r="P82" i="2" a="1"/>
  <c r="P82" i="2" s="1"/>
  <c r="P83" i="2" a="1"/>
  <c r="P83" i="2" s="1"/>
  <c r="P84" i="2" a="1"/>
  <c r="P84" i="2" s="1"/>
  <c r="P85" i="2" a="1"/>
  <c r="P85" i="2" s="1"/>
  <c r="P86" i="2" a="1"/>
  <c r="P86" i="2" s="1"/>
  <c r="P87" i="2" a="1"/>
  <c r="P87" i="2" s="1"/>
  <c r="P88" i="2" a="1"/>
  <c r="P88" i="2" s="1"/>
  <c r="P89" i="2" a="1"/>
  <c r="P89" i="2" s="1"/>
  <c r="P90" i="2" a="1"/>
  <c r="P90" i="2" s="1"/>
  <c r="P91" i="2" a="1"/>
  <c r="P91" i="2" s="1"/>
  <c r="P92" i="2" a="1"/>
  <c r="P92" i="2" s="1"/>
  <c r="P93" i="2" a="1"/>
  <c r="P93" i="2" s="1"/>
  <c r="P94" i="2" a="1"/>
  <c r="P94" i="2" s="1"/>
  <c r="P95" i="2" a="1"/>
  <c r="P95" i="2" s="1"/>
  <c r="P96" i="2" a="1"/>
  <c r="P96" i="2" s="1"/>
  <c r="P97" i="2" a="1"/>
  <c r="P97" i="2" s="1"/>
  <c r="P98" i="2" a="1"/>
  <c r="P98" i="2" s="1"/>
  <c r="P99" i="2" a="1"/>
  <c r="P99" i="2" s="1"/>
  <c r="P100" i="2" a="1"/>
  <c r="P100" i="2" s="1"/>
  <c r="P101" i="2" a="1"/>
  <c r="P101" i="2" s="1"/>
  <c r="P102" i="2" a="1"/>
  <c r="P102" i="2" s="1"/>
  <c r="C84" i="30"/>
  <c r="C67" i="30"/>
  <c r="C65" i="30"/>
  <c r="C64" i="30"/>
  <c r="C61" i="30"/>
  <c r="C60" i="30"/>
  <c r="C59" i="30"/>
  <c r="C57" i="30"/>
  <c r="C56" i="30"/>
  <c r="C53" i="30"/>
  <c r="C52" i="30"/>
  <c r="C51" i="30"/>
  <c r="C49" i="30"/>
  <c r="C48" i="30"/>
  <c r="C6" i="30"/>
  <c r="C4" i="30"/>
  <c r="C3" i="30"/>
  <c r="B9" i="30"/>
  <c r="B10" i="30" s="1"/>
  <c r="B11" i="30" s="1"/>
  <c r="B12" i="30" s="1"/>
  <c r="B13" i="30" s="1"/>
  <c r="B14" i="30" s="1"/>
  <c r="B15" i="30" s="1"/>
  <c r="B16" i="30" s="1"/>
  <c r="B17" i="30" s="1"/>
  <c r="B18" i="30" s="1"/>
  <c r="B19" i="30" s="1"/>
  <c r="B20" i="30" s="1"/>
  <c r="B21" i="30" s="1"/>
  <c r="B22" i="30" s="1"/>
  <c r="B23" i="30" s="1"/>
  <c r="B24" i="30" s="1"/>
  <c r="B25" i="30" s="1"/>
  <c r="B26" i="30" s="1"/>
  <c r="B27" i="30" s="1"/>
  <c r="B28" i="30" s="1"/>
  <c r="B29" i="30" s="1"/>
  <c r="B30" i="30" s="1"/>
  <c r="B31" i="30" s="1"/>
  <c r="B32" i="30" s="1"/>
  <c r="B33" i="30" s="1"/>
  <c r="B34" i="30" s="1"/>
  <c r="B35" i="30" s="1"/>
  <c r="B36" i="30" s="1"/>
  <c r="B37" i="30" s="1"/>
  <c r="B38" i="30" s="1"/>
  <c r="B39" i="30" s="1"/>
  <c r="B40" i="30" s="1"/>
  <c r="B41" i="30" s="1"/>
  <c r="B42" i="30" s="1"/>
  <c r="B43" i="30" s="1"/>
  <c r="B44" i="30" s="1"/>
  <c r="B45" i="30" s="1"/>
  <c r="B46" i="30" s="1"/>
  <c r="B47" i="30" s="1"/>
  <c r="B48" i="30" s="1"/>
  <c r="B49" i="30" s="1"/>
  <c r="B50" i="30" s="1"/>
  <c r="B51" i="30" s="1"/>
  <c r="B52" i="30" s="1"/>
  <c r="B53" i="30" s="1"/>
  <c r="B54" i="30" s="1"/>
  <c r="B55" i="30" s="1"/>
  <c r="B56" i="30" s="1"/>
  <c r="B57" i="30" s="1"/>
  <c r="B58" i="30" s="1"/>
  <c r="B59" i="30" s="1"/>
  <c r="B60" i="30" s="1"/>
  <c r="B61" i="30" s="1"/>
  <c r="B62" i="30" s="1"/>
  <c r="B63" i="30" s="1"/>
  <c r="B64" i="30" s="1"/>
  <c r="B65" i="30" s="1"/>
  <c r="B66" i="30" s="1"/>
  <c r="B67" i="30" s="1"/>
  <c r="B68" i="30" s="1"/>
  <c r="B69" i="30" s="1"/>
  <c r="B70" i="30" s="1"/>
  <c r="B71" i="30" s="1"/>
  <c r="B72" i="30" s="1"/>
  <c r="B73" i="30" s="1"/>
  <c r="B74" i="30" s="1"/>
  <c r="B75" i="30" s="1"/>
  <c r="B76" i="30" s="1"/>
  <c r="B77" i="30" s="1"/>
  <c r="B78" i="30" s="1"/>
  <c r="B79" i="30" s="1"/>
  <c r="B80" i="30" s="1"/>
  <c r="B81" i="30" s="1"/>
  <c r="B82" i="30" s="1"/>
  <c r="B83" i="30" s="1"/>
  <c r="B84" i="30" s="1"/>
  <c r="B85" i="30" s="1"/>
  <c r="B86" i="30" s="1"/>
  <c r="B87" i="30" s="1"/>
  <c r="B88" i="30" s="1"/>
  <c r="B89" i="30" s="1"/>
  <c r="B90" i="30" s="1"/>
  <c r="B91" i="30" s="1"/>
  <c r="B92" i="30" s="1"/>
  <c r="B93" i="30" s="1"/>
  <c r="B94" i="30" s="1"/>
  <c r="B95" i="30" s="1"/>
  <c r="B96" i="30" s="1"/>
  <c r="B97" i="30" s="1"/>
  <c r="B98" i="30" s="1"/>
  <c r="B99" i="30" s="1"/>
  <c r="B100" i="30" s="1"/>
  <c r="B101" i="30" s="1"/>
  <c r="B102" i="30" s="1"/>
  <c r="B103" i="30" s="1"/>
  <c r="B104" i="30" s="1"/>
  <c r="B105" i="30" s="1"/>
  <c r="B106" i="30" s="1"/>
  <c r="B107" i="30" s="1"/>
  <c r="B108" i="30" s="1"/>
  <c r="B109" i="30" s="1"/>
  <c r="B110" i="30" s="1"/>
  <c r="B111" i="30" s="1"/>
  <c r="B112" i="30" s="1"/>
  <c r="B113" i="30" s="1"/>
  <c r="B114" i="30" s="1"/>
  <c r="B115" i="30" s="1"/>
  <c r="B116" i="30" s="1"/>
  <c r="B117" i="30" s="1"/>
  <c r="B118" i="30" s="1"/>
  <c r="B119" i="30" s="1"/>
  <c r="B120" i="30" s="1"/>
  <c r="B121" i="30" s="1"/>
  <c r="B122" i="30" s="1"/>
  <c r="B123" i="30" s="1"/>
  <c r="B124" i="30" s="1"/>
  <c r="B125" i="30" s="1"/>
  <c r="B126" i="30" s="1"/>
  <c r="B127" i="30" s="1"/>
  <c r="B128" i="30" s="1"/>
  <c r="B129" i="30" s="1"/>
  <c r="B130" i="30" s="1"/>
  <c r="B131" i="30" s="1"/>
  <c r="B132" i="30" s="1"/>
  <c r="B133" i="30" s="1"/>
  <c r="B134" i="30" s="1"/>
  <c r="B135" i="30" s="1"/>
  <c r="B136" i="30" s="1"/>
  <c r="B137" i="30" s="1"/>
  <c r="B138" i="30" s="1"/>
  <c r="B139" i="30" s="1"/>
  <c r="B140" i="30" s="1"/>
  <c r="B141" i="30" s="1"/>
  <c r="B142" i="30" s="1"/>
  <c r="B143" i="30" s="1"/>
  <c r="B144" i="30" s="1"/>
  <c r="B145" i="30" s="1"/>
  <c r="B146" i="30" s="1"/>
  <c r="B147" i="30" s="1"/>
  <c r="V331" i="29" l="1"/>
  <c r="U315" i="29"/>
  <c r="U319" i="29"/>
  <c r="U323" i="29"/>
  <c r="U327" i="29"/>
  <c r="U331" i="29"/>
  <c r="U317" i="29"/>
  <c r="U321" i="29"/>
  <c r="U325" i="29"/>
  <c r="U329" i="29"/>
  <c r="U314" i="29"/>
  <c r="U318" i="29"/>
  <c r="W319" i="29"/>
  <c r="U322" i="29"/>
  <c r="U326" i="29"/>
  <c r="W327" i="29"/>
  <c r="W331" i="29"/>
  <c r="V314" i="29"/>
  <c r="V318" i="29"/>
  <c r="V322" i="29"/>
  <c r="V326" i="29"/>
  <c r="V330" i="29"/>
  <c r="V321" i="29"/>
  <c r="V325" i="29"/>
  <c r="U316" i="29"/>
  <c r="U320" i="29"/>
  <c r="W329" i="29"/>
  <c r="W315" i="29"/>
  <c r="W323" i="29"/>
  <c r="U330" i="29"/>
  <c r="Y330" i="29" s="1"/>
  <c r="E330" i="29" s="1"/>
  <c r="C145" i="30" s="1"/>
  <c r="W314" i="29"/>
  <c r="W318" i="29"/>
  <c r="W322" i="29"/>
  <c r="W326" i="29"/>
  <c r="W330" i="29"/>
  <c r="V316" i="29"/>
  <c r="V320" i="29"/>
  <c r="V324" i="29"/>
  <c r="V328" i="29"/>
  <c r="V332" i="29"/>
  <c r="V317" i="29"/>
  <c r="W317" i="29"/>
  <c r="U324" i="29"/>
  <c r="U328" i="29"/>
  <c r="U332" i="29"/>
  <c r="K313" i="29"/>
  <c r="V313" i="29" s="1"/>
  <c r="W316" i="29"/>
  <c r="W320" i="29"/>
  <c r="W324" i="29"/>
  <c r="W328" i="29"/>
  <c r="W332" i="29"/>
  <c r="V329" i="29"/>
  <c r="W313" i="29"/>
  <c r="W321" i="29"/>
  <c r="W325" i="29"/>
  <c r="V315" i="29"/>
  <c r="V319" i="29"/>
  <c r="V323" i="29"/>
  <c r="V327" i="29"/>
  <c r="K223" i="29"/>
  <c r="K239" i="29"/>
  <c r="K231" i="29"/>
  <c r="K238" i="29"/>
  <c r="K230" i="29"/>
  <c r="K236" i="29"/>
  <c r="K228" i="29"/>
  <c r="K229" i="29"/>
  <c r="K235" i="29"/>
  <c r="K242" i="29"/>
  <c r="K234" i="29"/>
  <c r="K226" i="29"/>
  <c r="K237" i="29"/>
  <c r="K227" i="29"/>
  <c r="K241" i="29"/>
  <c r="K233" i="29"/>
  <c r="K225" i="29"/>
  <c r="K240" i="29"/>
  <c r="K232" i="29"/>
  <c r="K224" i="29"/>
  <c r="I96" i="29" a="1"/>
  <c r="E35" i="29"/>
  <c r="C7" i="30" s="1"/>
  <c r="C21" i="30"/>
  <c r="C20" i="30"/>
  <c r="C12" i="30"/>
  <c r="C19" i="30"/>
  <c r="C11" i="30"/>
  <c r="C22" i="30"/>
  <c r="C27" i="30"/>
  <c r="C18" i="30"/>
  <c r="C10" i="30"/>
  <c r="C13" i="30"/>
  <c r="C25" i="30"/>
  <c r="C17" i="30"/>
  <c r="C9" i="30"/>
  <c r="C14" i="30"/>
  <c r="C24" i="30"/>
  <c r="C16" i="30"/>
  <c r="C23" i="30"/>
  <c r="C15" i="30"/>
  <c r="C26" i="30"/>
  <c r="AG83" i="2" a="1"/>
  <c r="AG83" i="2" s="1"/>
  <c r="AG69" i="2" a="1"/>
  <c r="AG69" i="2" s="1"/>
  <c r="AG63" i="2" a="1"/>
  <c r="AG63" i="2" s="1"/>
  <c r="AG56" i="2" a="1"/>
  <c r="AG56" i="2" s="1"/>
  <c r="AG50" i="2" a="1"/>
  <c r="AG50" i="2" s="1"/>
  <c r="AG37" i="2" a="1"/>
  <c r="AG37" i="2" s="1"/>
  <c r="AG31" i="2" a="1"/>
  <c r="AG31" i="2" s="1"/>
  <c r="AG24" i="2" a="1"/>
  <c r="AG24" i="2" s="1"/>
  <c r="AG18" i="2" a="1"/>
  <c r="AG18" i="2" s="1"/>
  <c r="AG12" i="2" a="1"/>
  <c r="AG12" i="2" s="1"/>
  <c r="AG7" i="2" a="1"/>
  <c r="AG7" i="2" s="1"/>
  <c r="AG64" i="2" a="1"/>
  <c r="AG64" i="2" s="1"/>
  <c r="AG39" i="2" a="1"/>
  <c r="AG39" i="2" s="1"/>
  <c r="AG84" i="2" a="1"/>
  <c r="AG84" i="2" s="1"/>
  <c r="AG25" i="2" a="1"/>
  <c r="AG25" i="2" s="1"/>
  <c r="AG68" i="2" a="1"/>
  <c r="AG68" i="2" s="1"/>
  <c r="AG36" i="2" a="1"/>
  <c r="AG36" i="2" s="1"/>
  <c r="AG81" i="2" a="1"/>
  <c r="AG81" i="2" s="1"/>
  <c r="AG74" i="2" a="1"/>
  <c r="AG74" i="2" s="1"/>
  <c r="AG61" i="2" a="1"/>
  <c r="AG61" i="2" s="1"/>
  <c r="AG55" i="2" a="1"/>
  <c r="AG55" i="2" s="1"/>
  <c r="AG48" i="2" a="1"/>
  <c r="AG48" i="2" s="1"/>
  <c r="AG42" i="2" a="1"/>
  <c r="AG42" i="2" s="1"/>
  <c r="AG29" i="2" a="1"/>
  <c r="AG29" i="2" s="1"/>
  <c r="AG23" i="2" a="1"/>
  <c r="AG23" i="2" s="1"/>
  <c r="AG16" i="2" a="1"/>
  <c r="AG16" i="2" s="1"/>
  <c r="AG11" i="2" a="1"/>
  <c r="AG11" i="2" s="1"/>
  <c r="AG76" i="2" a="1"/>
  <c r="AG76" i="2" s="1"/>
  <c r="AG44" i="2" a="1"/>
  <c r="AG44" i="2" s="1"/>
  <c r="AG13" i="2" a="1"/>
  <c r="AG13" i="2" s="1"/>
  <c r="AG49" i="2" a="1"/>
  <c r="AG49" i="2" s="1"/>
  <c r="AG6" i="2" a="1"/>
  <c r="AG6" i="2" s="1"/>
  <c r="AG80" i="2" a="1"/>
  <c r="AG80" i="2" s="1"/>
  <c r="AG73" i="2" a="1"/>
  <c r="AG73" i="2" s="1"/>
  <c r="AG67" i="2" a="1"/>
  <c r="AG67" i="2" s="1"/>
  <c r="AG60" i="2" a="1"/>
  <c r="AG60" i="2" s="1"/>
  <c r="AG54" i="2" a="1"/>
  <c r="AG54" i="2" s="1"/>
  <c r="AG41" i="2" a="1"/>
  <c r="AG41" i="2" s="1"/>
  <c r="AG35" i="2" a="1"/>
  <c r="AG35" i="2" s="1"/>
  <c r="AG28" i="2" a="1"/>
  <c r="AG28" i="2" s="1"/>
  <c r="AG22" i="2" a="1"/>
  <c r="AG22" i="2" s="1"/>
  <c r="AG10" i="2" a="1"/>
  <c r="AG10" i="2" s="1"/>
  <c r="AG5" i="2" a="1"/>
  <c r="AG5" i="2" s="1"/>
  <c r="AG77" i="2" a="1"/>
  <c r="AG77" i="2" s="1"/>
  <c r="AG58" i="2" a="1"/>
  <c r="AG58" i="2" s="1"/>
  <c r="AG32" i="2" a="1"/>
  <c r="AG32" i="2" s="1"/>
  <c r="AG70" i="2" a="1"/>
  <c r="AG70" i="2" s="1"/>
  <c r="AG57" i="2" a="1"/>
  <c r="AG57" i="2" s="1"/>
  <c r="AG19" i="2" a="1"/>
  <c r="AG19" i="2" s="1"/>
  <c r="AG75" i="2" a="1"/>
  <c r="AG75" i="2" s="1"/>
  <c r="AG62" i="2" a="1"/>
  <c r="AG62" i="2" s="1"/>
  <c r="AG30" i="2" a="1"/>
  <c r="AG30" i="2" s="1"/>
  <c r="AG79" i="2" a="1"/>
  <c r="AG79" i="2" s="1"/>
  <c r="AG72" i="2" a="1"/>
  <c r="AG72" i="2" s="1"/>
  <c r="AG66" i="2" a="1"/>
  <c r="AG66" i="2" s="1"/>
  <c r="AG53" i="2" a="1"/>
  <c r="AG53" i="2" s="1"/>
  <c r="AG47" i="2" a="1"/>
  <c r="AG47" i="2" s="1"/>
  <c r="AG40" i="2" a="1"/>
  <c r="AG40" i="2" s="1"/>
  <c r="AG34" i="2" a="1"/>
  <c r="AG34" i="2" s="1"/>
  <c r="AG21" i="2" a="1"/>
  <c r="AG21" i="2" s="1"/>
  <c r="AG15" i="2" a="1"/>
  <c r="AG15" i="2" s="1"/>
  <c r="AG4" i="2" a="1"/>
  <c r="AG4" i="2" s="1"/>
  <c r="AG71" i="2" a="1"/>
  <c r="AG71" i="2" s="1"/>
  <c r="AG45" i="2" a="1"/>
  <c r="AG45" i="2" s="1"/>
  <c r="AG26" i="2" a="1"/>
  <c r="AG26" i="2" s="1"/>
  <c r="AG8" i="2" a="1"/>
  <c r="AG8" i="2" s="1"/>
  <c r="AG51" i="2" a="1"/>
  <c r="AG51" i="2" s="1"/>
  <c r="AG38" i="2" a="1"/>
  <c r="AG38" i="2" s="1"/>
  <c r="AG82" i="2" a="1"/>
  <c r="AG82" i="2" s="1"/>
  <c r="AG43" i="2" a="1"/>
  <c r="AG43" i="2" s="1"/>
  <c r="AG17" i="2" a="1"/>
  <c r="AG17" i="2" s="1"/>
  <c r="AG78" i="2" a="1"/>
  <c r="AG78" i="2" s="1"/>
  <c r="AG65" i="2" a="1"/>
  <c r="AG65" i="2" s="1"/>
  <c r="AG59" i="2" a="1"/>
  <c r="AG59" i="2" s="1"/>
  <c r="AG52" i="2" a="1"/>
  <c r="AG52" i="2" s="1"/>
  <c r="AG46" i="2" a="1"/>
  <c r="AG46" i="2" s="1"/>
  <c r="AG33" i="2" a="1"/>
  <c r="AG33" i="2" s="1"/>
  <c r="AG27" i="2" a="1"/>
  <c r="AG27" i="2" s="1"/>
  <c r="AG20" i="2" a="1"/>
  <c r="AG20" i="2" s="1"/>
  <c r="AG14" i="2" a="1"/>
  <c r="AG14" i="2" s="1"/>
  <c r="AG9" i="2" a="1"/>
  <c r="AG9" i="2" s="1"/>
  <c r="AF17" i="29" a="1"/>
  <c r="AF17" i="29" s="1"/>
  <c r="AG17" i="29" s="1" a="1"/>
  <c r="AG17" i="29" s="1"/>
  <c r="Y332" i="29" l="1"/>
  <c r="E332" i="29" s="1"/>
  <c r="C147" i="30" s="1"/>
  <c r="Y328" i="29"/>
  <c r="E328" i="29" s="1"/>
  <c r="C143" i="30" s="1"/>
  <c r="Y329" i="29"/>
  <c r="E329" i="29" s="1"/>
  <c r="C144" i="30" s="1"/>
  <c r="Y315" i="29"/>
  <c r="E315" i="29" s="1"/>
  <c r="C130" i="30" s="1"/>
  <c r="Y316" i="29"/>
  <c r="E316" i="29" s="1"/>
  <c r="C131" i="30" s="1"/>
  <c r="Y325" i="29"/>
  <c r="E325" i="29" s="1"/>
  <c r="C140" i="30" s="1"/>
  <c r="Y326" i="29"/>
  <c r="E326" i="29" s="1"/>
  <c r="C141" i="30" s="1"/>
  <c r="Y321" i="29"/>
  <c r="E321" i="29" s="1"/>
  <c r="C136" i="30" s="1"/>
  <c r="Y322" i="29"/>
  <c r="E322" i="29" s="1"/>
  <c r="C137" i="30" s="1"/>
  <c r="Y317" i="29"/>
  <c r="E317" i="29" s="1"/>
  <c r="C132" i="30" s="1"/>
  <c r="Y318" i="29"/>
  <c r="E318" i="29" s="1"/>
  <c r="C133" i="30" s="1"/>
  <c r="Y327" i="29"/>
  <c r="E327" i="29" s="1"/>
  <c r="C142" i="30" s="1"/>
  <c r="Y324" i="29"/>
  <c r="E324" i="29" s="1"/>
  <c r="C139" i="30" s="1"/>
  <c r="Y314" i="29"/>
  <c r="E314" i="29" s="1"/>
  <c r="C129" i="30" s="1"/>
  <c r="Y323" i="29"/>
  <c r="E323" i="29" s="1"/>
  <c r="C138" i="30" s="1"/>
  <c r="Y331" i="29"/>
  <c r="E331" i="29" s="1"/>
  <c r="C146" i="30" s="1"/>
  <c r="Y320" i="29"/>
  <c r="E320" i="29" s="1"/>
  <c r="C135" i="30" s="1"/>
  <c r="U313" i="29"/>
  <c r="Y313" i="29" s="1"/>
  <c r="E313" i="29" s="1"/>
  <c r="C128" i="30" s="1"/>
  <c r="Y319" i="29"/>
  <c r="E319" i="29" s="1"/>
  <c r="C134" i="30" s="1"/>
  <c r="E223" i="29" a="1"/>
  <c r="E223" i="29" s="1"/>
  <c r="C88" i="30" s="1"/>
  <c r="C103" i="30"/>
  <c r="C95" i="30"/>
  <c r="C93" i="30"/>
  <c r="C92" i="30"/>
  <c r="C99" i="30"/>
  <c r="C102" i="30"/>
  <c r="C101" i="30"/>
  <c r="C100" i="30"/>
  <c r="C107" i="30"/>
  <c r="C91" i="30"/>
  <c r="C106" i="30"/>
  <c r="C98" i="30"/>
  <c r="C90" i="30"/>
  <c r="C105" i="30"/>
  <c r="C97" i="30"/>
  <c r="C89" i="30"/>
  <c r="C96" i="30"/>
  <c r="I96" i="29"/>
  <c r="E96" i="29" s="1"/>
  <c r="C28" i="30" s="1"/>
  <c r="E97" i="29"/>
  <c r="C29" i="30" s="1"/>
  <c r="E105" i="29"/>
  <c r="C37" i="30" s="1"/>
  <c r="E113" i="29"/>
  <c r="C45" i="30" s="1"/>
  <c r="E98" i="29"/>
  <c r="C30" i="30" s="1"/>
  <c r="E106" i="29"/>
  <c r="C38" i="30" s="1"/>
  <c r="E114" i="29"/>
  <c r="C46" i="30" s="1"/>
  <c r="E99" i="29"/>
  <c r="C31" i="30" s="1"/>
  <c r="E107" i="29"/>
  <c r="C39" i="30" s="1"/>
  <c r="E115" i="29"/>
  <c r="C47" i="30" s="1"/>
  <c r="E100" i="29"/>
  <c r="C32" i="30" s="1"/>
  <c r="E108" i="29"/>
  <c r="C40" i="30" s="1"/>
  <c r="E111" i="29"/>
  <c r="C43" i="30" s="1"/>
  <c r="E112" i="29"/>
  <c r="C44" i="30" s="1"/>
  <c r="E101" i="29"/>
  <c r="C33" i="30" s="1"/>
  <c r="E109" i="29"/>
  <c r="C41" i="30" s="1"/>
  <c r="E102" i="29"/>
  <c r="C34" i="30" s="1"/>
  <c r="E110" i="29"/>
  <c r="C42" i="30" s="1"/>
  <c r="E103" i="29"/>
  <c r="C35" i="30" s="1"/>
  <c r="E104" i="29"/>
  <c r="C36" i="30" s="1"/>
  <c r="C104" i="30" l="1"/>
  <c r="C94" i="30"/>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<sst xmlns="http://schemas.openxmlformats.org/spreadsheetml/2006/main" count="1727" uniqueCount="384">
  <si>
    <t>Microsoft Excel Collegiate Challenge 2025</t>
  </si>
  <si>
    <t>Collecting Scarves - Varsity Edition</t>
  </si>
  <si>
    <t>Original Case Author</t>
  </si>
  <si>
    <t>Benjamin Weber</t>
  </si>
  <si>
    <t>Case Design Team</t>
  </si>
  <si>
    <t>Fritz Burkhardt</t>
  </si>
  <si>
    <t>Leonardo Fernandez</t>
  </si>
  <si>
    <t>Kerron Joseph</t>
  </si>
  <si>
    <t>Gina Nicolosi</t>
  </si>
  <si>
    <t>Joe Walsh</t>
  </si>
  <si>
    <t>Instructions</t>
  </si>
  <si>
    <t>Bonus Questions</t>
  </si>
  <si>
    <t>To make the game more exciting, we have created 5 bonus questions for you. The questions can all be solved independently of the Levels.</t>
  </si>
  <si>
    <t>Game #</t>
  </si>
  <si>
    <t>Relates to Level #</t>
  </si>
  <si>
    <t>Points</t>
  </si>
  <si>
    <t>Answer</t>
  </si>
  <si>
    <t>Question</t>
  </si>
  <si>
    <t>Bonus 1</t>
  </si>
  <si>
    <t>N/A</t>
  </si>
  <si>
    <t>There is one city that has more scarves than any other. Which city is it?</t>
  </si>
  <si>
    <t>Bonus 2</t>
  </si>
  <si>
    <t>Across the given data for all Levels (excluding Examples), which scarf appears the most times? Enter the scarf code (e.g., BWSGYRVBW)</t>
  </si>
  <si>
    <t>Bonus 3</t>
  </si>
  <si>
    <t>How many scarves within the “Scarf data” (Scarves tab) have blue as their first color element on the left?</t>
  </si>
  <si>
    <t>Bonus 4</t>
  </si>
  <si>
    <t>Which city has the most Red color elements across all its scarves?</t>
  </si>
  <si>
    <t>Bonus 5</t>
  </si>
  <si>
    <t>How much would it cost to manufacture all 100 scarves within the “Scarf data” (Scarves tab) using the instructions of level 6?</t>
  </si>
  <si>
    <t>Levels</t>
  </si>
  <si>
    <t>Level 1</t>
  </si>
  <si>
    <t>Easy</t>
  </si>
  <si>
    <t>LOCATE THE SCARF</t>
  </si>
  <si>
    <t>In which city can you obtain the given scarf?</t>
  </si>
  <si>
    <r>
      <rPr>
        <b/>
        <sz val="12"/>
        <color rgb="FF000000"/>
        <rFont val="Roboto"/>
      </rPr>
      <t>Example1:</t>
    </r>
    <r>
      <rPr>
        <sz val="12"/>
        <color rgb="FF000000"/>
        <rFont val="Roboto"/>
      </rPr>
      <t xml:space="preserve"> </t>
    </r>
  </si>
  <si>
    <t>Scarves and cities are listed in the Scarves tab.  Scarf GGGWWWGGG is located in Vienna.</t>
  </si>
  <si>
    <t>Game #1 Hint:</t>
  </si>
  <si>
    <t>The correct answer starts with the letter F.</t>
  </si>
  <si>
    <t xml:space="preserve">Game #2 Hint: </t>
  </si>
  <si>
    <t>The correct answer starts with the letter V.</t>
  </si>
  <si>
    <t xml:space="preserve">Game #3 Hint: </t>
  </si>
  <si>
    <t>The correct answer starts with the letter B.</t>
  </si>
  <si>
    <t>Level</t>
  </si>
  <si>
    <t>Scarf</t>
  </si>
  <si>
    <t>Example1</t>
  </si>
  <si>
    <t>Vienna</t>
  </si>
  <si>
    <t>GGGWWWGGG</t>
  </si>
  <si>
    <t>RWSWRWSWR</t>
  </si>
  <si>
    <t>WWGGWGGWW</t>
  </si>
  <si>
    <t>RRRBBBRRR</t>
  </si>
  <si>
    <t>VWVWVWVWV</t>
  </si>
  <si>
    <t>BBWRWRWBB</t>
  </si>
  <si>
    <t>GWGWGWGWG</t>
  </si>
  <si>
    <t>RRSSRSSRR</t>
  </si>
  <si>
    <t>RYRRRRRYR</t>
  </si>
  <si>
    <t>BSBSBSBSB</t>
  </si>
  <si>
    <t>BBWBWBWBB</t>
  </si>
  <si>
    <t>RWRRRRRWR</t>
  </si>
  <si>
    <t>SSSRRRSSS</t>
  </si>
  <si>
    <t>WWRWRRWRR</t>
  </si>
  <si>
    <t>BSBBBBBWB</t>
  </si>
  <si>
    <t>WRRWRWRRW</t>
  </si>
  <si>
    <t>RBWRBWRBW</t>
  </si>
  <si>
    <t>BBWWRRBWR</t>
  </si>
  <si>
    <t>WBWWWWWBW</t>
  </si>
  <si>
    <t>YBYBYBYBY</t>
  </si>
  <si>
    <t>Level 2</t>
  </si>
  <si>
    <t>Medium</t>
  </si>
  <si>
    <t>GET TO THE SCARF</t>
  </si>
  <si>
    <t>You start in Vienna (coordinates: X=48, Y=27), and you want to buy the given scarf.</t>
  </si>
  <si>
    <t>Remember that distance travelled is equal to: 100 * square root of (difference on the x-axis^2 + difference on the y-axis^2)</t>
  </si>
  <si>
    <t>Round your answer to the nearest integer.</t>
  </si>
  <si>
    <t>To the nearest km, how many km do you need to travel to get to the city of the scarf?</t>
  </si>
  <si>
    <r>
      <rPr>
        <b/>
        <sz val="12"/>
        <color rgb="FF000000"/>
        <rFont val="Roboto"/>
      </rPr>
      <t>Example2:</t>
    </r>
    <r>
      <rPr>
        <sz val="12"/>
        <color rgb="FF000000"/>
        <rFont val="Roboto"/>
      </rPr>
      <t xml:space="preserve"> </t>
    </r>
  </si>
  <si>
    <t>Scarf BSBSBSBSB is located in Milan.</t>
  </si>
  <si>
    <t>The coordinates for Milan are X=45, Y=20.</t>
  </si>
  <si>
    <t>The traveling distance according to coordinates between Vienna and Milan is X=(48-45)=3, Y=(27-20)=7.</t>
  </si>
  <si>
    <t>100 * square root of (3^2 + 7^2) = 761.58 which rounds to 762km.</t>
  </si>
  <si>
    <t xml:space="preserve">Game #21 Hint: </t>
  </si>
  <si>
    <t>The correct answer is between 900 and 910.</t>
  </si>
  <si>
    <t xml:space="preserve">Game #22 Hint: </t>
  </si>
  <si>
    <t>The correct answer is between 2020 and 2030.</t>
  </si>
  <si>
    <t xml:space="preserve">Game #23 Hint: </t>
  </si>
  <si>
    <t>The correct answer is between 1260 and 1270.</t>
  </si>
  <si>
    <t>Example2</t>
  </si>
  <si>
    <t>RRVBWBVRR</t>
  </si>
  <si>
    <t>WWWRRRWWW</t>
  </si>
  <si>
    <t>RRWRWRWRR</t>
  </si>
  <si>
    <t>WVWVWVWVW</t>
  </si>
  <si>
    <t>BBWWWWWBB</t>
  </si>
  <si>
    <t>BBBYYYBBB</t>
  </si>
  <si>
    <t>GGWWYWWGG</t>
  </si>
  <si>
    <t>GGWGGGWGG</t>
  </si>
  <si>
    <t>BBSSBBSSB</t>
  </si>
  <si>
    <t>RSSRRRSSR</t>
  </si>
  <si>
    <t>BBWSWSWBB</t>
  </si>
  <si>
    <t>WWWBBBWWW</t>
  </si>
  <si>
    <t>YYYSSSYYY</t>
  </si>
  <si>
    <t>WGGWGWGGW</t>
  </si>
  <si>
    <t>BWWWWWWWB</t>
  </si>
  <si>
    <t>Level 3</t>
  </si>
  <si>
    <t>Medium-Hard</t>
  </si>
  <si>
    <t>BUYING 3 SCARVES</t>
  </si>
  <si>
    <t>You want to buy 3 different scarves, which require you to travel to each of the cities where they are being sold.</t>
  </si>
  <si>
    <t>Each scarf cost 15€, and each traveled km cost 1€.</t>
  </si>
  <si>
    <t>You start each game in Vienna (coordinates: X=48, Y=27).</t>
  </si>
  <si>
    <t xml:space="preserve">You will first travel from Vienna to Scarf 1's city, then continue on to Scarf 2's city, and then on to Scarf 3's city, even if it is inefficient. </t>
  </si>
  <si>
    <t>After the third city, you do NOT need to return to Vienna.</t>
  </si>
  <si>
    <r>
      <t>What is the amount you have to spend to purchase all 3 scarves?</t>
    </r>
    <r>
      <rPr>
        <sz val="12"/>
        <color theme="1"/>
        <rFont val="Roboto"/>
      </rPr>
      <t xml:space="preserve"> </t>
    </r>
    <r>
      <rPr>
        <u/>
        <sz val="12"/>
        <color theme="1"/>
        <rFont val="Roboto"/>
      </rPr>
      <t>Only round your final answer to the nearest integer.</t>
    </r>
  </si>
  <si>
    <r>
      <rPr>
        <b/>
        <sz val="12"/>
        <color rgb="FF000000"/>
        <rFont val="Roboto"/>
      </rPr>
      <t>Example3:</t>
    </r>
    <r>
      <rPr>
        <sz val="12"/>
        <color rgb="FF000000"/>
        <rFont val="Roboto"/>
      </rPr>
      <t xml:space="preserve"> </t>
    </r>
  </si>
  <si>
    <t>Scarves 1 and 2 are located in Lisbon, and Scarf 3 is located in Prague.</t>
  </si>
  <si>
    <t xml:space="preserve">The distance between Vienna and Lisbon is 2785.68km. The distance between Lisbon and Lisbon is 0km. </t>
  </si>
  <si>
    <t>The distance between Lisbon and Prague is 2683.28km</t>
  </si>
  <si>
    <t>Amount spent = Total Distance + Cost of Scarves = 2785.68 + 0 + 2683.28 + 3*15 = 5513.96 = 5514€</t>
  </si>
  <si>
    <t xml:space="preserve">Game #41 Hint: </t>
  </si>
  <si>
    <t>The correct answer is between 840 and 850.</t>
  </si>
  <si>
    <t xml:space="preserve">Game #42 Hint: </t>
  </si>
  <si>
    <t>The correct answer is between 3150 and 3160.</t>
  </si>
  <si>
    <t xml:space="preserve">Game #43 Hint: </t>
  </si>
  <si>
    <t>The correct answer is between 5210 and 5220.</t>
  </si>
  <si>
    <t>Scarf 1</t>
  </si>
  <si>
    <t>Scarf 2</t>
  </si>
  <si>
    <t>Scarf 3</t>
  </si>
  <si>
    <t>Example3</t>
  </si>
  <si>
    <t>WRRWWWRRW</t>
  </si>
  <si>
    <t>BYRRRRRYB</t>
  </si>
  <si>
    <t>SSWWWWWSS</t>
  </si>
  <si>
    <t>GGWWWWWGG</t>
  </si>
  <si>
    <t>RRRWWWRRR</t>
  </si>
  <si>
    <t>VVWWWWWVV</t>
  </si>
  <si>
    <t>VVVWWWVVV</t>
  </si>
  <si>
    <t>BBBWBWBBB</t>
  </si>
  <si>
    <t>RWWRRRWWR</t>
  </si>
  <si>
    <t>RWBRWBRWB</t>
  </si>
  <si>
    <t>BYBWBWBYB</t>
  </si>
  <si>
    <t>WBBWWWBBW</t>
  </si>
  <si>
    <t>SYWWWWWYS</t>
  </si>
  <si>
    <t>RSRSRSRSR</t>
  </si>
  <si>
    <t>YYSSSSSYY</t>
  </si>
  <si>
    <t>RRYYGGBBV</t>
  </si>
  <si>
    <t>RWRBWRRWR</t>
  </si>
  <si>
    <t>SWRWSWRWS</t>
  </si>
  <si>
    <t>BWWBWWBWB</t>
  </si>
  <si>
    <t>YBYBVBYBY</t>
  </si>
  <si>
    <t>WGGGWGGGW</t>
  </si>
  <si>
    <t>BBBBWBBBB</t>
  </si>
  <si>
    <t>GGGGWRWWW</t>
  </si>
  <si>
    <t>RWRWRWRWR</t>
  </si>
  <si>
    <t>BWWWBWWWB</t>
  </si>
  <si>
    <t>RRWWRWWRR</t>
  </si>
  <si>
    <t>WWRRWRRWW</t>
  </si>
  <si>
    <t>Level 4</t>
  </si>
  <si>
    <t>Easy-Medium</t>
  </si>
  <si>
    <t>GETTING THE COLORS 1</t>
  </si>
  <si>
    <t>After so much traveling, you're exhausted and are thinking about manufacturing the scarves on your own.</t>
  </si>
  <si>
    <t>First, you need to figure out how many materials you need.</t>
  </si>
  <si>
    <t>For each set of scarves, how many of the given color elements do you need?</t>
  </si>
  <si>
    <r>
      <rPr>
        <b/>
        <sz val="12"/>
        <color rgb="FF000000"/>
        <rFont val="Roboto"/>
      </rPr>
      <t>Example4:</t>
    </r>
    <r>
      <rPr>
        <sz val="12"/>
        <color rgb="FF000000"/>
        <rFont val="Roboto"/>
      </rPr>
      <t xml:space="preserve"> </t>
    </r>
  </si>
  <si>
    <t>Each letter in a scarf represents a color element.</t>
  </si>
  <si>
    <t>In Example4, you need 8 Red, 12 White, 3 Blue, and 4 Green elements. Indicated color is Blue, so answer is 3.</t>
  </si>
  <si>
    <t xml:space="preserve">Game #61 Hint: </t>
  </si>
  <si>
    <t>The correct answer is between 2 and 7.</t>
  </si>
  <si>
    <t xml:space="preserve">Game #62 Hint: </t>
  </si>
  <si>
    <t>The correct answer is between 15 and 20.</t>
  </si>
  <si>
    <t xml:space="preserve">Game #63 Hint: </t>
  </si>
  <si>
    <t>The correct answer is between 3 and 8.</t>
  </si>
  <si>
    <t>Color</t>
  </si>
  <si>
    <t>Example4</t>
  </si>
  <si>
    <t>Blue</t>
  </si>
  <si>
    <t>Black</t>
  </si>
  <si>
    <t>SRRSRSRRS</t>
  </si>
  <si>
    <t>BBBWRWBBB</t>
  </si>
  <si>
    <t>BWBBWBBWB</t>
  </si>
  <si>
    <t>BWBBBBBWB</t>
  </si>
  <si>
    <t>Red</t>
  </si>
  <si>
    <t>RRWWWWWRR</t>
  </si>
  <si>
    <t>Green</t>
  </si>
  <si>
    <t>GWWGGGWWG</t>
  </si>
  <si>
    <t>RWBBBBBWR</t>
  </si>
  <si>
    <t>Violet</t>
  </si>
  <si>
    <t>BBBWWWBBB</t>
  </si>
  <si>
    <t>White</t>
  </si>
  <si>
    <t>GGGSWSGGG</t>
  </si>
  <si>
    <t>GGWGWGWGG</t>
  </si>
  <si>
    <t>BRBRBRBRB</t>
  </si>
  <si>
    <t>GWSGWSGWS</t>
  </si>
  <si>
    <t>RRRWRRWWR</t>
  </si>
  <si>
    <t>GSGSGSGSG</t>
  </si>
  <si>
    <t>Level 5</t>
  </si>
  <si>
    <t>GETTING THE COLORS 2</t>
  </si>
  <si>
    <t>Let's take a look at the color elements needed to manufacture all scarves for a specific city.</t>
  </si>
  <si>
    <r>
      <rPr>
        <i/>
        <u/>
        <sz val="12"/>
        <color theme="1"/>
        <rFont val="Roboto"/>
      </rPr>
      <t>Hint</t>
    </r>
    <r>
      <rPr>
        <i/>
        <sz val="12"/>
        <color theme="1"/>
        <rFont val="Roboto"/>
      </rPr>
      <t>: There might be more than one scarf associated with each city and no city has more than 3 scarves.</t>
    </r>
  </si>
  <si>
    <t>How many of the given color elements can be found in the city's scarves?</t>
  </si>
  <si>
    <r>
      <rPr>
        <b/>
        <sz val="12"/>
        <color rgb="FF000000"/>
        <rFont val="Roboto"/>
      </rPr>
      <t>Example5:</t>
    </r>
    <r>
      <rPr>
        <sz val="12"/>
        <color rgb="FF000000"/>
        <rFont val="Roboto"/>
      </rPr>
      <t xml:space="preserve"> </t>
    </r>
  </si>
  <si>
    <t>Vienna is one of the cities that has 2 scarves - GGGWWWGGG and VVVWWWVVV.</t>
  </si>
  <si>
    <t>After counting all the color elements, there are 6 Greens, 6 Whites and 6 Violets.</t>
  </si>
  <si>
    <t>Example5 asks for the count of Green elements, so the answer is 6.</t>
  </si>
  <si>
    <t xml:space="preserve">Game #81 Hint: </t>
  </si>
  <si>
    <t>The correct answer is between 1 and 5.</t>
  </si>
  <si>
    <t xml:space="preserve">Game #82 Hint: </t>
  </si>
  <si>
    <t>The correct answer is between 4 and 8.</t>
  </si>
  <si>
    <t xml:space="preserve">Game #83 Hint: </t>
  </si>
  <si>
    <t>The correct answer is between 5 and 9.</t>
  </si>
  <si>
    <t>City</t>
  </si>
  <si>
    <t>Example5</t>
  </si>
  <si>
    <t>Budapest</t>
  </si>
  <si>
    <t>Berlin</t>
  </si>
  <si>
    <t>Linz</t>
  </si>
  <si>
    <t>Athens</t>
  </si>
  <si>
    <t>Amsterdam</t>
  </si>
  <si>
    <t>Yellow</t>
  </si>
  <si>
    <t>Kopenhagen</t>
  </si>
  <si>
    <t>Edinburgh</t>
  </si>
  <si>
    <t>London</t>
  </si>
  <si>
    <t>Graz</t>
  </si>
  <si>
    <t>Madrid</t>
  </si>
  <si>
    <t>Birmingham</t>
  </si>
  <si>
    <t>Aberdeen</t>
  </si>
  <si>
    <t>Sevilla</t>
  </si>
  <si>
    <t>Lisbon</t>
  </si>
  <si>
    <t>Glasgow</t>
  </si>
  <si>
    <t>Hamburg</t>
  </si>
  <si>
    <t>Antau</t>
  </si>
  <si>
    <t>Stuttgart</t>
  </si>
  <si>
    <t>Milan</t>
  </si>
  <si>
    <t>Prague</t>
  </si>
  <si>
    <t>Level 6</t>
  </si>
  <si>
    <t>MANUFACTURING SCARVES</t>
  </si>
  <si>
    <t>Now you're ready to start the manufacturing.</t>
  </si>
  <si>
    <t>Manufacturing costs are composed of the material costs and the set-up costs to make each scarf.</t>
  </si>
  <si>
    <t>The price for each unit of color is shown on the Scarves sheet.</t>
  </si>
  <si>
    <t>Your set-up costs are a fixed 200€ for each single scarf.</t>
  </si>
  <si>
    <t>How much will it cost to manufacture all 3 scarves?</t>
  </si>
  <si>
    <r>
      <rPr>
        <b/>
        <sz val="12"/>
        <color rgb="FF000000"/>
        <rFont val="Roboto"/>
      </rPr>
      <t>Example6:</t>
    </r>
    <r>
      <rPr>
        <sz val="12"/>
        <color rgb="FF000000"/>
        <rFont val="Roboto"/>
      </rPr>
      <t xml:space="preserve"> </t>
    </r>
  </si>
  <si>
    <t>In Example6, you need 12 White, 6 Blue and 9 Green elements.</t>
  </si>
  <si>
    <t>The material costs will be 12*2 + 6*4 + 9*4 = 84€</t>
  </si>
  <si>
    <t>The set-up costs of all 3 scarves will cost 3*200 = 600€</t>
  </si>
  <si>
    <t>The total cost of all 3 scarves is 84+600 = 684€</t>
  </si>
  <si>
    <t xml:space="preserve">Game #101 Hint: </t>
  </si>
  <si>
    <t>The correct answer is between 690 and 700.</t>
  </si>
  <si>
    <t xml:space="preserve">Game #102 Hint: </t>
  </si>
  <si>
    <t>The correct answer is between 680 and 690.</t>
  </si>
  <si>
    <t xml:space="preserve">Game #103 Hint: </t>
  </si>
  <si>
    <t>The correct answer is between 780 and 790.</t>
  </si>
  <si>
    <t>Example6</t>
  </si>
  <si>
    <t>WYBWWWBYW</t>
  </si>
  <si>
    <t>WGWGWGWGW</t>
  </si>
  <si>
    <t>BBWWBWWBB</t>
  </si>
  <si>
    <t>WWBBBBBWW</t>
  </si>
  <si>
    <t>WGGGGGGGW</t>
  </si>
  <si>
    <t>SSWSSSWSS</t>
  </si>
  <si>
    <t>WBBWWWWBW</t>
  </si>
  <si>
    <t>SWGSWGSWG</t>
  </si>
  <si>
    <t>RRWRRRWRR</t>
  </si>
  <si>
    <t>VVYVYVYVV</t>
  </si>
  <si>
    <t>BWWBBBWWB</t>
  </si>
  <si>
    <t>Level 7</t>
  </si>
  <si>
    <t>Hard</t>
  </si>
  <si>
    <t>TRAVELING OR MANUFACTURING</t>
  </si>
  <si>
    <t>Having tried out both, traveling &amp; buying, as well as manufacturing the scarves, you now have to calculate both and choose the cheaper option.</t>
  </si>
  <si>
    <t>For traveling &amp; buying, use the instructions from Level 3 (you do NOT need to return to Vienna after buying). For manufacturing, use the instructions from Level 6.</t>
  </si>
  <si>
    <t>How much will the cheaper option cost?</t>
  </si>
  <si>
    <r>
      <rPr>
        <b/>
        <sz val="12"/>
        <color rgb="FF000000"/>
        <rFont val="Roboto"/>
      </rPr>
      <t>Example7:</t>
    </r>
    <r>
      <rPr>
        <sz val="12"/>
        <color rgb="FF000000"/>
        <rFont val="Roboto"/>
      </rPr>
      <t xml:space="preserve"> </t>
    </r>
  </si>
  <si>
    <t>To manufacture the scarves, you'll need to buy 9 White, 6 Blue, 2 Violet and 10 Red color elements, which will cost 9*2 + 6*4 + 2*20 + 10*12 = 202€</t>
  </si>
  <si>
    <t>The total manufacturing cost will be 202 + 200 + 200 +200 = 802€</t>
  </si>
  <si>
    <t>To purchase the scarves, first you'll need to travel from Vienna to Birmingham with a distance of 1746.42, and then from Birmingham to Edinburgh for a distance of 360.56,</t>
  </si>
  <si>
    <t xml:space="preserve">and finally from Edinburg to Aberdeen for a distance of 223.61. </t>
  </si>
  <si>
    <t>The total distance travelled will be 1746.42 + 360.56 + 223.61 = 2330.59. The scarves themselves costs 15€ each, so the total purchasing costs will be 2330.59 + 15 * 3 = 2375.59€</t>
  </si>
  <si>
    <t>We round the final amount to the nearest integer so the cost to travel to purchase the scarves is 2376€</t>
  </si>
  <si>
    <t>In Example7, it will be cheaper to manufacture the scarves, and it will cost 802€</t>
  </si>
  <si>
    <t xml:space="preserve">Game #121 Hint: </t>
  </si>
  <si>
    <t>The correct answer is between 830 and 850.</t>
  </si>
  <si>
    <t xml:space="preserve">Game #122 Hint: </t>
  </si>
  <si>
    <t>The correct answer is between 580 and 600.</t>
  </si>
  <si>
    <t xml:space="preserve">Game #123 Hint: </t>
  </si>
  <si>
    <t>The correct answer is between 700 and 720.</t>
  </si>
  <si>
    <t>Example7</t>
  </si>
  <si>
    <t>SSSWWWSSS</t>
  </si>
  <si>
    <t>SWSWSWSWS</t>
  </si>
  <si>
    <t>WBWBWBWBW</t>
  </si>
  <si>
    <t>RWRWWWRWR</t>
  </si>
  <si>
    <t>Nr</t>
  </si>
  <si>
    <t>X-Coordinates</t>
  </si>
  <si>
    <t>Y-Coordinates</t>
  </si>
  <si>
    <t>Scarf Code</t>
  </si>
  <si>
    <t>Abbreviation</t>
  </si>
  <si>
    <t>Cost per element</t>
  </si>
  <si>
    <t>G</t>
  </si>
  <si>
    <t>W</t>
  </si>
  <si>
    <t>B</t>
  </si>
  <si>
    <t>V</t>
  </si>
  <si>
    <t>S</t>
  </si>
  <si>
    <t>Munich</t>
  </si>
  <si>
    <t>R</t>
  </si>
  <si>
    <t>Y</t>
  </si>
  <si>
    <t>Frankfurt</t>
  </si>
  <si>
    <t>Freiburg</t>
  </si>
  <si>
    <t>Gladbach</t>
  </si>
  <si>
    <t>Bremen</t>
  </si>
  <si>
    <t>Gelsenkirchen</t>
  </si>
  <si>
    <t>Dusseldorf</t>
  </si>
  <si>
    <t>Hannover</t>
  </si>
  <si>
    <t>Magdeburg</t>
  </si>
  <si>
    <t>Nueremberg</t>
  </si>
  <si>
    <t>Cologne</t>
  </si>
  <si>
    <t>Kaiserslautern</t>
  </si>
  <si>
    <t>Rostock</t>
  </si>
  <si>
    <t>Meuselwitz</t>
  </si>
  <si>
    <t>Braunschweig</t>
  </si>
  <si>
    <t>St. Gallen</t>
  </si>
  <si>
    <t>Basel</t>
  </si>
  <si>
    <t>Bern</t>
  </si>
  <si>
    <t>Luzern</t>
  </si>
  <si>
    <t>Zurich</t>
  </si>
  <si>
    <t>Marseille</t>
  </si>
  <si>
    <t>Lyon</t>
  </si>
  <si>
    <t>Nice</t>
  </si>
  <si>
    <t>SRSRSRSRS</t>
  </si>
  <si>
    <t>St. Etienne</t>
  </si>
  <si>
    <t>Bordeaux</t>
  </si>
  <si>
    <t>Lens</t>
  </si>
  <si>
    <t>Rennes</t>
  </si>
  <si>
    <t>Nantes</t>
  </si>
  <si>
    <t>YGYYGYYGY</t>
  </si>
  <si>
    <t>Barcelona</t>
  </si>
  <si>
    <t>RBRBRBRBR</t>
  </si>
  <si>
    <t>Bilbao</t>
  </si>
  <si>
    <t>Sociedad</t>
  </si>
  <si>
    <t>Valencia</t>
  </si>
  <si>
    <t>YYSSYSSYY</t>
  </si>
  <si>
    <t>Porto</t>
  </si>
  <si>
    <t>Turin</t>
  </si>
  <si>
    <t>Rotterdam</t>
  </si>
  <si>
    <t>RWWWRWWWR</t>
  </si>
  <si>
    <t>Enschede</t>
  </si>
  <si>
    <t>RWRRWRRWR</t>
  </si>
  <si>
    <t>Manchester</t>
  </si>
  <si>
    <t>WRWRWRWRW</t>
  </si>
  <si>
    <t>Gothenborg</t>
  </si>
  <si>
    <t>Genk</t>
  </si>
  <si>
    <t>Innsbruck</t>
  </si>
  <si>
    <t>Salzburg</t>
  </si>
  <si>
    <t>Banja Luka</t>
  </si>
  <si>
    <t>Maribor</t>
  </si>
  <si>
    <t>Helsinki</t>
  </si>
  <si>
    <t>Bratislava</t>
  </si>
  <si>
    <t>Bochum</t>
  </si>
  <si>
    <t>Karlsruhe</t>
  </si>
  <si>
    <t>Furth</t>
  </si>
  <si>
    <t>GGWWGWWGG</t>
  </si>
  <si>
    <t>Mattersburg</t>
  </si>
  <si>
    <t>Zagreb</t>
  </si>
  <si>
    <t>Warsaw</t>
  </si>
  <si>
    <t>Vilnius</t>
  </si>
  <si>
    <t>Riga</t>
  </si>
  <si>
    <t>Tallinn</t>
  </si>
  <si>
    <t>Dresden</t>
  </si>
  <si>
    <t>Aue</t>
  </si>
  <si>
    <t>Zwickau</t>
  </si>
  <si>
    <t>Essen</t>
  </si>
  <si>
    <t>Duisburg</t>
  </si>
  <si>
    <t>BBWBBBWBB</t>
  </si>
  <si>
    <t>Saarbrücken</t>
  </si>
  <si>
    <t>Strasbourg</t>
  </si>
  <si>
    <t>Your Answers</t>
  </si>
  <si>
    <t>ManuPrice</t>
  </si>
  <si>
    <t>BuyPrice</t>
  </si>
  <si>
    <t>Startlocation</t>
  </si>
  <si>
    <t>X</t>
  </si>
  <si>
    <t>Color1</t>
  </si>
  <si>
    <t>Color2</t>
  </si>
  <si>
    <t>Color3</t>
  </si>
  <si>
    <t>Color4</t>
  </si>
  <si>
    <t>Color5</t>
  </si>
  <si>
    <t>Color6</t>
  </si>
  <si>
    <t>Color7</t>
  </si>
  <si>
    <t>Color8</t>
  </si>
  <si>
    <t>Color9</t>
  </si>
  <si>
    <t>Code</t>
  </si>
  <si>
    <t>Count</t>
  </si>
  <si>
    <t>x</t>
  </si>
  <si>
    <t>y</t>
  </si>
  <si>
    <t>Buing</t>
  </si>
  <si>
    <t>Manu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</si>
</sst>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4">
    <font>
      <sz val="11"/>
      <color theme="1"/>
      <name val="Aptos"/>
      <family val="2"/>
    </font>
    <font>
      <b/>
      <sz val="11"/>
      <color theme="1"/>
      <name val="Roboto"/>
    </font>
    <font>
      <sz val="11"/>
      <color theme="1"/>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sz val="11"/>
      <color theme="1"/>
      <name val="Aptos Narrow"/>
      <family val="2"/>
      <scheme val="minor"/>
    </font>
    <font>
      <b/>
      <sz val="14"/>
      <color theme="0"/>
      <name val="Roboto"/>
    </font>
    <font>
      <i/>
      <sz val="10"/>
      <color theme="1"/>
      <name val="Roboto"/>
    </font>
    <font>
      <sz val="11"/>
      <name val="Roboto"/>
    </font>
    <font>
      <b/>
      <sz val="26"/>
      <color theme="0"/>
      <name val="Futura"/>
    </font>
    <font>
      <b/>
      <sz val="26"/>
      <color theme="0"/>
      <name val="Roboto"/>
    </font>
    <font>
      <sz val="20"/>
      <color theme="1"/>
      <name val="Aptos"/>
      <family val="2"/>
    </font>
    <font>
      <b/>
      <sz val="24"/>
      <color theme="0"/>
      <name val="Futura"/>
    </font>
    <font>
      <sz val="12"/>
      <color theme="1"/>
      <name val="Roboto"/>
    </font>
    <font>
      <sz val="18"/>
      <color theme="1"/>
      <name val="Roboto"/>
    </font>
    <font>
      <b/>
      <sz val="18"/>
      <color theme="0"/>
      <name val="Futura"/>
    </font>
    <font>
      <b/>
      <sz val="20"/>
      <color theme="0"/>
      <name val="Futura"/>
    </font>
    <font>
      <b/>
      <sz val="12"/>
      <name val="Roboto"/>
    </font>
    <font>
      <b/>
      <sz val="12"/>
      <color theme="0"/>
      <name val="Roboto"/>
    </font>
    <font>
      <i/>
      <sz val="14"/>
      <color theme="1"/>
      <name val="Roboto"/>
    </font>
    <font>
      <b/>
      <sz val="16"/>
      <color theme="1"/>
      <name val="Roboto"/>
    </font>
    <font>
      <b/>
      <sz val="11"/>
      <color theme="0"/>
      <name val="Roboto"/>
    </font>
    <font>
      <b/>
      <sz val="12"/>
      <color theme="1"/>
      <name val="Roboto"/>
    </font>
    <font>
      <b/>
      <sz val="12"/>
      <color rgb="FF000000"/>
      <name val="Roboto"/>
    </font>
    <font>
      <sz val="12"/>
      <color rgb="FF000000"/>
      <name val="Roboto"/>
    </font>
    <font>
      <i/>
      <sz val="12"/>
      <color theme="1"/>
      <name val="Roboto"/>
    </font>
    <font>
      <sz val="12"/>
      <name val="Roboto"/>
    </font>
    <font>
      <sz val="12"/>
      <color theme="0"/>
      <name val="Roboto"/>
    </font>
    <font>
      <u/>
      <sz val="12"/>
      <color theme="1"/>
      <name val="Roboto"/>
    </font>
    <font>
      <i/>
      <u/>
      <sz val="12"/>
      <color theme="1"/>
      <name val="Roboto"/>
    </font>
    <font>
      <sz val="12"/>
      <color rgb="FFFFFFFF"/>
      <name val="Arial"/>
      <family val="2"/>
      <charset val="238"/>
    </font>
    <font>
      <sz val="8"/>
      <name val="Aptos"/>
      <family val="2"/>
    </font>
  </fonts>
  <fills count="20">
    <fill>
      <patternFill patternType="none"/>
    </fill>
    <fill>
      <patternFill patternType="gray125"/>
    </fill>
    <fill>
      <patternFill patternType="solid">
        <fgColor theme="0"/>
        <bgColor indexed="64"/>
      </patternFill>
    </fill>
    <fill>
      <patternFill patternType="solid">
        <fgColor rgb="FF006837"/>
        <bgColor indexed="64"/>
      </patternFill>
    </fill>
    <fill>
      <patternFill patternType="solid">
        <fgColor rgb="FFFFFF00"/>
        <bgColor indexed="64"/>
      </patternFill>
    </fill>
    <fill>
      <patternFill patternType="solid">
        <fgColor rgb="FF7030A0"/>
        <bgColor indexed="64"/>
      </patternFill>
    </fill>
    <fill>
      <patternFill patternType="solid">
        <fgColor rgb="FFC00000"/>
        <bgColor indexed="64"/>
      </patternFill>
    </fill>
    <fill>
      <patternFill patternType="solid">
        <fgColor rgb="FF0070C0"/>
        <bgColor indexed="64"/>
      </patternFill>
    </fill>
    <fill>
      <patternFill patternType="solid">
        <fgColor rgb="FFE7E6E6"/>
        <bgColor indexed="64"/>
      </patternFill>
    </fill>
    <fill>
      <patternFill patternType="solid">
        <fgColor rgb="FF262626"/>
        <bgColor indexed="64"/>
      </patternFill>
    </fill>
    <fill>
      <patternFill patternType="solid">
        <fgColor rgb="FF00B050"/>
        <bgColor indexed="64"/>
      </patternFill>
    </fill>
    <fill>
      <patternFill patternType="solid">
        <fgColor rgb="FF001838"/>
        <bgColor indexed="64"/>
      </patternFill>
    </fill>
    <fill>
      <patternFill patternType="solid">
        <fgColor rgb="FFED203F"/>
        <bgColor indexed="64"/>
      </patternFill>
    </fill>
    <fill>
      <patternFill patternType="solid">
        <fgColor rgb="FFBC1F36"/>
        <bgColor indexed="64"/>
      </patternFill>
    </fill>
    <fill>
      <patternFill patternType="solid">
        <fgColor theme="9" tint="0.599963377788628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6C6CD"/>
        <bgColor indexed="64"/>
      </patternFill>
    </fill>
    <fill>
      <patternFill patternType="solid">
        <fgColor rgb="FF9E1B32"/>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bottom style="thin">
        <color theme="0"/>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thin">
        <color auto="1"/>
      </right>
      <top style="medium">
        <color indexed="64"/>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thin">
        <color theme="0" tint="-0.499984740745262"/>
      </left>
      <right style="thin">
        <color theme="0" tint="-0.499984740745262"/>
      </right>
      <top/>
      <bottom/>
      <diagonal/>
    </border>
  </borders>
  <cellStyleXfs count="4">
    <xf numFmtId="0" fontId="0" fillId="0" borderId="0"/>
    <xf numFmtId="0" fontId="7" fillId="0" borderId="0"/>
    <xf numFmtId="0" fontId="13" fillId="0" borderId="0"/>
    <xf numFmtId="0" fontId="7" fillId="0" borderId="0"/>
  </cellStyleXfs>
  <cellXfs count="96">
    <xf numFmtId="0" fontId="0" fillId="0" borderId="0" xfId="0"/>
    <xf numFmtId="0" fontId="2" fillId="2" borderId="0" xfId="1" applyFont="1" applyFill="1"/>
    <xf numFmtId="0" fontId="4" fillId="0" borderId="4" xfId="1" applyFont="1" applyBorder="1" applyAlignment="1">
      <alignment horizontal="center" vertical="center" wrapText="1"/>
    </xf>
    <xf numFmtId="0" fontId="4" fillId="0" borderId="4" xfId="1" applyFont="1" applyBorder="1" applyAlignment="1">
      <alignment horizontal="center" vertical="center"/>
    </xf>
    <xf numFmtId="0" fontId="6" fillId="3" borderId="3"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5" xfId="0" applyFont="1" applyFill="1" applyBorder="1" applyAlignment="1">
      <alignment horizontal="center" vertical="center" wrapText="1"/>
    </xf>
    <xf numFmtId="0" fontId="6" fillId="3" borderId="5" xfId="1" applyFont="1" applyFill="1" applyBorder="1" applyAlignment="1">
      <alignment horizontal="center" vertical="center"/>
    </xf>
    <xf numFmtId="0" fontId="0" fillId="0" borderId="0" xfId="0" applyAlignment="1">
      <alignment vertical="center"/>
    </xf>
    <xf numFmtId="0" fontId="2" fillId="0" borderId="0" xfId="0" applyFont="1" applyAlignment="1">
      <alignment vertical="center"/>
    </xf>
    <xf numFmtId="0" fontId="2" fillId="0" borderId="0" xfId="0" applyFont="1"/>
    <xf numFmtId="0" fontId="2" fillId="0" borderId="0" xfId="0" applyFont="1" applyAlignment="1">
      <alignment vertical="top" wrapText="1"/>
    </xf>
    <xf numFmtId="0" fontId="4" fillId="0" borderId="2" xfId="0" applyFont="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1" fillId="0" borderId="0" xfId="0" applyFont="1" applyAlignment="1">
      <alignment vertical="center"/>
    </xf>
    <xf numFmtId="0" fontId="5" fillId="0" borderId="4" xfId="1" applyFont="1" applyBorder="1" applyAlignment="1">
      <alignment horizontal="center" vertical="center"/>
    </xf>
    <xf numFmtId="0" fontId="2" fillId="0" borderId="0" xfId="1" applyFont="1"/>
    <xf numFmtId="0" fontId="8" fillId="0" borderId="0" xfId="0" applyFont="1" applyAlignment="1">
      <alignment horizontal="center" vertical="center"/>
    </xf>
    <xf numFmtId="0" fontId="9" fillId="0" borderId="0" xfId="0" applyFont="1" applyAlignment="1">
      <alignment horizontal="center" vertical="center"/>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24" xfId="0" applyFont="1" applyBorder="1" applyAlignment="1">
      <alignment horizontal="left" vertical="top"/>
    </xf>
    <xf numFmtId="0" fontId="2" fillId="0" borderId="11" xfId="0" applyFont="1" applyBorder="1" applyAlignment="1">
      <alignment horizontal="left" vertical="top"/>
    </xf>
    <xf numFmtId="0" fontId="2" fillId="0" borderId="0" xfId="0" applyFont="1" applyAlignment="1">
      <alignment horizontal="left" vertical="top"/>
    </xf>
    <xf numFmtId="0" fontId="2" fillId="0" borderId="12" xfId="0" applyFont="1" applyBorder="1" applyAlignment="1">
      <alignment horizontal="left" vertical="top"/>
    </xf>
    <xf numFmtId="0" fontId="2" fillId="0" borderId="13" xfId="0" applyFont="1" applyBorder="1" applyAlignment="1">
      <alignment horizontal="left" vertical="top"/>
    </xf>
    <xf numFmtId="0" fontId="2" fillId="0" borderId="14" xfId="0" applyFont="1" applyBorder="1" applyAlignment="1">
      <alignment horizontal="left" vertical="top"/>
    </xf>
    <xf numFmtId="0" fontId="2" fillId="0" borderId="15" xfId="0" applyFont="1" applyBorder="1" applyAlignment="1">
      <alignment horizontal="left" vertical="top"/>
    </xf>
    <xf numFmtId="0" fontId="11" fillId="11" borderId="22" xfId="0" applyFont="1" applyFill="1" applyBorder="1" applyAlignment="1">
      <alignment horizontal="centerContinuous" vertical="center"/>
    </xf>
    <xf numFmtId="0" fontId="12" fillId="11" borderId="22" xfId="0" applyFont="1" applyFill="1" applyBorder="1" applyAlignment="1">
      <alignment horizontal="centerContinuous" vertical="center"/>
    </xf>
    <xf numFmtId="0" fontId="14" fillId="12" borderId="0" xfId="2" applyFont="1" applyFill="1" applyAlignment="1">
      <alignment horizontal="centerContinuous" vertical="center"/>
    </xf>
    <xf numFmtId="0" fontId="14" fillId="12" borderId="0" xfId="2" applyFont="1" applyFill="1" applyAlignment="1">
      <alignment horizontal="centerContinuous" vertical="center" wrapText="1"/>
    </xf>
    <xf numFmtId="0" fontId="15" fillId="0" borderId="0" xfId="0" applyFont="1"/>
    <xf numFmtId="3" fontId="15" fillId="0" borderId="0" xfId="0" applyNumberFormat="1" applyFont="1"/>
    <xf numFmtId="0" fontId="6" fillId="13" borderId="22" xfId="0" applyFont="1" applyFill="1" applyBorder="1" applyAlignment="1">
      <alignment horizontal="centerContinuous" vertical="center"/>
    </xf>
    <xf numFmtId="0" fontId="16" fillId="0" borderId="22" xfId="0" applyFont="1" applyBorder="1" applyAlignment="1">
      <alignment horizontal="centerContinuous"/>
    </xf>
    <xf numFmtId="0" fontId="17" fillId="13" borderId="22" xfId="0" applyFont="1" applyFill="1" applyBorder="1" applyAlignment="1">
      <alignment horizontal="centerContinuous" vertical="center"/>
    </xf>
    <xf numFmtId="0" fontId="18" fillId="13" borderId="23" xfId="0" applyFont="1" applyFill="1" applyBorder="1" applyAlignment="1">
      <alignment horizontal="centerContinuous" vertical="center"/>
    </xf>
    <xf numFmtId="0" fontId="6" fillId="13" borderId="23" xfId="0" applyFont="1" applyFill="1" applyBorder="1" applyAlignment="1">
      <alignment horizontal="centerContinuous" vertical="center"/>
    </xf>
    <xf numFmtId="0" fontId="18" fillId="11" borderId="22" xfId="0" applyFont="1" applyFill="1" applyBorder="1" applyAlignment="1">
      <alignment horizontal="centerContinuous" vertical="center"/>
    </xf>
    <xf numFmtId="0" fontId="6" fillId="11" borderId="22" xfId="0" applyFont="1" applyFill="1" applyBorder="1" applyAlignment="1">
      <alignment horizontal="centerContinuous" vertical="center"/>
    </xf>
    <xf numFmtId="0" fontId="19" fillId="0" borderId="0" xfId="0" applyFont="1" applyAlignment="1">
      <alignment horizontal="left" vertical="top"/>
    </xf>
    <xf numFmtId="0" fontId="2" fillId="0" borderId="0" xfId="0" applyFont="1" applyAlignment="1">
      <alignment horizontal="left" vertical="center" wrapText="1"/>
    </xf>
    <xf numFmtId="0" fontId="20" fillId="13" borderId="1" xfId="0" applyFont="1" applyFill="1" applyBorder="1" applyAlignment="1">
      <alignment horizontal="center" vertical="center"/>
    </xf>
    <xf numFmtId="0" fontId="20" fillId="13" borderId="1" xfId="0" applyFont="1" applyFill="1" applyBorder="1" applyAlignment="1">
      <alignment horizontal="center" vertical="center" wrapText="1"/>
    </xf>
    <xf numFmtId="0" fontId="20" fillId="13" borderId="6" xfId="0" applyFont="1" applyFill="1" applyBorder="1" applyAlignment="1">
      <alignment horizontal="centerContinuous" vertical="center"/>
    </xf>
    <xf numFmtId="0" fontId="20" fillId="13" borderId="7" xfId="0" applyFont="1" applyFill="1" applyBorder="1" applyAlignment="1">
      <alignment horizontal="centerContinuous" vertical="center"/>
    </xf>
    <xf numFmtId="0" fontId="20" fillId="13" borderId="8" xfId="0" applyFont="1" applyFill="1" applyBorder="1" applyAlignment="1">
      <alignment horizontal="center" vertical="center"/>
    </xf>
    <xf numFmtId="0" fontId="8" fillId="12" borderId="1" xfId="0" applyFont="1" applyFill="1" applyBorder="1" applyAlignment="1">
      <alignment horizontal="center" vertical="center"/>
    </xf>
    <xf numFmtId="0" fontId="21" fillId="14" borderId="1" xfId="0" applyFont="1" applyFill="1" applyBorder="1" applyAlignment="1">
      <alignment horizontal="center" vertical="center"/>
    </xf>
    <xf numFmtId="3" fontId="20" fillId="13" borderId="1" xfId="0" applyNumberFormat="1" applyFont="1" applyFill="1" applyBorder="1" applyAlignment="1">
      <alignment horizontal="center" vertical="center"/>
    </xf>
    <xf numFmtId="0" fontId="9" fillId="15" borderId="1" xfId="0" applyFont="1" applyFill="1" applyBorder="1" applyAlignment="1">
      <alignment horizontal="center" vertical="center"/>
    </xf>
    <xf numFmtId="0" fontId="9" fillId="16" borderId="1" xfId="0" applyFont="1" applyFill="1" applyBorder="1" applyAlignment="1">
      <alignment horizontal="center" vertical="center"/>
    </xf>
    <xf numFmtId="0" fontId="21" fillId="17" borderId="1" xfId="0" applyFont="1" applyFill="1" applyBorder="1" applyAlignment="1">
      <alignment horizontal="center" vertical="center"/>
    </xf>
    <xf numFmtId="0" fontId="21" fillId="18" borderId="1" xfId="0" applyFont="1" applyFill="1" applyBorder="1" applyAlignment="1">
      <alignment horizontal="center" vertical="center"/>
    </xf>
    <xf numFmtId="0" fontId="4" fillId="0" borderId="20" xfId="0" quotePrefix="1" applyFont="1" applyBorder="1" applyAlignment="1">
      <alignment vertical="center" wrapText="1"/>
    </xf>
    <xf numFmtId="0" fontId="4" fillId="0" borderId="21" xfId="0" quotePrefix="1" applyFont="1" applyBorder="1" applyAlignment="1">
      <alignment vertical="center" wrapText="1"/>
    </xf>
    <xf numFmtId="0" fontId="4" fillId="0" borderId="19" xfId="0" quotePrefix="1" applyFont="1" applyBorder="1" applyAlignment="1">
      <alignment vertical="center"/>
    </xf>
    <xf numFmtId="0" fontId="4" fillId="0" borderId="16" xfId="0" quotePrefix="1" applyFont="1" applyBorder="1" applyAlignment="1">
      <alignment vertical="center"/>
    </xf>
    <xf numFmtId="0" fontId="4" fillId="0" borderId="17" xfId="0" quotePrefix="1" applyFont="1" applyBorder="1" applyAlignment="1">
      <alignment vertical="center"/>
    </xf>
    <xf numFmtId="0" fontId="4" fillId="0" borderId="18" xfId="0" quotePrefix="1" applyFont="1" applyBorder="1" applyAlignment="1">
      <alignment vertical="center"/>
    </xf>
    <xf numFmtId="0" fontId="22" fillId="2" borderId="0" xfId="1" applyFont="1" applyFill="1"/>
    <xf numFmtId="3" fontId="2" fillId="2" borderId="0" xfId="1" applyNumberFormat="1" applyFont="1" applyFill="1"/>
    <xf numFmtId="0" fontId="2" fillId="2" borderId="0" xfId="1" applyFont="1" applyFill="1" applyAlignment="1">
      <alignment vertical="top" wrapText="1"/>
    </xf>
    <xf numFmtId="0" fontId="10" fillId="2" borderId="0" xfId="1" applyFont="1" applyFill="1" applyAlignment="1">
      <alignment vertical="top" wrapText="1"/>
    </xf>
    <xf numFmtId="0" fontId="10" fillId="2" borderId="0" xfId="1" applyFont="1" applyFill="1"/>
    <xf numFmtId="0" fontId="23" fillId="19" borderId="1" xfId="1" applyFont="1" applyFill="1" applyBorder="1" applyAlignment="1">
      <alignment horizontal="center" vertical="center"/>
    </xf>
    <xf numFmtId="3" fontId="23" fillId="19" borderId="1" xfId="1" applyNumberFormat="1" applyFont="1" applyFill="1" applyBorder="1" applyAlignment="1">
      <alignment horizontal="center" vertical="center"/>
    </xf>
    <xf numFmtId="0" fontId="3" fillId="2" borderId="2" xfId="1" applyFont="1" applyFill="1" applyBorder="1" applyAlignment="1">
      <alignment horizontal="center" vertical="center" wrapText="1"/>
    </xf>
    <xf numFmtId="1" fontId="6" fillId="3" borderId="3" xfId="1" applyNumberFormat="1" applyFont="1" applyFill="1" applyBorder="1" applyAlignment="1">
      <alignment horizontal="center" vertical="center"/>
    </xf>
    <xf numFmtId="0" fontId="5" fillId="0" borderId="2" xfId="2" applyFont="1" applyBorder="1" applyAlignment="1">
      <alignment horizontal="center" vertical="center"/>
    </xf>
    <xf numFmtId="0" fontId="3" fillId="2" borderId="4" xfId="1" applyFont="1" applyFill="1" applyBorder="1" applyAlignment="1">
      <alignment horizontal="center" vertical="center" wrapText="1"/>
    </xf>
    <xf numFmtId="0" fontId="5" fillId="0" borderId="4" xfId="2" applyFont="1" applyBorder="1" applyAlignment="1">
      <alignment horizontal="center" vertical="center"/>
    </xf>
    <xf numFmtId="0" fontId="2" fillId="2" borderId="0" xfId="1" applyFont="1" applyFill="1" applyAlignment="1">
      <alignment horizontal="center"/>
    </xf>
    <xf numFmtId="3" fontId="2" fillId="2" borderId="0" xfId="1" applyNumberFormat="1" applyFont="1" applyFill="1" applyAlignment="1">
      <alignment horizontal="center"/>
    </xf>
    <xf numFmtId="0" fontId="24" fillId="0" borderId="0" xfId="0" applyFont="1" applyAlignment="1">
      <alignment vertical="center"/>
    </xf>
    <xf numFmtId="0" fontId="15" fillId="0" borderId="0" xfId="0" applyFont="1" applyAlignment="1">
      <alignment vertical="center"/>
    </xf>
    <xf numFmtId="0" fontId="26" fillId="0" borderId="0" xfId="0" applyFont="1" applyAlignment="1">
      <alignment vertical="center"/>
    </xf>
    <xf numFmtId="0" fontId="15" fillId="0" borderId="0" xfId="0" applyFont="1" applyAlignment="1">
      <alignment horizontal="right" vertical="center"/>
    </xf>
    <xf numFmtId="0" fontId="4" fillId="0" borderId="4" xfId="0" applyFont="1" applyBorder="1" applyAlignment="1">
      <alignment horizontal="center" vertical="center" wrapText="1"/>
    </xf>
    <xf numFmtId="0" fontId="28" fillId="10" borderId="2" xfId="0" applyFont="1" applyFill="1" applyBorder="1" applyAlignment="1">
      <alignment horizontal="center" vertical="center" wrapText="1"/>
    </xf>
    <xf numFmtId="0" fontId="28" fillId="8" borderId="2" xfId="0" applyFont="1" applyFill="1" applyBorder="1" applyAlignment="1">
      <alignment horizontal="center" vertical="center" wrapText="1"/>
    </xf>
    <xf numFmtId="0" fontId="28" fillId="5" borderId="2" xfId="0" applyFont="1" applyFill="1" applyBorder="1" applyAlignment="1">
      <alignment horizontal="center" vertical="center" wrapText="1"/>
    </xf>
    <xf numFmtId="0" fontId="29" fillId="9" borderId="2" xfId="0" applyFont="1" applyFill="1" applyBorder="1" applyAlignment="1">
      <alignment horizontal="center" vertical="center" wrapText="1"/>
    </xf>
    <xf numFmtId="0" fontId="28" fillId="7" borderId="2" xfId="0" applyFont="1" applyFill="1" applyBorder="1" applyAlignment="1">
      <alignment horizontal="center" vertical="center" wrapText="1"/>
    </xf>
    <xf numFmtId="0" fontId="28" fillId="6" borderId="2" xfId="0" applyFont="1" applyFill="1" applyBorder="1" applyAlignment="1">
      <alignment horizontal="center" vertical="center" wrapText="1"/>
    </xf>
    <xf numFmtId="0" fontId="28" fillId="4" borderId="2" xfId="0" applyFont="1" applyFill="1" applyBorder="1" applyAlignment="1">
      <alignment horizontal="center" vertical="center" wrapText="1"/>
    </xf>
    <xf numFmtId="0" fontId="30" fillId="0" borderId="0" xfId="0" applyFont="1" applyAlignment="1">
      <alignment vertical="center"/>
    </xf>
    <xf numFmtId="0" fontId="27" fillId="0" borderId="0" xfId="0" applyFont="1" applyAlignment="1">
      <alignment vertical="center"/>
    </xf>
    <xf numFmtId="0" fontId="32" fillId="0" borderId="0" xfId="0" applyFont="1"/>
    <xf numFmtId="0" fontId="20" fillId="13" borderId="0" xfId="0" applyFont="1" applyFill="1" applyBorder="1" applyAlignment="1">
      <alignment horizontal="center" vertical="center"/>
    </xf>
    <xf numFmtId="0" fontId="4" fillId="0" borderId="0" xfId="0" applyFont="1" applyBorder="1" applyAlignment="1">
      <alignment horizontal="center" vertical="center" wrapText="1"/>
    </xf>
    <xf numFmtId="0" fontId="0" fillId="0" borderId="0" xfId="0" applyAlignment="1">
      <alignment horizontal="center" vertical="center"/>
    </xf>
    <xf numFmtId="0" fontId="20" fillId="13" borderId="25" xfId="0" applyFont="1" applyFill="1" applyBorder="1" applyAlignment="1">
      <alignment horizontal="center" vertical="center"/>
    </xf>
    <xf numFmtId="0" fontId="4" fillId="0" borderId="26" xfId="0" applyFont="1" applyBorder="1" applyAlignment="1">
      <alignment horizontal="center" vertical="center" wrapText="1"/>
    </xf>
  </cellXfs>
  <cellStyles count="4">
    <cellStyle name="Normal 2" xfId="2" xr:uid="{2ED19430-C931-4BCE-BDB9-718EA4E4EC43}"/>
    <cellStyle name="Normal 3" xfId="1" xr:uid="{4C1DACFA-4C0B-48DE-B36E-BDFE55D80A53}"/>
    <cellStyle name="Normal 3 2" xfId="3" xr:uid="{69342ECC-6739-4529-9216-7B364BF9B01A}"/>
    <cellStyle name="Normalny" xfId="0" builtinId="0"/>
  </cellStyles>
  <dxfs count="18">
    <dxf>
      <font>
        <b/>
        <i val="0"/>
        <strike val="0"/>
        <condense val="0"/>
        <extend val="0"/>
        <outline val="0"/>
        <shadow val="0"/>
        <u val="none"/>
        <vertAlign val="baseline"/>
        <sz val="12"/>
        <color theme="0"/>
        <name val="Roboto"/>
        <scheme val="none"/>
      </font>
      <fill>
        <patternFill patternType="solid">
          <fgColor indexed="64"/>
          <bgColor rgb="FFBC1F36"/>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border outline="0">
        <bottom style="medium">
          <color indexed="64"/>
        </bottom>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2"/>
        <color theme="7" tint="-0.499984740745262"/>
        <name val="Roboto"/>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auto="1"/>
        <name val="Roboto"/>
        <scheme val="none"/>
      </font>
      <fill>
        <patternFill patternType="solid">
          <fgColor indexed="64"/>
          <bgColor rgb="FF0070C0"/>
        </patternFill>
      </fill>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auto="1"/>
        <name val="Roboto"/>
        <scheme val="none"/>
      </font>
      <fill>
        <patternFill patternType="solid">
          <fgColor indexed="64"/>
          <bgColor rgb="FF0070C0"/>
        </patternFill>
      </fill>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auto="1"/>
        <name val="Roboto"/>
        <scheme val="none"/>
      </font>
      <fill>
        <patternFill patternType="solid">
          <fgColor indexed="64"/>
          <bgColor rgb="FF0070C0"/>
        </patternFill>
      </fill>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auto="1"/>
        <name val="Roboto"/>
        <scheme val="none"/>
      </font>
      <fill>
        <patternFill patternType="solid">
          <fgColor indexed="64"/>
          <bgColor rgb="FF0070C0"/>
        </patternFill>
      </fill>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bottom style="thin">
          <color theme="0" tint="-0.499984740745262"/>
        </bottom>
        <vertical/>
        <horizontal/>
      </border>
    </dxf>
  </dxfs>
  <tableStyles count="1" defaultTableStyle="TableStyleMedium2" defaultPivotStyle="PivotStyleLight16">
    <tableStyle name="Invisible" pivot="0" table="0" count="0" xr9:uid="{AF7DD5AB-0D4D-4C73-841D-91C69008DD91}"/>
  </tableStyles>
  <colors>
    <mruColors>
      <color rgb="FFFFFF00"/>
      <color rgb="FF7030A0"/>
      <color rgb="FFC00000"/>
      <color rgb="FF00B050"/>
      <color rgb="FF262626"/>
      <color rgb="FFE7E6E6"/>
      <color rgb="FF0070C0"/>
      <color rgb="FF020024"/>
      <color rgb="FF007B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14</xdr:row>
      <xdr:rowOff>6408</xdr:rowOff>
    </xdr:from>
    <xdr:to>
      <xdr:col>13</xdr:col>
      <xdr:colOff>955745</xdr:colOff>
      <xdr:row>24</xdr:row>
      <xdr:rowOff>26456</xdr:rowOff>
    </xdr:to>
    <xdr:sp macro="" textlink="">
      <xdr:nvSpPr>
        <xdr:cNvPr id="2" name="TextBox 1">
          <a:extLst>
            <a:ext uri="{FF2B5EF4-FFF2-40B4-BE49-F238E27FC236}">
              <a16:creationId xmlns:a16="http://schemas.microsoft.com/office/drawing/2014/main" id="{41DAC7FF-4AC0-42E8-BA55-0CC091312254}"/>
            </a:ext>
          </a:extLst>
        </xdr:cNvPr>
        <xdr:cNvSpPr txBox="1"/>
      </xdr:nvSpPr>
      <xdr:spPr>
        <a:xfrm>
          <a:off x="195943" y="5013837"/>
          <a:ext cx="16914202" cy="317690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Roboto" panose="02000000000000000000" pitchFamily="2" charset="0"/>
              <a:ea typeface="Roboto" panose="02000000000000000000" pitchFamily="2" charset="0"/>
              <a:cs typeface="Roboto" panose="02000000000000000000" pitchFamily="2" charset="0"/>
            </a:rPr>
            <a:t>You are a big Football fan (as in European terms) and want to collect as many scarves of football teams as possible. In order to get those scarves, you either must travel to those cities and buy them (L1-L3) or manufacture them on your own (L4-L6). In Level 7, you can either manufacture or buy the scarves, and you have to decide what's the cheapest way to obtain them.</a:t>
          </a:r>
        </a:p>
        <a:p>
          <a:endParaRPr lang="en-US" sz="1200">
            <a:latin typeface="Roboto" panose="02000000000000000000" pitchFamily="2" charset="0"/>
            <a:ea typeface="Roboto" panose="02000000000000000000" pitchFamily="2" charset="0"/>
            <a:cs typeface="Roboto" panose="02000000000000000000" pitchFamily="2" charset="0"/>
          </a:endParaRPr>
        </a:p>
        <a:p>
          <a:r>
            <a:rPr lang="en-US" sz="1200" b="1">
              <a:latin typeface="Roboto" panose="02000000000000000000" pitchFamily="2" charset="0"/>
              <a:ea typeface="Roboto" panose="02000000000000000000" pitchFamily="2" charset="0"/>
              <a:cs typeface="Roboto" panose="02000000000000000000" pitchFamily="2" charset="0"/>
            </a:rPr>
            <a:t>Note that the levels are not in the order of difficulty. For example, If you get stuck on Level 3, you might want to move ahead to Level 4 (an easier</a:t>
          </a:r>
          <a:r>
            <a:rPr lang="en-US" sz="1200" b="1" baseline="0">
              <a:latin typeface="Roboto" panose="02000000000000000000" pitchFamily="2" charset="0"/>
              <a:ea typeface="Roboto" panose="02000000000000000000" pitchFamily="2" charset="0"/>
              <a:cs typeface="Roboto" panose="02000000000000000000" pitchFamily="2" charset="0"/>
            </a:rPr>
            <a:t> level)</a:t>
          </a:r>
          <a:r>
            <a:rPr lang="en-US" sz="1200" b="1">
              <a:latin typeface="Roboto" panose="02000000000000000000" pitchFamily="2" charset="0"/>
              <a:ea typeface="Roboto" panose="02000000000000000000" pitchFamily="2" charset="0"/>
              <a:cs typeface="Roboto" panose="02000000000000000000" pitchFamily="2" charset="0"/>
            </a:rPr>
            <a:t>.</a:t>
          </a:r>
        </a:p>
        <a:p>
          <a:endParaRPr lang="en-US" sz="1200">
            <a:latin typeface="Roboto" panose="02000000000000000000" pitchFamily="2" charset="0"/>
            <a:ea typeface="Roboto" panose="02000000000000000000" pitchFamily="2" charset="0"/>
            <a:cs typeface="Roboto" panose="02000000000000000000" pitchFamily="2" charset="0"/>
          </a:endParaRPr>
        </a:p>
        <a:p>
          <a:r>
            <a:rPr lang="en-US" sz="1200" b="1">
              <a:latin typeface="Roboto" panose="02000000000000000000" pitchFamily="2" charset="0"/>
              <a:ea typeface="Roboto" panose="02000000000000000000" pitchFamily="2" charset="0"/>
              <a:cs typeface="Roboto" panose="02000000000000000000" pitchFamily="2" charset="0"/>
            </a:rPr>
            <a:t>Scarf data</a:t>
          </a:r>
        </a:p>
        <a:p>
          <a:r>
            <a:rPr lang="en-US" sz="1200">
              <a:latin typeface="Roboto" panose="02000000000000000000" pitchFamily="2" charset="0"/>
              <a:ea typeface="Roboto" panose="02000000000000000000" pitchFamily="2" charset="0"/>
              <a:cs typeface="Roboto" panose="02000000000000000000" pitchFamily="2" charset="0"/>
            </a:rPr>
            <a:t>All 100 unique scarves are displayed in the Scarves worksheet. The data includes the city where you can get them, the city's coordinates, and the 9 color elements that make up each scarf.</a:t>
          </a:r>
        </a:p>
        <a:p>
          <a:endParaRPr lang="en-US" sz="1200">
            <a:latin typeface="Roboto" panose="02000000000000000000" pitchFamily="2" charset="0"/>
            <a:ea typeface="Roboto" panose="02000000000000000000" pitchFamily="2" charset="0"/>
            <a:cs typeface="Roboto" panose="02000000000000000000" pitchFamily="2" charset="0"/>
          </a:endParaRPr>
        </a:p>
        <a:p>
          <a:r>
            <a:rPr lang="en-US" sz="1200" b="1">
              <a:latin typeface="Roboto" panose="02000000000000000000" pitchFamily="2" charset="0"/>
              <a:ea typeface="Roboto" panose="02000000000000000000" pitchFamily="2" charset="0"/>
              <a:cs typeface="Roboto" panose="02000000000000000000" pitchFamily="2" charset="0"/>
            </a:rPr>
            <a:t>Traveling</a:t>
          </a:r>
        </a:p>
        <a:p>
          <a:r>
            <a:rPr lang="en-US" sz="1200">
              <a:latin typeface="Roboto" panose="02000000000000000000" pitchFamily="2" charset="0"/>
              <a:ea typeface="Roboto" panose="02000000000000000000" pitchFamily="2" charset="0"/>
              <a:cs typeface="Roboto" panose="02000000000000000000" pitchFamily="2" charset="0"/>
            </a:rPr>
            <a:t>If you want to buy a scarf, you first must travel to the given city. No map is provided in this case, but you have been given coordinates for each city on the X and Y axes </a:t>
          </a:r>
          <a:r>
            <a:rPr lang="en-US" sz="1200" b="0" i="0">
              <a:solidFill>
                <a:schemeClr val="dk1"/>
              </a:solidFill>
              <a:effectLst/>
              <a:latin typeface="Roboto" panose="02000000000000000000" pitchFamily="2" charset="0"/>
              <a:ea typeface="Roboto" panose="02000000000000000000" pitchFamily="2" charset="0"/>
              <a:cs typeface="Roboto" panose="02000000000000000000" pitchFamily="2" charset="0"/>
            </a:rPr>
            <a:t>in the Scarves worksheet</a:t>
          </a:r>
          <a:r>
            <a:rPr lang="en-US" sz="1200">
              <a:latin typeface="Roboto" panose="02000000000000000000" pitchFamily="2" charset="0"/>
              <a:ea typeface="Roboto" panose="02000000000000000000" pitchFamily="2" charset="0"/>
              <a:cs typeface="Roboto" panose="02000000000000000000" pitchFamily="2" charset="0"/>
            </a:rPr>
            <a:t>.</a:t>
          </a:r>
        </a:p>
        <a:p>
          <a:r>
            <a:rPr lang="en-US" sz="1200">
              <a:latin typeface="Roboto" panose="02000000000000000000" pitchFamily="2" charset="0"/>
              <a:ea typeface="Roboto" panose="02000000000000000000" pitchFamily="2" charset="0"/>
              <a:cs typeface="Roboto" panose="02000000000000000000" pitchFamily="2" charset="0"/>
            </a:rPr>
            <a:t>You always start in Vienna (with coordinates X=48, Y=27), and each km of travel costs 1€.</a:t>
          </a:r>
        </a:p>
        <a:p>
          <a:r>
            <a:rPr lang="en-US" sz="1200">
              <a:latin typeface="Roboto" panose="02000000000000000000" pitchFamily="2" charset="0"/>
              <a:ea typeface="Roboto" panose="02000000000000000000" pitchFamily="2" charset="0"/>
              <a:cs typeface="Roboto" panose="02000000000000000000" pitchFamily="2" charset="0"/>
            </a:rPr>
            <a:t>The distance you travel in km is equal to: 100 * square root of (difference on the x-axis^2 + difference on the y-axis^2)</a:t>
          </a:r>
        </a:p>
        <a:p>
          <a:r>
            <a:rPr lang="en-US" sz="1200">
              <a:latin typeface="Roboto" panose="02000000000000000000" pitchFamily="2" charset="0"/>
              <a:ea typeface="Roboto" panose="02000000000000000000" pitchFamily="2" charset="0"/>
              <a:cs typeface="Roboto" panose="02000000000000000000" pitchFamily="2" charset="0"/>
            </a:rPr>
            <a:t>When traveling to purchase a scarf, keep in mind that each scarf costs 15€ at a store.</a:t>
          </a:r>
        </a:p>
        <a:p>
          <a:endParaRPr lang="en-US" sz="1200">
            <a:latin typeface="Roboto" panose="02000000000000000000" pitchFamily="2" charset="0"/>
            <a:ea typeface="Roboto" panose="02000000000000000000" pitchFamily="2" charset="0"/>
            <a:cs typeface="Roboto" panose="02000000000000000000" pitchFamily="2" charset="0"/>
          </a:endParaRPr>
        </a:p>
        <a:p>
          <a:r>
            <a:rPr lang="en-US" sz="1200" b="1">
              <a:latin typeface="Roboto" panose="02000000000000000000" pitchFamily="2" charset="0"/>
              <a:ea typeface="Roboto" panose="02000000000000000000" pitchFamily="2" charset="0"/>
              <a:cs typeface="Roboto" panose="02000000000000000000" pitchFamily="2" charset="0"/>
            </a:rPr>
            <a:t>Manufacturing</a:t>
          </a:r>
        </a:p>
        <a:p>
          <a:r>
            <a:rPr lang="en-US" sz="1200">
              <a:latin typeface="Roboto" panose="02000000000000000000" pitchFamily="2" charset="0"/>
              <a:ea typeface="Roboto" panose="02000000000000000000" pitchFamily="2" charset="0"/>
              <a:cs typeface="Roboto" panose="02000000000000000000" pitchFamily="2" charset="0"/>
            </a:rPr>
            <a:t>If you want to manufacture a scarf, it always costs 200€ + the cost of materials. Each color element has a different price, which can be found in the Scarves worksheet.</a:t>
          </a:r>
        </a:p>
      </xdr:txBody>
    </xdr:sp>
    <xdr:clientData/>
  </xdr:twoCellAnchor>
  <xdr:twoCellAnchor editAs="oneCell">
    <xdr:from>
      <xdr:col>1</xdr:col>
      <xdr:colOff>1</xdr:colOff>
      <xdr:row>4</xdr:row>
      <xdr:rowOff>4496</xdr:rowOff>
    </xdr:from>
    <xdr:to>
      <xdr:col>11</xdr:col>
      <xdr:colOff>1</xdr:colOff>
      <xdr:row>12</xdr:row>
      <xdr:rowOff>240578</xdr:rowOff>
    </xdr:to>
    <xdr:pic>
      <xdr:nvPicPr>
        <xdr:cNvPr id="3" name="Picture 2">
          <a:extLst>
            <a:ext uri="{FF2B5EF4-FFF2-40B4-BE49-F238E27FC236}">
              <a16:creationId xmlns:a16="http://schemas.microsoft.com/office/drawing/2014/main" id="{86F1377F-0F7D-41FF-A959-C5A74879CF6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xdr:blipFill>
      <xdr:spPr>
        <a:xfrm>
          <a:off x="195944" y="1201925"/>
          <a:ext cx="12932228" cy="328408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7CE723-D196-4136-863F-A5390B8F4663}" name="tblS" displayName="tblS" ref="B2:Q102" totalsRowShown="0">
  <tableColumns count="16">
    <tableColumn id="1" xr3:uid="{C7DBD2C8-14B0-4F40-9F6D-8B82537AEA8F}" name="Nr" dataDxfId="17"/>
    <tableColumn id="2" xr3:uid="{853A38D4-DE28-46BE-9ED3-F9D3F1E6AE74}" name="City" dataDxfId="16"/>
    <tableColumn id="3" xr3:uid="{6E10FFCB-0AD7-4A93-97D1-AD777410C6FE}" name="X-Coordinates" dataDxfId="15"/>
    <tableColumn id="4" xr3:uid="{D59583F1-0AF0-4B99-898D-767EF9009B74}" name="Y-Coordinates" dataDxfId="14"/>
    <tableColumn id="5" xr3:uid="{F1A3D918-EFF2-4EAB-B284-D8B665F01ADF}" name="Color1" dataDxfId="13"/>
    <tableColumn id="6" xr3:uid="{FE319F00-67A4-47E8-AF5A-EA9EECB83104}" name="Color2" dataDxfId="12"/>
    <tableColumn id="7" xr3:uid="{3C78E05C-E292-4766-BBC8-88BBC7D422BB}" name="Color3"/>
    <tableColumn id="8" xr3:uid="{DE1E1483-6512-4F50-BB2F-4569ED46B2C5}" name="Color4" dataDxfId="11"/>
    <tableColumn id="9" xr3:uid="{DB452D26-CE4B-4B8C-9BFD-194D0AC21655}" name="Color5"/>
    <tableColumn id="10" xr3:uid="{01B645FA-788F-4F0A-9175-D7BFE4D86727}" name="Color6" dataDxfId="10"/>
    <tableColumn id="11" xr3:uid="{2DA3A954-47B6-4D70-9BAF-096E38D34F4D}" name="Color7"/>
    <tableColumn id="12" xr3:uid="{81B282A9-8331-464A-BF75-C3127A0EFCBC}" name="Color8"/>
    <tableColumn id="13" xr3:uid="{7923CC60-73FA-4DBE-8D14-3A5744A06A25}" name="Color9"/>
    <tableColumn id="14" xr3:uid="{3D9A7E1E-B205-4F3F-B83F-47FEE6C02D52}" name="Scarf Code" dataDxfId="9"/>
    <tableColumn id="15" xr3:uid="{598EFF55-DCC1-444D-B030-9BE267EB188D}" name="ManuPrice" dataDxfId="8">
      <calculatedColumnFormula array="1">SUM(_xlfn.XLOOKUP(tblS[[#This Row],[Color1]:[Color9]],$S$3:$S$9,$U$3:$U$9)) + 200</calculatedColumnFormula>
    </tableColumn>
    <tableColumn id="16" xr3:uid="{B1C98F6C-786D-4A18-AF2A-077ECA5A5C0D}" name="BuyPrice" dataDxfId="7">
      <calculatedColumnFormula>15 + 100 * SQRT(POWER(startX - tblS[[#This Row],[X-Coordinates]], 2) + POWER(startY - tblS[[#This Row],[Y-Coordinates]], 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E380B8-9394-400F-B8ED-CAC268A53643}" name="tblCost" displayName="tblCost" ref="S2:U9" totalsRowShown="0" headerRowDxfId="0" dataDxfId="1" headerRowBorderDxfId="5" tableBorderDxfId="6">
  <autoFilter ref="S2:U9" xr:uid="{D8E380B8-9394-400F-B8ED-CAC268A53643}"/>
  <tableColumns count="3">
    <tableColumn id="1" xr3:uid="{92F9388A-7F74-4DDB-98A3-97637453601C}" name="Abbreviation" dataDxfId="4"/>
    <tableColumn id="2" xr3:uid="{BF23AE5C-4C26-431D-A6A3-A453A51F40D7}" name="Color" dataDxfId="3"/>
    <tableColumn id="3" xr3:uid="{D58F1031-A84E-4E86-AC37-00AB0909DBFE}" name="Cost per elemen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96" row="1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B16F1A6-A830-4185-A60F-4FD3E604D886}">
  <we:reference id="wa200003696" version="1.3.0.0" store="en-US" storeType="OMEX"/>
  <we:alternateReferences>
    <we:reference id="wa200003696" version="1.3.0.0" store="wa200003696" storeType="OMEX"/>
  </we:alternateReferences>
  <we:properties>
    <we:property name="projectV0_1-56c6e055-265e-4713-816e-a646dbb708de" value="{&quot;kind&quot;:&quot;AFEJSONBlobNode&quot;,&quot;id&quot;:&quot;{44F4FBA5-DA3B-4AEC-8AB9-69DC1456E55C}&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E14DB-8AF3-4E85-9E25-73E28540FFD7}">
  <sheetPr>
    <tabColor theme="8" tint="0.79998168889431442"/>
  </sheetPr>
  <dimension ref="B1:YH1000"/>
  <sheetViews>
    <sheetView showGridLines="0" tabSelected="1" zoomScale="70" zoomScaleNormal="100" workbookViewId="0">
      <selection activeCell="H317" sqref="H317"/>
    </sheetView>
  </sheetViews>
  <sheetFormatPr defaultColWidth="12.625" defaultRowHeight="24.95" customHeight="1"/>
  <cols>
    <col min="1" max="1" width="2.5" style="9" customWidth="1"/>
    <col min="2" max="2" width="16.875" style="9" bestFit="1" customWidth="1"/>
    <col min="3" max="3" width="11.25" style="9" customWidth="1"/>
    <col min="4" max="4" width="8.75" style="9" customWidth="1"/>
    <col min="5" max="5" width="31.25" style="9" customWidth="1"/>
    <col min="6" max="6" width="4.25" style="9" customWidth="1"/>
    <col min="7" max="11" width="19.375" style="9" customWidth="1"/>
    <col min="12" max="12" width="17.5" style="9" customWidth="1"/>
    <col min="13" max="13" width="26.875" style="9" customWidth="1"/>
    <col min="14" max="16384" width="12.625" style="9"/>
  </cols>
  <sheetData>
    <row r="1" spans="2:33" s="10" customFormat="1" ht="15" customHeight="1"/>
    <row r="2" spans="2:33" s="10" customFormat="1" ht="33" customHeight="1">
      <c r="B2" s="29" t="s">
        <v>0</v>
      </c>
      <c r="C2" s="30"/>
      <c r="D2" s="30"/>
      <c r="E2" s="30"/>
      <c r="F2" s="30"/>
      <c r="G2" s="30"/>
      <c r="H2" s="30"/>
      <c r="I2" s="30"/>
      <c r="J2" s="30"/>
      <c r="K2" s="30"/>
      <c r="L2" s="30"/>
      <c r="M2" s="30"/>
      <c r="N2" s="30"/>
    </row>
    <row r="3" spans="2:33" s="10" customFormat="1" ht="15" customHeight="1"/>
    <row r="4" spans="2:33" s="10" customFormat="1" ht="30" customHeight="1">
      <c r="B4" s="31" t="s">
        <v>1</v>
      </c>
      <c r="C4" s="32"/>
      <c r="D4" s="32"/>
      <c r="E4" s="32"/>
      <c r="F4" s="32"/>
      <c r="G4" s="32"/>
      <c r="H4" s="32"/>
      <c r="I4" s="32"/>
      <c r="J4" s="32"/>
      <c r="K4" s="32"/>
      <c r="M4" s="35" t="s">
        <v>2</v>
      </c>
      <c r="N4" s="35"/>
    </row>
    <row r="5" spans="2:33" s="10" customFormat="1" ht="30" customHeight="1">
      <c r="B5" s="33"/>
      <c r="C5" s="33"/>
      <c r="D5" s="33"/>
      <c r="E5" s="34"/>
      <c r="F5" s="33"/>
      <c r="G5" s="33"/>
      <c r="H5" s="33"/>
      <c r="I5" s="33"/>
      <c r="M5" s="36" t="s">
        <v>3</v>
      </c>
      <c r="N5" s="36"/>
    </row>
    <row r="6" spans="2:33" s="10" customFormat="1" ht="30" customHeight="1">
      <c r="B6" s="33"/>
      <c r="C6" s="33"/>
      <c r="D6" s="33"/>
      <c r="E6" s="34"/>
      <c r="F6" s="33"/>
      <c r="G6" s="33"/>
      <c r="H6" s="33"/>
      <c r="I6" s="33"/>
      <c r="M6" s="33"/>
      <c r="N6" s="33"/>
    </row>
    <row r="7" spans="2:33" s="10" customFormat="1" ht="30" customHeight="1">
      <c r="B7" s="33"/>
      <c r="C7" s="33"/>
      <c r="D7" s="33"/>
      <c r="E7" s="34"/>
      <c r="F7" s="33"/>
      <c r="G7" s="33"/>
      <c r="H7" s="33"/>
      <c r="I7" s="33"/>
      <c r="M7" s="37" t="s">
        <v>4</v>
      </c>
      <c r="N7" s="37"/>
    </row>
    <row r="8" spans="2:33" s="10" customFormat="1" ht="30" customHeight="1">
      <c r="B8" s="33"/>
      <c r="C8" s="33"/>
      <c r="D8" s="33"/>
      <c r="E8" s="34"/>
      <c r="F8" s="33"/>
      <c r="G8" s="33"/>
      <c r="H8" s="33"/>
      <c r="I8" s="33"/>
      <c r="M8" s="36" t="s">
        <v>5</v>
      </c>
      <c r="N8" s="36"/>
    </row>
    <row r="9" spans="2:33" s="10" customFormat="1" ht="30" customHeight="1">
      <c r="B9" s="33"/>
      <c r="C9" s="33"/>
      <c r="D9" s="33"/>
      <c r="E9" s="34"/>
      <c r="F9" s="33"/>
      <c r="G9" s="33"/>
      <c r="H9" s="33"/>
      <c r="I9" s="33"/>
      <c r="M9" s="36" t="s">
        <v>6</v>
      </c>
      <c r="N9" s="36"/>
    </row>
    <row r="10" spans="2:33" s="10" customFormat="1" ht="30" customHeight="1">
      <c r="B10" s="33"/>
      <c r="C10" s="33"/>
      <c r="D10" s="33"/>
      <c r="E10" s="34"/>
      <c r="F10" s="33"/>
      <c r="G10" s="33"/>
      <c r="H10" s="33"/>
      <c r="I10" s="33"/>
      <c r="M10" s="36" t="s">
        <v>7</v>
      </c>
      <c r="N10" s="36"/>
    </row>
    <row r="11" spans="2:33" s="10" customFormat="1" ht="30" customHeight="1">
      <c r="B11" s="33"/>
      <c r="C11" s="33"/>
      <c r="D11" s="33"/>
      <c r="E11" s="34"/>
      <c r="F11" s="33"/>
      <c r="G11" s="33"/>
      <c r="H11" s="33"/>
      <c r="I11" s="33"/>
      <c r="M11" s="36" t="s">
        <v>8</v>
      </c>
      <c r="N11" s="36"/>
    </row>
    <row r="12" spans="2:33" s="10" customFormat="1" ht="30" customHeight="1">
      <c r="B12" s="33"/>
      <c r="C12" s="33"/>
      <c r="D12" s="33"/>
      <c r="E12" s="34"/>
      <c r="F12" s="33"/>
      <c r="G12" s="33"/>
      <c r="H12" s="33"/>
      <c r="I12" s="33"/>
      <c r="M12" s="36" t="s">
        <v>9</v>
      </c>
      <c r="N12" s="36"/>
    </row>
    <row r="13" spans="2:33" s="10" customFormat="1" ht="30" customHeight="1">
      <c r="B13" s="33"/>
      <c r="C13" s="33"/>
      <c r="D13" s="33"/>
      <c r="E13" s="34"/>
      <c r="F13" s="33"/>
      <c r="G13" s="33"/>
      <c r="H13" s="33"/>
      <c r="I13" s="33"/>
      <c r="M13"/>
    </row>
    <row r="14" spans="2:33" s="10" customFormat="1" ht="30" customHeight="1">
      <c r="B14" s="38" t="s">
        <v>10</v>
      </c>
      <c r="C14" s="39"/>
      <c r="D14" s="39"/>
      <c r="E14" s="39"/>
      <c r="F14" s="39"/>
      <c r="G14" s="39"/>
      <c r="H14" s="39"/>
      <c r="I14" s="39"/>
      <c r="J14" s="39"/>
      <c r="K14" s="39"/>
      <c r="L14" s="39"/>
      <c r="M14" s="39"/>
      <c r="N14" s="39"/>
    </row>
    <row r="15" spans="2:33" s="10" customFormat="1" ht="24.75" customHeight="1">
      <c r="B15" s="20"/>
      <c r="C15" s="21"/>
      <c r="D15" s="21"/>
      <c r="E15" s="21"/>
      <c r="F15" s="21"/>
      <c r="G15" s="21"/>
      <c r="H15" s="21"/>
      <c r="I15" s="21"/>
      <c r="J15" s="21"/>
      <c r="K15" s="21"/>
      <c r="L15" s="21"/>
      <c r="M15" s="22"/>
    </row>
    <row r="16" spans="2:33" s="10" customFormat="1" ht="24.95" customHeight="1">
      <c r="B16" s="23"/>
      <c r="C16" s="24"/>
      <c r="D16" s="24"/>
      <c r="E16" s="24"/>
      <c r="F16" s="24"/>
      <c r="G16" s="24"/>
      <c r="H16" s="24"/>
      <c r="I16" s="24"/>
      <c r="J16" s="24"/>
      <c r="K16" s="24"/>
      <c r="L16" s="24"/>
      <c r="M16" s="25"/>
      <c r="AF16" s="10" t="s">
        <v>378</v>
      </c>
      <c r="AG16" s="10" t="s">
        <v>379</v>
      </c>
    </row>
    <row r="17" spans="2:33" s="10" customFormat="1" ht="24.95" customHeight="1">
      <c r="B17" s="23"/>
      <c r="C17" s="24"/>
      <c r="D17" s="24"/>
      <c r="E17" s="24"/>
      <c r="F17" s="24"/>
      <c r="G17" s="24"/>
      <c r="H17" s="24"/>
      <c r="I17" s="24"/>
      <c r="J17" s="24"/>
      <c r="K17" s="24"/>
      <c r="L17" s="24"/>
      <c r="M17" s="25"/>
      <c r="AC17" s="10" t="str" cm="1">
        <f t="array" ref="AC17:AC296">_xlfn.VSTACK(G53:G72,G96:G115,G142:G161,H142:H161,I142:I161,H182:H201,I182:I201,J182:J201,G268:G287,H268:H287,I268:I287,G313:G332,H313:H332,I313:I332)</f>
        <v>RWSWRWSWR</v>
      </c>
      <c r="AF17" s="10" t="str" cm="1">
        <f t="array" ref="AF17:AF107">_xlfn.UNIQUE(_xlfn.ANCHORARRAY(AC17))</f>
        <v>RWSWRWSWR</v>
      </c>
      <c r="AG17" s="10" cm="1">
        <f t="array" ref="AG17:AG107">COUNTIFS(_xlfn.ANCHORARRAY($AC$17),_xlfn.ANCHORARRAY(AF17))</f>
        <v>2</v>
      </c>
    </row>
    <row r="18" spans="2:33" s="10" customFormat="1" ht="24.95" customHeight="1">
      <c r="B18" s="23"/>
      <c r="C18" s="24"/>
      <c r="D18" s="24"/>
      <c r="E18" s="24"/>
      <c r="F18" s="24"/>
      <c r="G18" s="24"/>
      <c r="H18" s="24"/>
      <c r="I18" s="24"/>
      <c r="J18" s="24"/>
      <c r="K18" s="24"/>
      <c r="L18" s="24"/>
      <c r="M18" s="25"/>
      <c r="AC18" s="10" t="str">
        <v>WWGGWGGWW</v>
      </c>
      <c r="AF18" s="10" t="str">
        <v>WWGGWGGWW</v>
      </c>
      <c r="AG18" s="10">
        <v>3</v>
      </c>
    </row>
    <row r="19" spans="2:33" s="10" customFormat="1" ht="24.95" customHeight="1">
      <c r="B19" s="23"/>
      <c r="C19" s="24"/>
      <c r="D19" s="24"/>
      <c r="E19" s="24"/>
      <c r="F19" s="24"/>
      <c r="G19" s="24"/>
      <c r="H19" s="24"/>
      <c r="I19" s="24"/>
      <c r="J19" s="24"/>
      <c r="K19" s="24"/>
      <c r="L19" s="24"/>
      <c r="M19" s="25"/>
      <c r="AC19" s="10" t="str">
        <v>RRRBBBRRR</v>
      </c>
      <c r="AF19" s="10" t="str">
        <v>RRRBBBRRR</v>
      </c>
      <c r="AG19" s="10">
        <v>3</v>
      </c>
    </row>
    <row r="20" spans="2:33" s="10" customFormat="1" ht="24.95" customHeight="1">
      <c r="B20" s="23"/>
      <c r="C20" s="24"/>
      <c r="D20" s="24"/>
      <c r="E20" s="24"/>
      <c r="F20" s="24"/>
      <c r="G20" s="24"/>
      <c r="H20" s="24"/>
      <c r="I20" s="24"/>
      <c r="J20" s="24"/>
      <c r="K20" s="24"/>
      <c r="L20" s="24"/>
      <c r="M20" s="25"/>
      <c r="AC20" s="10" t="str">
        <v>VWVWVWVWV</v>
      </c>
      <c r="AF20" s="10" t="str">
        <v>VWVWVWVWV</v>
      </c>
      <c r="AG20" s="10">
        <v>4</v>
      </c>
    </row>
    <row r="21" spans="2:33" s="10" customFormat="1" ht="24.95" customHeight="1">
      <c r="B21" s="23"/>
      <c r="C21" s="24"/>
      <c r="D21" s="24"/>
      <c r="E21" s="24"/>
      <c r="F21" s="24"/>
      <c r="G21" s="24"/>
      <c r="H21" s="24"/>
      <c r="I21" s="24"/>
      <c r="J21" s="24"/>
      <c r="K21" s="24"/>
      <c r="L21" s="24"/>
      <c r="M21" s="25"/>
      <c r="AC21" s="10" t="str">
        <v>BBWRWRWBB</v>
      </c>
      <c r="AF21" s="10" t="str">
        <v>BBWRWRWBB</v>
      </c>
      <c r="AG21" s="10">
        <v>5</v>
      </c>
    </row>
    <row r="22" spans="2:33" s="10" customFormat="1" ht="24.95" customHeight="1">
      <c r="B22" s="23"/>
      <c r="C22" s="24"/>
      <c r="D22" s="24"/>
      <c r="E22" s="24"/>
      <c r="F22" s="24"/>
      <c r="G22" s="24"/>
      <c r="H22" s="24"/>
      <c r="I22" s="24"/>
      <c r="J22" s="24"/>
      <c r="K22" s="24"/>
      <c r="L22" s="24"/>
      <c r="M22" s="25"/>
      <c r="AC22" s="10" t="str">
        <v>GWGWGWGWG</v>
      </c>
      <c r="AF22" s="10" t="str">
        <v>GWGWGWGWG</v>
      </c>
      <c r="AG22" s="10">
        <v>3</v>
      </c>
    </row>
    <row r="23" spans="2:33" s="10" customFormat="1" ht="24.95" customHeight="1">
      <c r="B23" s="23"/>
      <c r="C23" s="24"/>
      <c r="D23" s="24"/>
      <c r="E23" s="24"/>
      <c r="F23" s="24"/>
      <c r="G23" s="24"/>
      <c r="H23" s="24"/>
      <c r="I23" s="24"/>
      <c r="J23" s="24"/>
      <c r="K23" s="24"/>
      <c r="L23" s="24"/>
      <c r="M23" s="25"/>
      <c r="AC23" s="10" t="str">
        <v>RRSSRSSRR</v>
      </c>
      <c r="AF23" s="10" t="str">
        <v>RRSSRSSRR</v>
      </c>
      <c r="AG23" s="10">
        <v>5</v>
      </c>
    </row>
    <row r="24" spans="2:33" s="10" customFormat="1" ht="24.95" customHeight="1">
      <c r="B24" s="26"/>
      <c r="C24" s="27"/>
      <c r="D24" s="27"/>
      <c r="E24" s="27"/>
      <c r="F24" s="27"/>
      <c r="G24" s="27"/>
      <c r="H24" s="27"/>
      <c r="I24" s="27"/>
      <c r="J24" s="27"/>
      <c r="K24" s="27"/>
      <c r="L24" s="27"/>
      <c r="M24" s="28"/>
      <c r="AC24" s="10" t="str">
        <v>RYRRRRRYR</v>
      </c>
      <c r="AF24" s="10" t="str">
        <v>RYRRRRRYR</v>
      </c>
      <c r="AG24" s="10">
        <v>3</v>
      </c>
    </row>
    <row r="25" spans="2:33" s="10" customFormat="1" ht="15" customHeight="1">
      <c r="B25" s="11"/>
      <c r="C25" s="11"/>
      <c r="D25" s="11"/>
      <c r="E25" s="11"/>
      <c r="F25" s="11"/>
      <c r="G25" s="11"/>
      <c r="H25" s="11"/>
      <c r="I25" s="11"/>
      <c r="AC25" s="10" t="str">
        <v>BSBSBSBSB</v>
      </c>
      <c r="AF25" s="10" t="str">
        <v>BSBSBSBSB</v>
      </c>
      <c r="AG25" s="10">
        <v>5</v>
      </c>
    </row>
    <row r="26" spans="2:33" s="10" customFormat="1" ht="22.5" customHeight="1">
      <c r="B26" s="40" t="s">
        <v>11</v>
      </c>
      <c r="C26" s="41"/>
      <c r="D26" s="41"/>
      <c r="E26" s="41"/>
      <c r="F26" s="41"/>
      <c r="G26" s="41"/>
      <c r="H26" s="41"/>
      <c r="I26" s="41"/>
      <c r="J26" s="41"/>
      <c r="K26" s="41"/>
      <c r="L26" s="41"/>
      <c r="M26" s="41"/>
      <c r="AC26" s="10" t="str">
        <v>BBWBWBWBB</v>
      </c>
      <c r="AF26" s="10" t="str">
        <v>BBWBWBWBB</v>
      </c>
      <c r="AG26" s="10">
        <v>5</v>
      </c>
    </row>
    <row r="27" spans="2:33" s="10" customFormat="1" ht="15" customHeight="1">
      <c r="AC27" s="10" t="str">
        <v>RWRRRRRWR</v>
      </c>
      <c r="AF27" s="10" t="str">
        <v>RWRRRRRWR</v>
      </c>
      <c r="AG27" s="10">
        <v>6</v>
      </c>
    </row>
    <row r="28" spans="2:33" s="10" customFormat="1" ht="15" customHeight="1">
      <c r="B28" s="42" t="s">
        <v>12</v>
      </c>
      <c r="C28" s="43"/>
      <c r="D28" s="43"/>
      <c r="E28" s="43"/>
      <c r="F28" s="43"/>
      <c r="G28" s="43"/>
      <c r="H28" s="43"/>
      <c r="I28" s="43"/>
      <c r="J28" s="43"/>
      <c r="K28" s="43"/>
      <c r="L28" s="43"/>
      <c r="AC28" s="10" t="str">
        <v>SSSRRRSSS</v>
      </c>
      <c r="AF28" s="10" t="str">
        <v>SSSRRRSSS</v>
      </c>
      <c r="AG28" s="10">
        <v>4</v>
      </c>
    </row>
    <row r="29" spans="2:33" s="10" customFormat="1" ht="15" customHeight="1" thickBot="1">
      <c r="B29" s="42"/>
      <c r="C29" s="43"/>
      <c r="D29" s="43"/>
      <c r="E29" s="43"/>
      <c r="F29" s="43"/>
      <c r="G29" s="43"/>
      <c r="H29" s="43"/>
      <c r="I29" s="43"/>
      <c r="J29" s="43"/>
      <c r="K29" s="43"/>
      <c r="L29" s="43"/>
      <c r="AC29" s="10" t="str">
        <v>WWRWRRWRR</v>
      </c>
      <c r="AF29" s="10" t="str">
        <v>WWRWRRWRR</v>
      </c>
      <c r="AG29" s="10">
        <v>3</v>
      </c>
    </row>
    <row r="30" spans="2:33" s="10" customFormat="1" ht="32.25" thickBot="1">
      <c r="B30" s="44" t="s">
        <v>13</v>
      </c>
      <c r="C30" s="45" t="s">
        <v>14</v>
      </c>
      <c r="D30" s="44" t="s">
        <v>15</v>
      </c>
      <c r="E30" s="44" t="s">
        <v>16</v>
      </c>
      <c r="G30" s="46" t="s">
        <v>17</v>
      </c>
      <c r="H30" s="47"/>
      <c r="I30" s="47"/>
      <c r="J30" s="47"/>
      <c r="K30" s="47"/>
      <c r="L30" s="47"/>
      <c r="M30" s="48"/>
      <c r="AC30" s="10" t="str">
        <v>BSBBBBBWB</v>
      </c>
      <c r="AF30" s="10" t="str">
        <v>BSBBBBBWB</v>
      </c>
      <c r="AG30" s="10">
        <v>3</v>
      </c>
    </row>
    <row r="31" spans="2:33" s="10" customFormat="1" ht="33.75" customHeight="1">
      <c r="B31" s="12" t="s">
        <v>18</v>
      </c>
      <c r="C31" s="12" t="s">
        <v>19</v>
      </c>
      <c r="D31" s="13">
        <v>30</v>
      </c>
      <c r="E31" s="4" t="s">
        <v>205</v>
      </c>
      <c r="F31"/>
      <c r="G31" s="58" t="s">
        <v>20</v>
      </c>
      <c r="H31" s="56"/>
      <c r="I31" s="56"/>
      <c r="J31" s="56"/>
      <c r="K31" s="56"/>
      <c r="L31" s="56"/>
      <c r="M31" s="57"/>
      <c r="AC31" s="10" t="str">
        <v>WRRWRWRRW</v>
      </c>
      <c r="AF31" s="10" t="str">
        <v>WRRWRWRRW</v>
      </c>
      <c r="AG31" s="10">
        <v>4</v>
      </c>
    </row>
    <row r="32" spans="2:33" s="10" customFormat="1" ht="33.75" customHeight="1">
      <c r="B32" s="80" t="s">
        <v>21</v>
      </c>
      <c r="C32" s="12" t="s">
        <v>19</v>
      </c>
      <c r="D32" s="14">
        <v>40</v>
      </c>
      <c r="E32" s="6" t="s">
        <v>133</v>
      </c>
      <c r="F32"/>
      <c r="G32" s="59" t="s">
        <v>22</v>
      </c>
      <c r="H32" s="60"/>
      <c r="I32" s="60"/>
      <c r="J32" s="60"/>
      <c r="K32" s="60"/>
      <c r="L32" s="60"/>
      <c r="M32" s="61"/>
      <c r="AC32" s="10" t="str">
        <v>RBWRBWRBW</v>
      </c>
      <c r="AF32" s="10" t="str">
        <v>RBWRBWRBW</v>
      </c>
      <c r="AG32" s="10">
        <v>1</v>
      </c>
    </row>
    <row r="33" spans="2:33" s="10" customFormat="1" ht="33.75" customHeight="1">
      <c r="B33" s="80" t="s">
        <v>23</v>
      </c>
      <c r="C33" s="12" t="s">
        <v>19</v>
      </c>
      <c r="D33" s="14">
        <v>50</v>
      </c>
      <c r="E33" s="6" cm="1">
        <f t="array" ref="E33">SUM(--(tblS[Color1]="b"))</f>
        <v>24</v>
      </c>
      <c r="F33"/>
      <c r="G33" s="59" t="s">
        <v>24</v>
      </c>
      <c r="H33" s="60"/>
      <c r="I33" s="60"/>
      <c r="J33" s="60"/>
      <c r="K33" s="60"/>
      <c r="L33" s="60"/>
      <c r="M33" s="61"/>
      <c r="AC33" s="10" t="str">
        <v>BBWWRRBWR</v>
      </c>
      <c r="AF33" s="10" t="str">
        <v>BBWWRRBWR</v>
      </c>
      <c r="AG33" s="10">
        <v>3</v>
      </c>
    </row>
    <row r="34" spans="2:33" s="10" customFormat="1" ht="33.75" customHeight="1">
      <c r="B34" s="80" t="s">
        <v>25</v>
      </c>
      <c r="C34" s="12" t="s">
        <v>19</v>
      </c>
      <c r="D34" s="14">
        <v>60</v>
      </c>
      <c r="E34" s="5" t="s">
        <v>225</v>
      </c>
      <c r="F34"/>
      <c r="G34" s="59" t="s">
        <v>26</v>
      </c>
      <c r="H34" s="60"/>
      <c r="I34" s="60"/>
      <c r="J34" s="60"/>
      <c r="K34" s="60"/>
      <c r="L34" s="60"/>
      <c r="M34" s="61"/>
      <c r="AC34" s="10" t="str">
        <v>BBWWRRBWR</v>
      </c>
      <c r="AF34" s="10" t="str">
        <v>WBWWWWWBW</v>
      </c>
      <c r="AG34" s="10">
        <v>5</v>
      </c>
    </row>
    <row r="35" spans="2:33" s="10" customFormat="1" ht="33.75" customHeight="1">
      <c r="B35" s="80" t="s">
        <v>27</v>
      </c>
      <c r="C35" s="12" t="s">
        <v>19</v>
      </c>
      <c r="D35" s="14">
        <v>70</v>
      </c>
      <c r="E35" s="5">
        <f>SUM(tblS[ManuPrice])</f>
        <v>24945</v>
      </c>
      <c r="F35"/>
      <c r="G35" s="59" t="s">
        <v>28</v>
      </c>
      <c r="H35" s="60"/>
      <c r="I35" s="60"/>
      <c r="J35" s="60"/>
      <c r="K35" s="60"/>
      <c r="L35" s="60"/>
      <c r="M35" s="61"/>
      <c r="AC35" s="10" t="str">
        <v>WBWWWWWBW</v>
      </c>
      <c r="AF35" s="10" t="str">
        <v>YBYBYBYBY</v>
      </c>
      <c r="AG35" s="10">
        <v>3</v>
      </c>
    </row>
    <row r="36" spans="2:33" ht="15" customHeight="1">
      <c r="AC36" s="9" t="str">
        <v>YBYBYBYBY</v>
      </c>
      <c r="AF36" s="9" t="str">
        <v>RRVBWBVRR</v>
      </c>
      <c r="AG36" s="9">
        <v>3</v>
      </c>
    </row>
    <row r="37" spans="2:33" ht="22.5" customHeight="1">
      <c r="B37" s="40" t="s">
        <v>29</v>
      </c>
      <c r="C37" s="41"/>
      <c r="D37" s="41"/>
      <c r="E37" s="41"/>
      <c r="F37" s="41"/>
      <c r="G37" s="41"/>
      <c r="H37" s="41"/>
      <c r="I37" s="41"/>
      <c r="J37" s="41"/>
      <c r="K37" s="41"/>
      <c r="L37" s="41"/>
      <c r="M37" s="41"/>
      <c r="AC37" s="9" t="str">
        <v>RRRBBBRRR</v>
      </c>
      <c r="AF37" s="9" t="str">
        <v>WWWRRRWWW</v>
      </c>
      <c r="AG37" s="9">
        <v>5</v>
      </c>
    </row>
    <row r="38" spans="2:33" ht="15" customHeight="1" thickBot="1">
      <c r="AC38" s="9" t="str">
        <v>RRVBWBVRR</v>
      </c>
      <c r="AF38" s="9" t="str">
        <v>RRWRWRWRR</v>
      </c>
      <c r="AG38" s="9">
        <v>3</v>
      </c>
    </row>
    <row r="39" spans="2:33" ht="22.5" customHeight="1" thickBot="1">
      <c r="B39" s="49" t="s">
        <v>30</v>
      </c>
      <c r="C39" s="50" t="s">
        <v>31</v>
      </c>
      <c r="D39" s="76" t="s">
        <v>32</v>
      </c>
      <c r="L39"/>
      <c r="M39"/>
      <c r="AC39" s="9" t="str">
        <v>WWWRRRWWW</v>
      </c>
      <c r="AF39" s="9" t="str">
        <v>WVWVWVWVW</v>
      </c>
      <c r="AG39" s="9">
        <v>6</v>
      </c>
    </row>
    <row r="40" spans="2:33" ht="15" customHeight="1">
      <c r="L40"/>
      <c r="M40"/>
      <c r="AC40" s="9" t="str">
        <v>RRWRWRWRR</v>
      </c>
      <c r="AF40" s="9" t="str">
        <v>BBWWWWWBB</v>
      </c>
      <c r="AG40" s="9">
        <v>1</v>
      </c>
    </row>
    <row r="41" spans="2:33" ht="15" customHeight="1">
      <c r="B41" s="76" t="s">
        <v>33</v>
      </c>
      <c r="C41" s="77"/>
      <c r="D41" s="77"/>
      <c r="L41"/>
      <c r="M41"/>
      <c r="AC41" s="9" t="str">
        <v>WVWVWVWVW</v>
      </c>
      <c r="AF41" s="9" t="str">
        <v>BBBYYYBBB</v>
      </c>
      <c r="AG41" s="9">
        <v>3</v>
      </c>
    </row>
    <row r="42" spans="2:33" ht="15" customHeight="1">
      <c r="B42" s="76"/>
      <c r="C42" s="77"/>
      <c r="D42" s="77"/>
      <c r="L42"/>
      <c r="M42"/>
      <c r="AC42" s="9" t="str">
        <v>BBWWWWWBB</v>
      </c>
      <c r="AF42" s="9" t="str">
        <v>GGWWYWWGG</v>
      </c>
      <c r="AG42" s="9">
        <v>6</v>
      </c>
    </row>
    <row r="43" spans="2:33" ht="15" customHeight="1">
      <c r="B43" s="78" t="s">
        <v>34</v>
      </c>
      <c r="C43" s="77" t="s">
        <v>35</v>
      </c>
      <c r="D43" s="77"/>
      <c r="L43"/>
      <c r="M43"/>
      <c r="AC43" s="9" t="str">
        <v>BBBYYYBBB</v>
      </c>
      <c r="AF43" s="9" t="str">
        <v>GGWGGGWGG</v>
      </c>
      <c r="AG43" s="9">
        <v>3</v>
      </c>
    </row>
    <row r="44" spans="2:33" ht="15" customHeight="1">
      <c r="B44" s="76"/>
      <c r="C44" s="77"/>
      <c r="D44" s="77"/>
      <c r="L44"/>
      <c r="M44"/>
      <c r="AC44" s="9" t="str">
        <v>GGWWYWWGG</v>
      </c>
      <c r="AF44" s="9" t="str">
        <v>BBSSBBSSB</v>
      </c>
      <c r="AG44" s="9">
        <v>3</v>
      </c>
    </row>
    <row r="45" spans="2:33" ht="15" customHeight="1">
      <c r="B45" s="76" t="s">
        <v>36</v>
      </c>
      <c r="C45" s="77" t="s">
        <v>37</v>
      </c>
      <c r="D45" s="77"/>
      <c r="L45"/>
      <c r="M45"/>
      <c r="AC45" s="9" t="str">
        <v>GGWGGGWGG</v>
      </c>
      <c r="AF45" s="9" t="str">
        <v>RSSRRRSSR</v>
      </c>
      <c r="AG45" s="9">
        <v>4</v>
      </c>
    </row>
    <row r="46" spans="2:33" ht="15" customHeight="1">
      <c r="B46" s="76" t="s">
        <v>38</v>
      </c>
      <c r="C46" s="77" t="s">
        <v>39</v>
      </c>
      <c r="D46" s="77"/>
      <c r="L46"/>
      <c r="M46"/>
      <c r="AC46" s="9" t="str">
        <v>RWRRRRRWR</v>
      </c>
      <c r="AF46" s="9" t="str">
        <v>BBWSWSWBB</v>
      </c>
      <c r="AG46" s="9">
        <v>1</v>
      </c>
    </row>
    <row r="47" spans="2:33" ht="15" customHeight="1">
      <c r="B47" s="76" t="s">
        <v>40</v>
      </c>
      <c r="C47" s="77" t="s">
        <v>41</v>
      </c>
      <c r="D47" s="77"/>
      <c r="AC47" s="9" t="str">
        <v>BBSSBBSSB</v>
      </c>
      <c r="AF47" s="9" t="str">
        <v>WWWBBBWWW</v>
      </c>
      <c r="AG47" s="9">
        <v>1</v>
      </c>
    </row>
    <row r="48" spans="2:33" ht="15" customHeight="1" thickBot="1">
      <c r="AC48" s="9" t="str">
        <v>RSSRRRSSR</v>
      </c>
      <c r="AF48" s="9" t="str">
        <v>YYYSSSYYY</v>
      </c>
      <c r="AG48" s="9">
        <v>2</v>
      </c>
    </row>
    <row r="49" spans="2:33" ht="22.5" customHeight="1" thickBot="1">
      <c r="B49" s="44" t="s">
        <v>13</v>
      </c>
      <c r="C49" s="45" t="s">
        <v>42</v>
      </c>
      <c r="D49" s="44" t="s">
        <v>15</v>
      </c>
      <c r="E49" s="51" t="s">
        <v>16</v>
      </c>
      <c r="G49" s="44" t="s">
        <v>43</v>
      </c>
      <c r="AC49" s="9" t="str">
        <v>BBWSWSWBB</v>
      </c>
      <c r="AF49" s="9" t="str">
        <v>WGGWGWGGW</v>
      </c>
      <c r="AG49" s="9">
        <v>2</v>
      </c>
    </row>
    <row r="50" spans="2:33" ht="15" customHeight="1">
      <c r="AC50" s="9" t="str">
        <v>WWWBBBWWW</v>
      </c>
      <c r="AF50" s="9" t="str">
        <v>BWWWWWWWB</v>
      </c>
      <c r="AG50" s="9">
        <v>4</v>
      </c>
    </row>
    <row r="51" spans="2:33" ht="22.5" customHeight="1">
      <c r="B51" s="2" t="s">
        <v>44</v>
      </c>
      <c r="C51" s="2">
        <v>1</v>
      </c>
      <c r="D51" s="16">
        <v>0</v>
      </c>
      <c r="E51" s="7" t="s">
        <v>45</v>
      </c>
      <c r="F51"/>
      <c r="G51" s="2" t="s">
        <v>46</v>
      </c>
      <c r="AC51" s="9" t="str">
        <v>YYYSSSYYY</v>
      </c>
      <c r="AF51" s="9" t="str">
        <v>SSWWWWWSS</v>
      </c>
      <c r="AG51" s="9">
        <v>3</v>
      </c>
    </row>
    <row r="52" spans="2:33" ht="15" customHeight="1">
      <c r="B52" s="17"/>
      <c r="C52" s="17"/>
      <c r="D52" s="17"/>
      <c r="E52" s="17"/>
      <c r="AC52" s="9" t="str">
        <v>WGGWGWGGW</v>
      </c>
      <c r="AF52" s="9" t="str">
        <v>RRRWWWRRR</v>
      </c>
      <c r="AG52" s="9">
        <v>3</v>
      </c>
    </row>
    <row r="53" spans="2:33" ht="22.5" customHeight="1">
      <c r="B53" s="2">
        <v>1</v>
      </c>
      <c r="C53" s="2">
        <v>1</v>
      </c>
      <c r="D53" s="16">
        <v>5</v>
      </c>
      <c r="E53" s="7" t="str" cm="1">
        <f t="array" ref="E53:E72">_xlfn.XLOOKUP(G53:G72,tblS[Scarf Code],tblS[City],,0,1)</f>
        <v>Freiburg</v>
      </c>
      <c r="F53"/>
      <c r="G53" s="2" t="s">
        <v>47</v>
      </c>
      <c r="AC53" s="9" t="str">
        <v>WRRWRWRRW</v>
      </c>
      <c r="AF53" s="9" t="str">
        <v>RWWRRRWWR</v>
      </c>
      <c r="AG53" s="9">
        <v>3</v>
      </c>
    </row>
    <row r="54" spans="2:33" ht="22.5" customHeight="1">
      <c r="B54" s="2">
        <v>2</v>
      </c>
      <c r="C54" s="2">
        <v>1</v>
      </c>
      <c r="D54" s="16">
        <v>5</v>
      </c>
      <c r="E54" s="7" t="str">
        <v>Vilnius</v>
      </c>
      <c r="F54"/>
      <c r="G54" s="2" t="s">
        <v>48</v>
      </c>
      <c r="AC54" s="9" t="str">
        <v>GWGWGWGWG</v>
      </c>
      <c r="AF54" s="9" t="str">
        <v>BYBWBWBYB</v>
      </c>
      <c r="AG54" s="9">
        <v>3</v>
      </c>
    </row>
    <row r="55" spans="2:33" ht="22.5" customHeight="1">
      <c r="B55" s="2">
        <v>3</v>
      </c>
      <c r="C55" s="2">
        <v>1</v>
      </c>
      <c r="D55" s="16">
        <v>5</v>
      </c>
      <c r="E55" s="7" t="str">
        <v>Basel</v>
      </c>
      <c r="F55"/>
      <c r="G55" s="2" t="s">
        <v>49</v>
      </c>
      <c r="AC55" s="9" t="str">
        <v>BWWWWWWWB</v>
      </c>
      <c r="AF55" s="9" t="str">
        <v>YYSSSSSYY</v>
      </c>
      <c r="AG55" s="9">
        <v>5</v>
      </c>
    </row>
    <row r="56" spans="2:33" ht="22.5" customHeight="1">
      <c r="B56" s="2">
        <v>4</v>
      </c>
      <c r="C56" s="2">
        <v>1</v>
      </c>
      <c r="D56" s="16">
        <v>5</v>
      </c>
      <c r="E56" s="7" t="str">
        <v>Budapest</v>
      </c>
      <c r="F56"/>
      <c r="G56" s="2" t="s">
        <v>50</v>
      </c>
      <c r="AC56" s="9" t="str">
        <v>WBWWWWWBW</v>
      </c>
      <c r="AF56" s="9" t="str">
        <v>RWBRWBRWB</v>
      </c>
      <c r="AG56" s="9">
        <v>11</v>
      </c>
    </row>
    <row r="57" spans="2:33" ht="22.5" customHeight="1">
      <c r="B57" s="2">
        <v>5</v>
      </c>
      <c r="C57" s="2">
        <v>1</v>
      </c>
      <c r="D57" s="16">
        <v>5</v>
      </c>
      <c r="E57" s="7" t="str">
        <v>Rostock</v>
      </c>
      <c r="F57"/>
      <c r="G57" s="2" t="s">
        <v>51</v>
      </c>
      <c r="AC57" s="9" t="str">
        <v>SSWWWWWSS</v>
      </c>
      <c r="AF57" s="9" t="str">
        <v>RSRSRSRSR</v>
      </c>
      <c r="AG57" s="9">
        <v>6</v>
      </c>
    </row>
    <row r="58" spans="2:33" ht="22.5" customHeight="1">
      <c r="B58" s="2">
        <v>6</v>
      </c>
      <c r="C58" s="2">
        <v>1</v>
      </c>
      <c r="D58" s="16">
        <v>5</v>
      </c>
      <c r="E58" s="7" t="str">
        <v>St. Gallen</v>
      </c>
      <c r="F58"/>
      <c r="G58" s="2" t="s">
        <v>52</v>
      </c>
      <c r="AC58" s="9" t="str">
        <v>RRRWWWRRR</v>
      </c>
      <c r="AF58" s="9" t="str">
        <v>WBBWWWBBW</v>
      </c>
      <c r="AG58" s="9">
        <v>5</v>
      </c>
    </row>
    <row r="59" spans="2:33" ht="22.5" customHeight="1">
      <c r="B59" s="2">
        <v>7</v>
      </c>
      <c r="C59" s="2">
        <v>1</v>
      </c>
      <c r="D59" s="16">
        <v>5</v>
      </c>
      <c r="E59" s="7" t="str">
        <v>Nueremberg</v>
      </c>
      <c r="F59"/>
      <c r="G59" s="2" t="s">
        <v>53</v>
      </c>
      <c r="AC59" s="9" t="str">
        <v>GGWGGGWGG</v>
      </c>
      <c r="AF59" s="9" t="str">
        <v>GGGGWRWWW</v>
      </c>
      <c r="AG59" s="9">
        <v>3</v>
      </c>
    </row>
    <row r="60" spans="2:33" ht="22.5" customHeight="1">
      <c r="B60" s="2">
        <v>8</v>
      </c>
      <c r="C60" s="2">
        <v>1</v>
      </c>
      <c r="D60" s="16">
        <v>5</v>
      </c>
      <c r="E60" s="7" t="str">
        <v>Lens</v>
      </c>
      <c r="F60"/>
      <c r="G60" s="2" t="s">
        <v>54</v>
      </c>
      <c r="AC60" s="9" t="str">
        <v>RWWRRRWWR</v>
      </c>
      <c r="AF60" s="9" t="str">
        <v>RRWWRWWRR</v>
      </c>
      <c r="AG60" s="9">
        <v>2</v>
      </c>
    </row>
    <row r="61" spans="2:33" ht="22.5" customHeight="1">
      <c r="B61" s="2">
        <v>9</v>
      </c>
      <c r="C61" s="2">
        <v>1</v>
      </c>
      <c r="D61" s="16">
        <v>5</v>
      </c>
      <c r="E61" s="7" t="str">
        <v>Milan</v>
      </c>
      <c r="F61"/>
      <c r="G61" s="2" t="s">
        <v>55</v>
      </c>
      <c r="AC61" s="9" t="str">
        <v>BYBWBWBYB</v>
      </c>
      <c r="AF61" s="9" t="str">
        <v>SYWWWWWYS</v>
      </c>
      <c r="AG61" s="9">
        <v>2</v>
      </c>
    </row>
    <row r="62" spans="2:33" ht="22.5" customHeight="1">
      <c r="B62" s="2">
        <v>10</v>
      </c>
      <c r="C62" s="2">
        <v>1</v>
      </c>
      <c r="D62" s="16">
        <v>5</v>
      </c>
      <c r="E62" s="7" t="str">
        <v>London</v>
      </c>
      <c r="F62"/>
      <c r="G62" s="2" t="s">
        <v>56</v>
      </c>
      <c r="AC62" s="9" t="str">
        <v>WRRWRWRRW</v>
      </c>
      <c r="AF62" s="9" t="str">
        <v>GGWWWWWGG</v>
      </c>
      <c r="AG62" s="9">
        <v>3</v>
      </c>
    </row>
    <row r="63" spans="2:33" ht="22.5" customHeight="1">
      <c r="B63" s="2">
        <v>11</v>
      </c>
      <c r="C63" s="2">
        <v>1</v>
      </c>
      <c r="D63" s="16">
        <v>5</v>
      </c>
      <c r="E63" s="7" t="str">
        <v>Bilbao</v>
      </c>
      <c r="F63"/>
      <c r="G63" s="2" t="s">
        <v>57</v>
      </c>
      <c r="AC63" s="9" t="str">
        <v>YYSSSSSYY</v>
      </c>
      <c r="AF63" s="9" t="str">
        <v>VVVWWWVVV</v>
      </c>
      <c r="AG63" s="9">
        <v>4</v>
      </c>
    </row>
    <row r="64" spans="2:33" ht="22.5" customHeight="1">
      <c r="B64" s="2">
        <v>12</v>
      </c>
      <c r="C64" s="2">
        <v>1</v>
      </c>
      <c r="D64" s="16">
        <v>5</v>
      </c>
      <c r="E64" s="7" t="str">
        <v>Graz</v>
      </c>
      <c r="F64"/>
      <c r="G64" s="2" t="s">
        <v>58</v>
      </c>
      <c r="AC64" s="9" t="str">
        <v>RWSWRWSWR</v>
      </c>
      <c r="AF64" s="9" t="str">
        <v>RWRBWRRWR</v>
      </c>
      <c r="AG64" s="9">
        <v>4</v>
      </c>
    </row>
    <row r="65" spans="2:33" ht="22.5" customHeight="1">
      <c r="B65" s="2">
        <v>13</v>
      </c>
      <c r="C65" s="2">
        <v>1</v>
      </c>
      <c r="D65" s="16">
        <v>5</v>
      </c>
      <c r="E65" s="7" t="str">
        <v>Sevilla</v>
      </c>
      <c r="F65"/>
      <c r="G65" s="2" t="s">
        <v>59</v>
      </c>
      <c r="AC65" s="9" t="str">
        <v>RWBRWBRWB</v>
      </c>
      <c r="AF65" s="9" t="str">
        <v>YBYBVBYBY</v>
      </c>
      <c r="AG65" s="9">
        <v>2</v>
      </c>
    </row>
    <row r="66" spans="2:33" ht="22.5" customHeight="1">
      <c r="B66" s="2">
        <v>14</v>
      </c>
      <c r="C66" s="2">
        <v>1</v>
      </c>
      <c r="D66" s="16">
        <v>5</v>
      </c>
      <c r="E66" s="7" t="str">
        <v>Glasgow</v>
      </c>
      <c r="F66"/>
      <c r="G66" s="2" t="s">
        <v>60</v>
      </c>
      <c r="AC66" s="9" t="str">
        <v>RSRSRSRSR</v>
      </c>
      <c r="AF66" s="9" t="str">
        <v>BBBBWBBBB</v>
      </c>
      <c r="AG66" s="9">
        <v>5</v>
      </c>
    </row>
    <row r="67" spans="2:33" ht="22.5" customHeight="1">
      <c r="B67" s="2">
        <v>15</v>
      </c>
      <c r="C67" s="2">
        <v>1</v>
      </c>
      <c r="D67" s="16">
        <v>5</v>
      </c>
      <c r="E67" s="7" t="str">
        <v>Prague</v>
      </c>
      <c r="F67"/>
      <c r="G67" s="2" t="s">
        <v>61</v>
      </c>
      <c r="AC67" s="9" t="str">
        <v>RYRRRRRYR</v>
      </c>
      <c r="AF67" s="9" t="str">
        <v>RWRWRWRWR</v>
      </c>
      <c r="AG67" s="9">
        <v>4</v>
      </c>
    </row>
    <row r="68" spans="2:33" ht="22.5" customHeight="1">
      <c r="B68" s="2">
        <v>16</v>
      </c>
      <c r="C68" s="2">
        <v>1</v>
      </c>
      <c r="D68" s="16">
        <v>5</v>
      </c>
      <c r="E68" s="7" t="str">
        <v>Madrid</v>
      </c>
      <c r="F68"/>
      <c r="G68" s="2" t="s">
        <v>62</v>
      </c>
      <c r="AC68" s="9" t="str">
        <v>WBBWWWBBW</v>
      </c>
      <c r="AF68" s="9" t="str">
        <v>BBBWBWBBB</v>
      </c>
      <c r="AG68" s="9">
        <v>2</v>
      </c>
    </row>
    <row r="69" spans="2:33" ht="22.5" customHeight="1">
      <c r="B69" s="2">
        <v>17</v>
      </c>
      <c r="C69" s="2">
        <v>1</v>
      </c>
      <c r="D69" s="16">
        <v>5</v>
      </c>
      <c r="E69" s="7" t="str">
        <v>Strasbourg</v>
      </c>
      <c r="F69"/>
      <c r="G69" s="2" t="s">
        <v>63</v>
      </c>
      <c r="AC69" s="9" t="str">
        <v>WVWVWVWVW</v>
      </c>
      <c r="AF69" s="9" t="str">
        <v>VVWWWWWVV</v>
      </c>
      <c r="AG69" s="9">
        <v>2</v>
      </c>
    </row>
    <row r="70" spans="2:33" ht="22.5" customHeight="1">
      <c r="B70" s="2">
        <v>18</v>
      </c>
      <c r="C70" s="2">
        <v>1</v>
      </c>
      <c r="D70" s="16">
        <v>5</v>
      </c>
      <c r="E70" s="7" t="str">
        <v>Strasbourg</v>
      </c>
      <c r="F70"/>
      <c r="G70" s="2" t="s">
        <v>63</v>
      </c>
      <c r="AC70" s="9" t="str">
        <v>RWRRRRRWR</v>
      </c>
      <c r="AF70" s="9" t="str">
        <v>RRYYGGBBV</v>
      </c>
      <c r="AG70" s="9">
        <v>3</v>
      </c>
    </row>
    <row r="71" spans="2:33" ht="22.5" customHeight="1">
      <c r="B71" s="2">
        <v>19</v>
      </c>
      <c r="C71" s="2">
        <v>1</v>
      </c>
      <c r="D71" s="16">
        <v>5</v>
      </c>
      <c r="E71" s="7" t="str">
        <v>Riga</v>
      </c>
      <c r="F71"/>
      <c r="G71" s="2" t="s">
        <v>64</v>
      </c>
      <c r="AC71" s="9" t="str">
        <v>RSRSRSRSR</v>
      </c>
      <c r="AF71" s="9" t="str">
        <v>SWRWSWRWS</v>
      </c>
      <c r="AG71" s="9">
        <v>3</v>
      </c>
    </row>
    <row r="72" spans="2:33" ht="22.5" customHeight="1">
      <c r="B72" s="2">
        <v>20</v>
      </c>
      <c r="C72" s="2">
        <v>1</v>
      </c>
      <c r="D72" s="16">
        <v>5</v>
      </c>
      <c r="E72" s="7" t="str">
        <v>Kopenhagen</v>
      </c>
      <c r="F72"/>
      <c r="G72" s="2" t="s">
        <v>65</v>
      </c>
      <c r="AC72" s="9" t="str">
        <v>GGGGWRWWW</v>
      </c>
      <c r="AF72" s="9" t="str">
        <v>BWWBWWBWB</v>
      </c>
      <c r="AG72" s="9">
        <v>1</v>
      </c>
    </row>
    <row r="73" spans="2:33" ht="15" customHeight="1">
      <c r="AC73" s="9" t="str">
        <v>RRSSRSSRR</v>
      </c>
      <c r="AF73" s="9" t="str">
        <v>WGGGWGGGW</v>
      </c>
      <c r="AG73" s="9">
        <v>3</v>
      </c>
    </row>
    <row r="74" spans="2:33" ht="15" customHeight="1" thickBot="1">
      <c r="AC74" s="9" t="str">
        <v>RRWWRWWRR</v>
      </c>
      <c r="AF74" s="9" t="str">
        <v>BYRRRRRYB</v>
      </c>
      <c r="AG74" s="9">
        <v>3</v>
      </c>
    </row>
    <row r="75" spans="2:33" ht="22.5" customHeight="1" thickBot="1">
      <c r="B75" s="49" t="s">
        <v>66</v>
      </c>
      <c r="C75" s="50" t="s">
        <v>67</v>
      </c>
      <c r="D75" s="76" t="s">
        <v>68</v>
      </c>
      <c r="AC75" s="9" t="str">
        <v>SYWWWWWYS</v>
      </c>
      <c r="AF75" s="9" t="str">
        <v>BWWWBWWWB</v>
      </c>
      <c r="AG75" s="9">
        <v>2</v>
      </c>
    </row>
    <row r="76" spans="2:33" ht="15" customHeight="1">
      <c r="AC76" s="9" t="str">
        <v>BWWWWWWWB</v>
      </c>
      <c r="AF76" s="9" t="str">
        <v>WWRRWRRWW</v>
      </c>
      <c r="AG76" s="9">
        <v>1</v>
      </c>
    </row>
    <row r="77" spans="2:33" ht="15" customHeight="1">
      <c r="B77" s="77" t="s">
        <v>69</v>
      </c>
      <c r="C77" s="77"/>
      <c r="D77" s="77"/>
      <c r="AC77" s="9" t="str">
        <v>GGWWWWWGG</v>
      </c>
      <c r="AF77" s="9" t="str">
        <v>SRRSRSRRS</v>
      </c>
      <c r="AG77" s="9">
        <v>3</v>
      </c>
    </row>
    <row r="78" spans="2:33" ht="15" customHeight="1">
      <c r="B78" s="77" t="s">
        <v>70</v>
      </c>
      <c r="C78" s="77"/>
      <c r="D78" s="77"/>
      <c r="AC78" s="9" t="str">
        <v>BBWBWBWBB</v>
      </c>
      <c r="AF78" s="9" t="str">
        <v>BWBBWBBWB</v>
      </c>
      <c r="AG78" s="9">
        <v>1</v>
      </c>
    </row>
    <row r="79" spans="2:33" ht="15" customHeight="1">
      <c r="B79" s="88" t="s">
        <v>71</v>
      </c>
      <c r="C79" s="77"/>
      <c r="D79" s="77"/>
      <c r="AC79" s="9" t="str">
        <v>VVVWWWVVV</v>
      </c>
      <c r="AF79" s="9" t="str">
        <v>RWBBBBBWR</v>
      </c>
      <c r="AG79" s="9">
        <v>3</v>
      </c>
    </row>
    <row r="80" spans="2:33" ht="15" customHeight="1">
      <c r="B80" s="77"/>
      <c r="C80" s="77"/>
      <c r="D80" s="77"/>
      <c r="AC80" s="9" t="str">
        <v>RWBRWBRWB</v>
      </c>
      <c r="AF80" s="9" t="str">
        <v>GGGSWSGGG</v>
      </c>
      <c r="AG80" s="9">
        <v>1</v>
      </c>
    </row>
    <row r="81" spans="2:33" ht="15" customHeight="1">
      <c r="B81" s="76" t="s">
        <v>72</v>
      </c>
      <c r="C81" s="77"/>
      <c r="D81" s="77"/>
      <c r="AC81" s="9" t="str">
        <v>WBBWWWBBW</v>
      </c>
      <c r="AF81" s="9" t="str">
        <v>RRRWRRWWR</v>
      </c>
      <c r="AG81" s="9">
        <v>2</v>
      </c>
    </row>
    <row r="82" spans="2:33" ht="15" customHeight="1">
      <c r="B82" s="76"/>
      <c r="C82" s="77"/>
      <c r="D82" s="77"/>
      <c r="AC82" s="9" t="str">
        <v>RSRSRSRSR</v>
      </c>
      <c r="AF82" s="9" t="str">
        <v>BBBWRWBBB</v>
      </c>
      <c r="AG82" s="9">
        <v>5</v>
      </c>
    </row>
    <row r="83" spans="2:33" ht="15" customHeight="1">
      <c r="B83" s="78" t="s">
        <v>73</v>
      </c>
      <c r="C83" s="77" t="s">
        <v>74</v>
      </c>
      <c r="D83" s="77"/>
      <c r="AC83" s="9" t="str">
        <v>WBWWWWWBW</v>
      </c>
      <c r="AF83" s="9" t="str">
        <v>BWBBBBBWB</v>
      </c>
      <c r="AG83" s="9">
        <v>2</v>
      </c>
    </row>
    <row r="84" spans="2:33" ht="15" customHeight="1">
      <c r="C84" s="77" t="s">
        <v>75</v>
      </c>
      <c r="D84" s="77"/>
      <c r="AC84" s="9" t="str">
        <v>RWRBWRRWR</v>
      </c>
      <c r="AF84" s="9" t="str">
        <v>GGGWWWGGG</v>
      </c>
      <c r="AG84" s="9">
        <v>6</v>
      </c>
    </row>
    <row r="85" spans="2:33" ht="15" customHeight="1">
      <c r="C85" s="77" t="s">
        <v>76</v>
      </c>
      <c r="D85" s="77"/>
      <c r="AC85" s="9" t="str">
        <v>GGWWYWWGG</v>
      </c>
      <c r="AF85" s="9" t="str">
        <v>BBBWWWBBB</v>
      </c>
      <c r="AG85" s="9">
        <v>1</v>
      </c>
    </row>
    <row r="86" spans="2:33" ht="15" customHeight="1">
      <c r="C86" s="77" t="s">
        <v>77</v>
      </c>
      <c r="D86" s="77"/>
      <c r="AC86" s="9" t="str">
        <v>RRVBWBVRR</v>
      </c>
      <c r="AF86" s="9" t="str">
        <v>GGWGWGWGG</v>
      </c>
      <c r="AG86" s="9">
        <v>2</v>
      </c>
    </row>
    <row r="87" spans="2:33" ht="15" customHeight="1">
      <c r="B87" s="76"/>
      <c r="C87" s="79"/>
      <c r="D87" s="77"/>
      <c r="AC87" s="9" t="str">
        <v>YBYBVBYBY</v>
      </c>
      <c r="AF87" s="9" t="str">
        <v>WRRWWWRRW</v>
      </c>
      <c r="AG87" s="9">
        <v>2</v>
      </c>
    </row>
    <row r="88" spans="2:33" ht="15" customHeight="1">
      <c r="B88" s="76" t="s">
        <v>78</v>
      </c>
      <c r="C88" s="77" t="s">
        <v>79</v>
      </c>
      <c r="D88" s="77"/>
      <c r="AC88" s="9" t="str">
        <v>RWBRWBRWB</v>
      </c>
      <c r="AF88" s="9" t="str">
        <v>GSGSGSGSG</v>
      </c>
      <c r="AG88" s="9">
        <v>6</v>
      </c>
    </row>
    <row r="89" spans="2:33" ht="15" customHeight="1">
      <c r="B89" s="76" t="s">
        <v>80</v>
      </c>
      <c r="C89" s="77" t="s">
        <v>81</v>
      </c>
      <c r="D89" s="77"/>
      <c r="AC89" s="9" t="str">
        <v>BBBBWBBBB</v>
      </c>
      <c r="AF89" s="9" t="str">
        <v>RRWWWWWRR</v>
      </c>
      <c r="AG89" s="9">
        <v>3</v>
      </c>
    </row>
    <row r="90" spans="2:33" ht="15" customHeight="1">
      <c r="B90" s="76" t="s">
        <v>82</v>
      </c>
      <c r="C90" s="77" t="s">
        <v>83</v>
      </c>
      <c r="D90" s="77"/>
      <c r="AC90" s="9" t="str">
        <v>WWWRRRWWW</v>
      </c>
      <c r="AF90" s="9" t="str">
        <v>GWWGGGWWG</v>
      </c>
      <c r="AG90" s="9">
        <v>2</v>
      </c>
    </row>
    <row r="91" spans="2:33" ht="15" customHeight="1" thickBot="1">
      <c r="AC91" s="9" t="str">
        <v>RSSRRRSSR</v>
      </c>
      <c r="AF91" s="9" t="str">
        <v>BRBRBRBRB</v>
      </c>
      <c r="AG91" s="9">
        <v>3</v>
      </c>
    </row>
    <row r="92" spans="2:33" ht="22.5" customHeight="1" thickBot="1">
      <c r="B92" s="44" t="s">
        <v>13</v>
      </c>
      <c r="C92" s="45" t="s">
        <v>42</v>
      </c>
      <c r="D92" s="44" t="s">
        <v>15</v>
      </c>
      <c r="E92" s="51" t="s">
        <v>16</v>
      </c>
      <c r="G92" s="44" t="s">
        <v>43</v>
      </c>
      <c r="AC92" s="9" t="str">
        <v>RWRWRWRWR</v>
      </c>
      <c r="AF92" s="9" t="str">
        <v>GWSGWSGWS</v>
      </c>
      <c r="AG92" s="9">
        <v>2</v>
      </c>
    </row>
    <row r="93" spans="2:33" ht="15" customHeight="1">
      <c r="AC93" s="9" t="str">
        <v>RWRRRRRWR</v>
      </c>
      <c r="AF93" s="9" t="str">
        <v>WGWGWGWGW</v>
      </c>
      <c r="AG93" s="9">
        <v>3</v>
      </c>
    </row>
    <row r="94" spans="2:33" ht="22.5" customHeight="1">
      <c r="B94" s="2" t="s">
        <v>84</v>
      </c>
      <c r="C94" s="2">
        <v>2</v>
      </c>
      <c r="D94" s="16">
        <v>0</v>
      </c>
      <c r="E94" s="7">
        <v>762</v>
      </c>
      <c r="F94"/>
      <c r="G94" s="3" t="s">
        <v>55</v>
      </c>
      <c r="AC94" s="9" t="str">
        <v>YYSSSSSYY</v>
      </c>
      <c r="AF94" s="9" t="str">
        <v>BBWWBWWBB</v>
      </c>
      <c r="AG94" s="9">
        <v>3</v>
      </c>
    </row>
    <row r="95" spans="2:33" ht="15" customHeight="1">
      <c r="B95" s="17"/>
      <c r="C95" s="17"/>
      <c r="D95" s="17"/>
      <c r="E95" s="17"/>
      <c r="I95" s="9" t="s">
        <v>368</v>
      </c>
      <c r="J95" s="9" t="s">
        <v>294</v>
      </c>
      <c r="AC95" s="9" t="str">
        <v>RRWWRWWRR</v>
      </c>
      <c r="AF95" s="9" t="str">
        <v>WYBWWWBYW</v>
      </c>
      <c r="AG95" s="9">
        <v>2</v>
      </c>
    </row>
    <row r="96" spans="2:33" ht="22.5" customHeight="1">
      <c r="B96" s="2">
        <v>21</v>
      </c>
      <c r="C96" s="2">
        <v>2</v>
      </c>
      <c r="D96" s="16">
        <v>7</v>
      </c>
      <c r="E96" s="7">
        <f>ROUND(100 * SQRT(POWER(startX - I96, 2) + POWER(startY -J96, 2)), 0)</f>
        <v>906</v>
      </c>
      <c r="F96"/>
      <c r="G96" s="3" t="s">
        <v>49</v>
      </c>
      <c r="H96" s="9" t="str" cm="1">
        <f t="array" ref="H96:H115">_xlfn.XLOOKUP(G96:G115,tblS[Scarf Code],tblS[City],,0,1)</f>
        <v>Basel</v>
      </c>
      <c r="I96" s="9" cm="1">
        <f t="array" ref="I96:I115">_xlfn.XLOOKUP(_xlfn.ANCHORARRAY(H96),tblS[City],tblS[X-Coordinates],,0,1)</f>
        <v>47</v>
      </c>
      <c r="J96" s="9" cm="1">
        <f t="array" ref="J96:J115">_xlfn.XLOOKUP(_xlfn.ANCHORARRAY(H96),tblS[City],tblS[Y-Coordinates],,0,1)</f>
        <v>18</v>
      </c>
      <c r="AC96" s="9" t="str">
        <v>BBBWBWBBB</v>
      </c>
      <c r="AF96" s="9" t="str">
        <v>WWBBBBBWW</v>
      </c>
      <c r="AG96" s="9">
        <v>2</v>
      </c>
    </row>
    <row r="97" spans="2:33" ht="22.5" customHeight="1">
      <c r="B97" s="2">
        <v>22</v>
      </c>
      <c r="C97" s="2">
        <v>2</v>
      </c>
      <c r="D97" s="16">
        <v>7</v>
      </c>
      <c r="E97" s="7">
        <f>ROUND(100 * SQRT(POWER(startX - I97, 2) + POWER(startY -J97, 2)), 0)</f>
        <v>2025</v>
      </c>
      <c r="F97"/>
      <c r="G97" s="3" t="s">
        <v>85</v>
      </c>
      <c r="H97" s="9" t="str">
        <v>Edinburgh</v>
      </c>
      <c r="I97" s="9">
        <v>55</v>
      </c>
      <c r="J97" s="9">
        <v>8</v>
      </c>
      <c r="AC97" s="9" t="str">
        <v>GWGWGWGWG</v>
      </c>
      <c r="AF97" s="9" t="str">
        <v>SSWSSSWSS</v>
      </c>
      <c r="AG97" s="9">
        <v>4</v>
      </c>
    </row>
    <row r="98" spans="2:33" ht="22.5" customHeight="1">
      <c r="B98" s="2">
        <v>23</v>
      </c>
      <c r="C98" s="2">
        <v>2</v>
      </c>
      <c r="D98" s="16">
        <v>7</v>
      </c>
      <c r="E98" s="7">
        <f>ROUND(100 * SQRT(POWER(startX - I98, 2) + POWER(startY -J98, 2)), 0)</f>
        <v>1265</v>
      </c>
      <c r="F98"/>
      <c r="G98" s="3" t="s">
        <v>86</v>
      </c>
      <c r="H98" s="9" t="str">
        <v>Amsterdam</v>
      </c>
      <c r="I98" s="9">
        <v>52</v>
      </c>
      <c r="J98" s="9">
        <v>15</v>
      </c>
      <c r="AC98" s="9" t="str">
        <v>VVWWWWWVV</v>
      </c>
      <c r="AF98" s="9" t="str">
        <v>WBBWWWWBW</v>
      </c>
      <c r="AG98" s="9">
        <v>1</v>
      </c>
    </row>
    <row r="99" spans="2:33" ht="22.5" customHeight="1">
      <c r="B99" s="2">
        <v>24</v>
      </c>
      <c r="C99" s="2">
        <v>2</v>
      </c>
      <c r="D99" s="16">
        <v>7</v>
      </c>
      <c r="E99" s="7">
        <f>ROUND(100 * SQRT(POWER(startX - I99, 2) + POWER(startY -J99, 2)), 0)</f>
        <v>2012</v>
      </c>
      <c r="F99"/>
      <c r="G99" s="3" t="s">
        <v>87</v>
      </c>
      <c r="H99" s="9" t="str">
        <v>Aberdeen</v>
      </c>
      <c r="I99" s="9">
        <v>57</v>
      </c>
      <c r="J99" s="9">
        <v>9</v>
      </c>
      <c r="AC99" s="9" t="str">
        <v>BBBWBWBBB</v>
      </c>
      <c r="AF99" s="9" t="str">
        <v>VVYVYVYVV</v>
      </c>
      <c r="AG99" s="9">
        <v>3</v>
      </c>
    </row>
    <row r="100" spans="2:33" ht="22.5" customHeight="1">
      <c r="B100" s="2">
        <v>25</v>
      </c>
      <c r="C100" s="2">
        <v>2</v>
      </c>
      <c r="D100" s="16">
        <v>7</v>
      </c>
      <c r="E100" s="7">
        <f>ROUND(100 * SQRT(POWER(startX - I100, 2) + POWER(startY -J100, 2)), 0)</f>
        <v>316</v>
      </c>
      <c r="F100"/>
      <c r="G100" s="3" t="s">
        <v>88</v>
      </c>
      <c r="H100" s="9" t="str">
        <v>Salzburg</v>
      </c>
      <c r="I100" s="9">
        <v>47</v>
      </c>
      <c r="J100" s="9">
        <v>24</v>
      </c>
      <c r="AC100" s="9" t="str">
        <v>GGWGGGWGG</v>
      </c>
      <c r="AF100" s="9" t="str">
        <v>RRWRRRWRR</v>
      </c>
      <c r="AG100" s="9">
        <v>3</v>
      </c>
    </row>
    <row r="101" spans="2:33" ht="22.5" customHeight="1">
      <c r="B101" s="2">
        <v>26</v>
      </c>
      <c r="C101" s="2">
        <v>2</v>
      </c>
      <c r="D101" s="16">
        <v>7</v>
      </c>
      <c r="E101" s="7">
        <f>ROUND(100 * SQRT(POWER(startX - I101, 2) + POWER(startY -J101, 2)), 0)</f>
        <v>1442</v>
      </c>
      <c r="F101"/>
      <c r="G101" s="3" t="s">
        <v>89</v>
      </c>
      <c r="H101" s="9" t="str">
        <v>Helsinki</v>
      </c>
      <c r="I101" s="9">
        <v>60</v>
      </c>
      <c r="J101" s="9">
        <v>35</v>
      </c>
      <c r="AC101" s="9" t="str">
        <v>SYWWWWWYS</v>
      </c>
      <c r="AF101" s="9" t="str">
        <v>WGGGGGGGW</v>
      </c>
      <c r="AG101" s="9">
        <v>1</v>
      </c>
    </row>
    <row r="102" spans="2:33" ht="22.5" customHeight="1">
      <c r="B102" s="2">
        <v>27</v>
      </c>
      <c r="C102" s="2">
        <v>2</v>
      </c>
      <c r="D102" s="16">
        <v>7</v>
      </c>
      <c r="E102" s="7">
        <f>ROUND(100 * SQRT(POWER(startX - I102, 2) + POWER(startY -J102, 2)), 0)</f>
        <v>721</v>
      </c>
      <c r="F102"/>
      <c r="G102" s="3" t="s">
        <v>90</v>
      </c>
      <c r="H102" s="9" t="str">
        <v>Braunschweig</v>
      </c>
      <c r="I102" s="9">
        <v>52</v>
      </c>
      <c r="J102" s="9">
        <v>21</v>
      </c>
      <c r="AC102" s="9" t="str">
        <v>BYBWBWBYB</v>
      </c>
      <c r="AF102" s="9" t="str">
        <v>SWGSWGSWG</v>
      </c>
      <c r="AG102" s="9">
        <v>1</v>
      </c>
    </row>
    <row r="103" spans="2:33" ht="22.5" customHeight="1">
      <c r="B103" s="2">
        <v>28</v>
      </c>
      <c r="C103" s="2">
        <v>2</v>
      </c>
      <c r="D103" s="16">
        <v>7</v>
      </c>
      <c r="E103" s="7">
        <f>ROUND(100 * SQRT(POWER(startX - I103, 2) + POWER(startY -J103, 2)), 0)</f>
        <v>2786</v>
      </c>
      <c r="F103"/>
      <c r="G103" s="3" t="s">
        <v>91</v>
      </c>
      <c r="H103" s="9" t="str">
        <v>Lisbon</v>
      </c>
      <c r="I103" s="9">
        <v>38</v>
      </c>
      <c r="J103" s="9">
        <v>1</v>
      </c>
      <c r="AC103" s="9" t="str">
        <v>RRYYGGBBV</v>
      </c>
      <c r="AF103" s="9" t="str">
        <v>BWWBBBWWB</v>
      </c>
      <c r="AG103" s="9">
        <v>3</v>
      </c>
    </row>
    <row r="104" spans="2:33" ht="22.5" customHeight="1">
      <c r="B104" s="2">
        <v>29</v>
      </c>
      <c r="C104" s="2">
        <v>2</v>
      </c>
      <c r="D104" s="16">
        <v>7</v>
      </c>
      <c r="E104" s="7">
        <f>ROUND(100 * SQRT(POWER(startX - I104, 2) + POWER(startY -J104, 2)), 0)</f>
        <v>2025</v>
      </c>
      <c r="F104"/>
      <c r="G104" s="3" t="s">
        <v>92</v>
      </c>
      <c r="H104" s="9" t="str">
        <v>Edinburgh</v>
      </c>
      <c r="I104" s="9">
        <v>55</v>
      </c>
      <c r="J104" s="9">
        <v>8</v>
      </c>
      <c r="AC104" s="9" t="str">
        <v>BBSSBBSSB</v>
      </c>
      <c r="AF104" s="9" t="str">
        <v>SWSWSWSWS</v>
      </c>
      <c r="AG104" s="9">
        <v>2</v>
      </c>
    </row>
    <row r="105" spans="2:33" ht="22.5" customHeight="1">
      <c r="B105" s="2">
        <v>30</v>
      </c>
      <c r="C105" s="2">
        <v>2</v>
      </c>
      <c r="D105" s="16">
        <v>7</v>
      </c>
      <c r="E105" s="7">
        <f>ROUND(100 * SQRT(POWER(startX - I105, 2) + POWER(startY -J105, 2)), 0)</f>
        <v>1965</v>
      </c>
      <c r="F105"/>
      <c r="G105" s="3" t="s">
        <v>57</v>
      </c>
      <c r="H105" s="9" t="str">
        <v>Bilbao</v>
      </c>
      <c r="I105" s="9">
        <v>43</v>
      </c>
      <c r="J105" s="9">
        <v>8</v>
      </c>
      <c r="AC105" s="9" t="str">
        <v>SWRWSWRWS</v>
      </c>
      <c r="AF105" s="9" t="str">
        <v>WBWBWBWBW</v>
      </c>
      <c r="AG105" s="9">
        <v>1</v>
      </c>
    </row>
    <row r="106" spans="2:33" ht="22.5" customHeight="1">
      <c r="B106" s="2">
        <v>31</v>
      </c>
      <c r="C106" s="2">
        <v>2</v>
      </c>
      <c r="D106" s="16">
        <v>7</v>
      </c>
      <c r="E106" s="7">
        <f>ROUND(100 * SQRT(POWER(startX - I106, 2) + POWER(startY -J106, 2)), 0)</f>
        <v>906</v>
      </c>
      <c r="F106"/>
      <c r="G106" s="3" t="s">
        <v>93</v>
      </c>
      <c r="H106" s="9" t="str">
        <v>Saarbrücken</v>
      </c>
      <c r="I106" s="9">
        <v>49</v>
      </c>
      <c r="J106" s="9">
        <v>18</v>
      </c>
      <c r="AC106" s="9" t="str">
        <v>BWWBWWBWB</v>
      </c>
      <c r="AF106" s="9" t="str">
        <v>SSSWWWSSS</v>
      </c>
      <c r="AG106" s="9">
        <v>1</v>
      </c>
    </row>
    <row r="107" spans="2:33" ht="22.5" customHeight="1">
      <c r="B107" s="2">
        <v>32</v>
      </c>
      <c r="C107" s="2">
        <v>2</v>
      </c>
      <c r="D107" s="16">
        <v>7</v>
      </c>
      <c r="E107" s="7">
        <f>ROUND(100 * SQRT(POWER(startX - I107, 2) + POWER(startY -J107, 2)), 0)</f>
        <v>1800</v>
      </c>
      <c r="F107"/>
      <c r="G107" s="3" t="s">
        <v>94</v>
      </c>
      <c r="H107" s="9" t="str">
        <v>Rennes</v>
      </c>
      <c r="I107" s="9">
        <v>48</v>
      </c>
      <c r="J107" s="9">
        <v>9</v>
      </c>
      <c r="AC107" s="9" t="str">
        <v>WWRWRRWRR</v>
      </c>
      <c r="AF107" s="9" t="str">
        <v>RWRWWWRWR</v>
      </c>
      <c r="AG107" s="9">
        <v>1</v>
      </c>
    </row>
    <row r="108" spans="2:33" ht="22.5" customHeight="1">
      <c r="B108" s="2">
        <v>33</v>
      </c>
      <c r="C108" s="2">
        <v>2</v>
      </c>
      <c r="D108" s="16">
        <v>7</v>
      </c>
      <c r="E108" s="7">
        <f>ROUND(100 * SQRT(POWER(startX - I108, 2) + POWER(startY -J108, 2)), 0)</f>
        <v>781</v>
      </c>
      <c r="F108"/>
      <c r="G108" s="3" t="s">
        <v>95</v>
      </c>
      <c r="H108" s="9" t="str">
        <v>Hamburg</v>
      </c>
      <c r="I108" s="9">
        <v>53</v>
      </c>
      <c r="J108" s="9">
        <v>21</v>
      </c>
      <c r="AC108" s="9" t="str">
        <v>WGGGWGGGW</v>
      </c>
    </row>
    <row r="109" spans="2:33" ht="22.5" customHeight="1">
      <c r="B109" s="2">
        <v>34</v>
      </c>
      <c r="C109" s="2">
        <v>2</v>
      </c>
      <c r="D109" s="16">
        <v>7</v>
      </c>
      <c r="E109" s="7">
        <f>ROUND(100 * SQRT(POWER(startX - I109, 2) + POWER(startY -J109, 2)), 0)</f>
        <v>990</v>
      </c>
      <c r="F109"/>
      <c r="G109" s="3" t="s">
        <v>96</v>
      </c>
      <c r="H109" s="9" t="str">
        <v>Porto</v>
      </c>
      <c r="I109" s="9">
        <v>41</v>
      </c>
      <c r="J109" s="9">
        <v>20</v>
      </c>
      <c r="AC109" s="9" t="str">
        <v>BSBBBBBWB</v>
      </c>
    </row>
    <row r="110" spans="2:33" ht="22.5" customHeight="1">
      <c r="B110" s="2">
        <v>35</v>
      </c>
      <c r="C110" s="2">
        <v>2</v>
      </c>
      <c r="D110" s="16">
        <v>7</v>
      </c>
      <c r="E110" s="7">
        <f>ROUND(100 * SQRT(POWER(startX - I110, 2) + POWER(startY -J110, 2)), 0)</f>
        <v>922</v>
      </c>
      <c r="F110"/>
      <c r="G110" s="3" t="s">
        <v>97</v>
      </c>
      <c r="H110" s="9" t="str">
        <v>Bern</v>
      </c>
      <c r="I110" s="9">
        <v>46</v>
      </c>
      <c r="J110" s="9">
        <v>18</v>
      </c>
      <c r="AC110" s="9" t="str">
        <v>BYRRRRRYB</v>
      </c>
    </row>
    <row r="111" spans="2:33" ht="22.5" customHeight="1">
      <c r="B111" s="2">
        <v>36</v>
      </c>
      <c r="C111" s="2">
        <v>2</v>
      </c>
      <c r="D111" s="16">
        <v>7</v>
      </c>
      <c r="E111" s="7">
        <f>ROUND(100 * SQRT(POWER(startX - I111, 2) + POWER(startY -J111, 2)), 0)</f>
        <v>1304</v>
      </c>
      <c r="F111"/>
      <c r="G111" s="3" t="s">
        <v>98</v>
      </c>
      <c r="H111" s="9" t="str">
        <v>Athens</v>
      </c>
      <c r="I111" s="9">
        <v>37</v>
      </c>
      <c r="J111" s="9">
        <v>34</v>
      </c>
      <c r="AC111" s="9" t="str">
        <v>BBSSBBSSB</v>
      </c>
    </row>
    <row r="112" spans="2:33" ht="22.5" customHeight="1">
      <c r="B112" s="2">
        <v>37</v>
      </c>
      <c r="C112" s="2">
        <v>2</v>
      </c>
      <c r="D112" s="16">
        <v>7</v>
      </c>
      <c r="E112" s="7">
        <f>ROUND(100 * SQRT(POWER(startX - I112, 2) + POWER(startY -J112, 2)), 0)</f>
        <v>283</v>
      </c>
      <c r="F112"/>
      <c r="G112" s="3" t="s">
        <v>61</v>
      </c>
      <c r="H112" s="9" t="str">
        <v>Prague</v>
      </c>
      <c r="I112" s="9">
        <v>50</v>
      </c>
      <c r="J112" s="9">
        <v>25</v>
      </c>
      <c r="AC112" s="9" t="str">
        <v>RYRRRRRYR</v>
      </c>
    </row>
    <row r="113" spans="2:29" ht="22.5" customHeight="1">
      <c r="B113" s="2">
        <v>38</v>
      </c>
      <c r="C113" s="2">
        <v>2</v>
      </c>
      <c r="D113" s="16">
        <v>7</v>
      </c>
      <c r="E113" s="7">
        <f>ROUND(100 * SQRT(POWER(startX - I113, 2) + POWER(startY -J113, 2)), 0)</f>
        <v>707</v>
      </c>
      <c r="F113"/>
      <c r="G113" s="3" t="s">
        <v>52</v>
      </c>
      <c r="H113" s="9" t="str">
        <v>St. Gallen</v>
      </c>
      <c r="I113" s="9">
        <v>47</v>
      </c>
      <c r="J113" s="9">
        <v>20</v>
      </c>
      <c r="AC113" s="9" t="str">
        <v>BWWWBWWWB</v>
      </c>
    </row>
    <row r="114" spans="2:29" ht="22.5" customHeight="1">
      <c r="B114" s="2">
        <v>39</v>
      </c>
      <c r="C114" s="2">
        <v>2</v>
      </c>
      <c r="D114" s="16">
        <v>7</v>
      </c>
      <c r="E114" s="7">
        <f>ROUND(100 * SQRT(POWER(startX - I114, 2) + POWER(startY -J114, 2)), 0)</f>
        <v>1868</v>
      </c>
      <c r="F114"/>
      <c r="G114" s="3" t="s">
        <v>99</v>
      </c>
      <c r="H114" s="9" t="str">
        <v>Sociedad</v>
      </c>
      <c r="I114" s="9">
        <v>43</v>
      </c>
      <c r="J114" s="9">
        <v>9</v>
      </c>
      <c r="AC114" s="9" t="str">
        <v>WWRRWRRWW</v>
      </c>
    </row>
    <row r="115" spans="2:29" ht="22.5" customHeight="1">
      <c r="B115" s="2">
        <v>40</v>
      </c>
      <c r="C115" s="2">
        <v>2</v>
      </c>
      <c r="D115" s="16">
        <v>7</v>
      </c>
      <c r="E115" s="7">
        <f>ROUND(100 * SQRT(POWER(startX - I115, 2) + POWER(startY -J115, 2)), 0)</f>
        <v>1131</v>
      </c>
      <c r="F115"/>
      <c r="G115" s="3" t="s">
        <v>64</v>
      </c>
      <c r="H115" s="9" t="str">
        <v>Riga</v>
      </c>
      <c r="I115" s="9">
        <v>56</v>
      </c>
      <c r="J115" s="9">
        <v>35</v>
      </c>
      <c r="AC115" s="9" t="str">
        <v>BWWWWWWWB</v>
      </c>
    </row>
    <row r="116" spans="2:29" ht="15" customHeight="1">
      <c r="AC116" s="9" t="str">
        <v>RWBRWBRWB</v>
      </c>
    </row>
    <row r="117" spans="2:29" ht="15" customHeight="1" thickBot="1">
      <c r="AC117" s="9" t="str">
        <v>SRRSRSRRS</v>
      </c>
    </row>
    <row r="118" spans="2:29" ht="22.5" customHeight="1" thickBot="1">
      <c r="B118" s="49" t="s">
        <v>100</v>
      </c>
      <c r="C118" s="53" t="s">
        <v>101</v>
      </c>
      <c r="D118" s="76" t="s">
        <v>102</v>
      </c>
      <c r="AC118" s="9" t="str">
        <v>BWBBWBBWB</v>
      </c>
    </row>
    <row r="119" spans="2:29" ht="15" customHeight="1">
      <c r="AC119" s="9" t="str">
        <v>WBWWWWWBW</v>
      </c>
    </row>
    <row r="120" spans="2:29" ht="15" customHeight="1">
      <c r="B120" s="77" t="s">
        <v>103</v>
      </c>
      <c r="C120" s="77"/>
      <c r="D120" s="77"/>
      <c r="AC120" s="9" t="str">
        <v>BSBSBSBSB</v>
      </c>
    </row>
    <row r="121" spans="2:29" ht="15" customHeight="1">
      <c r="B121" s="77" t="s">
        <v>104</v>
      </c>
      <c r="C121" s="77"/>
      <c r="D121" s="77"/>
      <c r="AC121" s="9" t="str">
        <v>RWBBBBBWR</v>
      </c>
    </row>
    <row r="122" spans="2:29" ht="15" customHeight="1">
      <c r="B122" s="77" t="s">
        <v>105</v>
      </c>
      <c r="C122" s="77"/>
      <c r="D122" s="77"/>
      <c r="AC122" s="9" t="str">
        <v>VVVWWWVVV</v>
      </c>
    </row>
    <row r="123" spans="2:29" ht="15" customHeight="1">
      <c r="B123" s="77" t="s">
        <v>106</v>
      </c>
      <c r="C123" s="77"/>
      <c r="D123" s="77"/>
      <c r="AC123" s="9" t="str">
        <v>RSRSRSRSR</v>
      </c>
    </row>
    <row r="124" spans="2:29" ht="15" customHeight="1">
      <c r="B124" s="77" t="s">
        <v>107</v>
      </c>
      <c r="C124" s="77"/>
      <c r="D124" s="77"/>
      <c r="AC124" s="9" t="str">
        <v>WRRWRWRRW</v>
      </c>
    </row>
    <row r="125" spans="2:29" ht="15" customHeight="1">
      <c r="B125" s="76"/>
      <c r="C125" s="77"/>
      <c r="D125" s="77"/>
      <c r="AC125" s="9" t="str">
        <v>BBBBWBBBB</v>
      </c>
    </row>
    <row r="126" spans="2:29" ht="15" customHeight="1">
      <c r="B126" s="76" t="s">
        <v>108</v>
      </c>
      <c r="C126" s="77"/>
      <c r="D126" s="77"/>
      <c r="AC126" s="9" t="str">
        <v>GGGSWSGGG</v>
      </c>
    </row>
    <row r="127" spans="2:29" ht="15" customHeight="1">
      <c r="B127" s="77"/>
      <c r="C127" s="77"/>
      <c r="D127" s="77"/>
      <c r="AC127" s="9" t="str">
        <v>WWWRRRWWW</v>
      </c>
    </row>
    <row r="128" spans="2:29" ht="15" customHeight="1">
      <c r="B128" s="78" t="s">
        <v>109</v>
      </c>
      <c r="C128" s="77" t="s">
        <v>110</v>
      </c>
      <c r="D128" s="77"/>
      <c r="AC128" s="9" t="str">
        <v>WWWRRRWWW</v>
      </c>
    </row>
    <row r="129" spans="2:29" ht="15" customHeight="1">
      <c r="C129" s="77" t="s">
        <v>111</v>
      </c>
      <c r="D129" s="77"/>
      <c r="AC129" s="9" t="str">
        <v>WBBWWWBBW</v>
      </c>
    </row>
    <row r="130" spans="2:29" ht="15" customHeight="1">
      <c r="C130" s="77" t="s">
        <v>112</v>
      </c>
      <c r="D130" s="77"/>
      <c r="AC130" s="9" t="str">
        <v>BBWRWRWBB</v>
      </c>
    </row>
    <row r="131" spans="2:29" ht="15" customHeight="1">
      <c r="B131" s="77"/>
      <c r="D131" s="77"/>
      <c r="AC131" s="9" t="str">
        <v>SRRSRSRRS</v>
      </c>
    </row>
    <row r="132" spans="2:29" ht="15" customHeight="1">
      <c r="C132" s="77" t="s">
        <v>113</v>
      </c>
      <c r="D132" s="77"/>
      <c r="AC132" s="9" t="str">
        <v>BSBSBSBSB</v>
      </c>
    </row>
    <row r="133" spans="2:29" ht="15" customHeight="1">
      <c r="B133" s="77"/>
      <c r="C133" s="79"/>
      <c r="D133" s="77"/>
      <c r="AC133" s="9" t="str">
        <v>RWRBWRRWR</v>
      </c>
    </row>
    <row r="134" spans="2:29" ht="15" customHeight="1">
      <c r="B134" s="76" t="s">
        <v>114</v>
      </c>
      <c r="C134" s="77" t="s">
        <v>115</v>
      </c>
      <c r="D134" s="77"/>
      <c r="AC134" s="9" t="str">
        <v>YYSSSSSYY</v>
      </c>
    </row>
    <row r="135" spans="2:29" ht="15" customHeight="1">
      <c r="B135" s="76" t="s">
        <v>116</v>
      </c>
      <c r="C135" s="77" t="s">
        <v>117</v>
      </c>
      <c r="D135" s="77"/>
      <c r="AC135" s="9" t="str">
        <v>RRRWRRWWR</v>
      </c>
    </row>
    <row r="136" spans="2:29" ht="15" customHeight="1">
      <c r="B136" s="76" t="s">
        <v>118</v>
      </c>
      <c r="C136" s="77" t="s">
        <v>119</v>
      </c>
      <c r="D136" s="77"/>
      <c r="AC136" s="9" t="str">
        <v>RRYYGGBBV</v>
      </c>
    </row>
    <row r="137" spans="2:29" ht="15" customHeight="1" thickBot="1">
      <c r="AC137" s="9" t="str">
        <v>BBBWRWBBB</v>
      </c>
    </row>
    <row r="138" spans="2:29" ht="22.5" customHeight="1" thickBot="1">
      <c r="B138" s="44" t="s">
        <v>13</v>
      </c>
      <c r="C138" s="45" t="s">
        <v>42</v>
      </c>
      <c r="D138" s="44" t="s">
        <v>15</v>
      </c>
      <c r="E138" s="51" t="s">
        <v>16</v>
      </c>
      <c r="G138" s="45" t="s">
        <v>120</v>
      </c>
      <c r="H138" s="44" t="s">
        <v>121</v>
      </c>
      <c r="I138" s="51" t="s">
        <v>122</v>
      </c>
      <c r="AC138" s="9" t="str">
        <v>BWBBBBBWB</v>
      </c>
    </row>
    <row r="139" spans="2:29" ht="15" customHeight="1">
      <c r="AC139" s="9" t="str">
        <v>BBBBWBBBB</v>
      </c>
    </row>
    <row r="140" spans="2:29" ht="22.5" customHeight="1">
      <c r="B140" s="2" t="s">
        <v>123</v>
      </c>
      <c r="C140" s="2">
        <v>3</v>
      </c>
      <c r="D140" s="16">
        <v>0</v>
      </c>
      <c r="E140" s="7">
        <v>5514</v>
      </c>
      <c r="F140"/>
      <c r="G140" s="3" t="s">
        <v>124</v>
      </c>
      <c r="H140" s="3" t="s">
        <v>91</v>
      </c>
      <c r="I140" s="3" t="s">
        <v>125</v>
      </c>
      <c r="J140" s="9" t="s">
        <v>380</v>
      </c>
      <c r="O140" s="9" t="s">
        <v>381</v>
      </c>
      <c r="AC140" s="9" t="str">
        <v>YYYSSSYYY</v>
      </c>
    </row>
    <row r="141" spans="2:29" ht="15" customHeight="1">
      <c r="B141" s="17"/>
      <c r="C141" s="17"/>
      <c r="D141" s="17"/>
      <c r="E141" s="17"/>
      <c r="AC141" s="9" t="str">
        <v>GGGWWWGGG</v>
      </c>
    </row>
    <row r="142" spans="2:29" ht="22.5" customHeight="1">
      <c r="B142" s="2">
        <v>41</v>
      </c>
      <c r="C142" s="2">
        <v>3</v>
      </c>
      <c r="D142" s="16">
        <v>8</v>
      </c>
      <c r="E142" s="7">
        <f>ROUND(45+Y142, 0)</f>
        <v>845</v>
      </c>
      <c r="F142"/>
      <c r="G142" s="3" t="s">
        <v>126</v>
      </c>
      <c r="H142" s="3" t="s">
        <v>127</v>
      </c>
      <c r="I142" s="3" t="s">
        <v>52</v>
      </c>
      <c r="J142" s="9">
        <f>startX</f>
        <v>48</v>
      </c>
      <c r="K142" s="9" cm="1">
        <f t="array" ref="K142:M161">_xlfn.XLOOKUP(G142:I161,tblS[Scarf Code],tblS[X-Coordinates],,0,1)</f>
        <v>47</v>
      </c>
      <c r="L142" s="9">
        <v>47</v>
      </c>
      <c r="M142" s="9">
        <v>47</v>
      </c>
      <c r="O142" s="9">
        <f>startY</f>
        <v>27</v>
      </c>
      <c r="P142" s="9" cm="1">
        <f t="array" ref="P142:R161">_xlfn.XLOOKUP(G142:I161,tblS[Scarf Code],tblS[Y-Coordinates],,0,1)</f>
        <v>27</v>
      </c>
      <c r="Q142" s="9">
        <v>25</v>
      </c>
      <c r="R142" s="9">
        <v>20</v>
      </c>
      <c r="U142" s="9">
        <f>SQRT(POWER(J142-K142,2)  + POWER(O142-P142, 2)) * 100</f>
        <v>100</v>
      </c>
      <c r="V142" s="9">
        <f>SQRT(POWER(K142-L142,2)  + POWER(P142-Q142, 2)) * 100</f>
        <v>200</v>
      </c>
      <c r="W142" s="9">
        <f>SQRT(POWER(L142-M142,2)  + POWER(Q142-R142, 2)) * 100</f>
        <v>500</v>
      </c>
      <c r="Y142" s="9">
        <f>SUM(U142:W142)</f>
        <v>800</v>
      </c>
      <c r="AC142" s="9" t="str">
        <v>BBBWWWBBB</v>
      </c>
    </row>
    <row r="143" spans="2:29" ht="22.5" customHeight="1">
      <c r="B143" s="2">
        <v>42</v>
      </c>
      <c r="C143" s="2">
        <v>3</v>
      </c>
      <c r="D143" s="16">
        <v>8</v>
      </c>
      <c r="E143" s="7">
        <f t="shared" ref="E143:E161" si="0">ROUND(45+Y143, 0)</f>
        <v>3153</v>
      </c>
      <c r="F143"/>
      <c r="G143" s="3" t="s">
        <v>128</v>
      </c>
      <c r="H143" s="3" t="s">
        <v>56</v>
      </c>
      <c r="I143" s="3" t="s">
        <v>129</v>
      </c>
      <c r="J143" s="9">
        <f>startX</f>
        <v>48</v>
      </c>
      <c r="K143" s="9">
        <v>52</v>
      </c>
      <c r="L143" s="9">
        <v>51</v>
      </c>
      <c r="M143" s="9">
        <v>50</v>
      </c>
      <c r="O143" s="9">
        <f>startY</f>
        <v>27</v>
      </c>
      <c r="P143" s="9">
        <v>24</v>
      </c>
      <c r="Q143" s="9">
        <v>10</v>
      </c>
      <c r="R143" s="9">
        <v>22</v>
      </c>
      <c r="U143" s="9">
        <f t="shared" ref="U143:V161" si="1">SQRT(POWER(J143-K143,2)  + POWER(O143-P143, 2)) * 100</f>
        <v>500</v>
      </c>
      <c r="V143" s="9">
        <f t="shared" si="1"/>
        <v>1403.5668847618199</v>
      </c>
      <c r="W143" s="9">
        <f t="shared" ref="W143:W161" si="2">SQRT(POWER(L143-M143,2)  + POWER(Q143-R143, 2)) * 100</f>
        <v>1204.1594578792296</v>
      </c>
      <c r="Y143" s="9">
        <f t="shared" ref="Y143:Y161" si="3">SUM(U143:W143)</f>
        <v>3107.7263426410495</v>
      </c>
      <c r="AC143" s="9" t="str">
        <v>RSRSRSRSR</v>
      </c>
    </row>
    <row r="144" spans="2:29" ht="22.5" customHeight="1">
      <c r="B144" s="2">
        <v>43</v>
      </c>
      <c r="C144" s="2">
        <v>3</v>
      </c>
      <c r="D144" s="16">
        <v>8</v>
      </c>
      <c r="E144" s="7">
        <f t="shared" si="0"/>
        <v>5213</v>
      </c>
      <c r="F144"/>
      <c r="G144" s="3" t="s">
        <v>92</v>
      </c>
      <c r="H144" s="3" t="s">
        <v>130</v>
      </c>
      <c r="I144" s="3" t="s">
        <v>131</v>
      </c>
      <c r="J144" s="9">
        <f>startX</f>
        <v>48</v>
      </c>
      <c r="K144" s="9">
        <v>55</v>
      </c>
      <c r="L144" s="9">
        <v>48</v>
      </c>
      <c r="M144" s="9">
        <v>50</v>
      </c>
      <c r="O144" s="9">
        <f>startY</f>
        <v>27</v>
      </c>
      <c r="P144" s="9">
        <v>8</v>
      </c>
      <c r="Q144" s="9">
        <v>27</v>
      </c>
      <c r="R144" s="9">
        <v>16</v>
      </c>
      <c r="U144" s="9">
        <f t="shared" si="1"/>
        <v>2024.8456731316587</v>
      </c>
      <c r="V144" s="9">
        <f t="shared" si="1"/>
        <v>2024.8456731316587</v>
      </c>
      <c r="W144" s="9">
        <f t="shared" si="2"/>
        <v>1118.0339887498949</v>
      </c>
      <c r="Y144" s="9">
        <f t="shared" si="3"/>
        <v>5167.7253350132123</v>
      </c>
      <c r="AC144" s="9" t="str">
        <v>RWBBBBBWR</v>
      </c>
    </row>
    <row r="145" spans="2:29" ht="22.5" customHeight="1">
      <c r="B145" s="2">
        <v>44</v>
      </c>
      <c r="C145" s="2">
        <v>3</v>
      </c>
      <c r="D145" s="16">
        <v>8</v>
      </c>
      <c r="E145" s="7">
        <f t="shared" si="0"/>
        <v>3654</v>
      </c>
      <c r="F145"/>
      <c r="G145" s="3" t="s">
        <v>132</v>
      </c>
      <c r="H145" s="3" t="s">
        <v>133</v>
      </c>
      <c r="I145" s="3" t="s">
        <v>92</v>
      </c>
      <c r="J145" s="9">
        <f>startX</f>
        <v>48</v>
      </c>
      <c r="K145" s="9">
        <v>48</v>
      </c>
      <c r="L145" s="9">
        <v>45</v>
      </c>
      <c r="M145" s="9">
        <v>55</v>
      </c>
      <c r="O145" s="9">
        <f>startY</f>
        <v>27</v>
      </c>
      <c r="P145" s="9">
        <v>20</v>
      </c>
      <c r="Q145" s="9">
        <v>27</v>
      </c>
      <c r="R145" s="9">
        <v>8</v>
      </c>
      <c r="U145" s="9">
        <f t="shared" si="1"/>
        <v>700</v>
      </c>
      <c r="V145" s="9">
        <f t="shared" si="1"/>
        <v>761.57731058639092</v>
      </c>
      <c r="W145" s="9">
        <f t="shared" si="2"/>
        <v>2147.091055358389</v>
      </c>
      <c r="Y145" s="9">
        <f t="shared" si="3"/>
        <v>3608.6683659447799</v>
      </c>
      <c r="AC145" s="9" t="str">
        <v>RWBRWBRWB</v>
      </c>
    </row>
    <row r="146" spans="2:29" ht="22.5" customHeight="1">
      <c r="B146" s="2">
        <v>45</v>
      </c>
      <c r="C146" s="2">
        <v>3</v>
      </c>
      <c r="D146" s="16">
        <v>8</v>
      </c>
      <c r="E146" s="7">
        <f t="shared" si="0"/>
        <v>3410</v>
      </c>
      <c r="F146"/>
      <c r="G146" s="3" t="s">
        <v>134</v>
      </c>
      <c r="H146" s="3" t="s">
        <v>135</v>
      </c>
      <c r="I146" s="3" t="s">
        <v>136</v>
      </c>
      <c r="J146" s="9">
        <f>startX</f>
        <v>48</v>
      </c>
      <c r="K146" s="9">
        <v>57</v>
      </c>
      <c r="L146" s="9">
        <v>51</v>
      </c>
      <c r="M146" s="9">
        <v>40</v>
      </c>
      <c r="O146" s="9">
        <f>startY</f>
        <v>27</v>
      </c>
      <c r="P146" s="9">
        <v>22</v>
      </c>
      <c r="Q146" s="9">
        <v>20</v>
      </c>
      <c r="R146" s="9">
        <v>7</v>
      </c>
      <c r="U146" s="9">
        <f t="shared" si="1"/>
        <v>1029.5630140987</v>
      </c>
      <c r="V146" s="9">
        <f t="shared" si="1"/>
        <v>632.45553203367592</v>
      </c>
      <c r="W146" s="9">
        <f t="shared" si="2"/>
        <v>1702.9386365926403</v>
      </c>
      <c r="Y146" s="9">
        <f t="shared" si="3"/>
        <v>3364.9571827250161</v>
      </c>
      <c r="AC146" s="9" t="str">
        <v>BWWWWWWWB</v>
      </c>
    </row>
    <row r="147" spans="2:29" ht="22.5" customHeight="1">
      <c r="B147" s="2">
        <v>46</v>
      </c>
      <c r="C147" s="2">
        <v>3</v>
      </c>
      <c r="D147" s="16">
        <v>8</v>
      </c>
      <c r="E147" s="7">
        <f t="shared" si="0"/>
        <v>2252</v>
      </c>
      <c r="F147"/>
      <c r="G147" s="3" t="s">
        <v>61</v>
      </c>
      <c r="H147" s="3" t="s">
        <v>137</v>
      </c>
      <c r="I147" s="3" t="s">
        <v>134</v>
      </c>
      <c r="J147" s="9">
        <f>startX</f>
        <v>48</v>
      </c>
      <c r="K147" s="9">
        <v>50</v>
      </c>
      <c r="L147" s="9">
        <v>45</v>
      </c>
      <c r="M147" s="9">
        <v>57</v>
      </c>
      <c r="O147" s="9">
        <f>startY</f>
        <v>27</v>
      </c>
      <c r="P147" s="9">
        <v>25</v>
      </c>
      <c r="Q147" s="9">
        <v>20</v>
      </c>
      <c r="R147" s="9">
        <v>22</v>
      </c>
      <c r="U147" s="9">
        <f t="shared" si="1"/>
        <v>282.84271247461902</v>
      </c>
      <c r="V147" s="9">
        <f t="shared" si="1"/>
        <v>707.10678118654755</v>
      </c>
      <c r="W147" s="9">
        <f t="shared" si="2"/>
        <v>1216.552506059644</v>
      </c>
      <c r="Y147" s="9">
        <f t="shared" si="3"/>
        <v>2206.5019997208105</v>
      </c>
      <c r="AC147" s="9" t="str">
        <v>RWBRWBRWB</v>
      </c>
    </row>
    <row r="148" spans="2:29" ht="22.5" customHeight="1">
      <c r="B148" s="2">
        <v>47</v>
      </c>
      <c r="C148" s="2">
        <v>3</v>
      </c>
      <c r="D148" s="16">
        <v>8</v>
      </c>
      <c r="E148" s="7">
        <f t="shared" si="0"/>
        <v>3109</v>
      </c>
      <c r="F148"/>
      <c r="G148" s="3" t="s">
        <v>138</v>
      </c>
      <c r="H148" s="3" t="s">
        <v>64</v>
      </c>
      <c r="I148" s="3" t="s">
        <v>139</v>
      </c>
      <c r="J148" s="9">
        <f>startX</f>
        <v>48</v>
      </c>
      <c r="K148" s="9">
        <v>51</v>
      </c>
      <c r="L148" s="9">
        <v>56</v>
      </c>
      <c r="M148" s="9">
        <v>53</v>
      </c>
      <c r="O148" s="9">
        <f>startY</f>
        <v>27</v>
      </c>
      <c r="P148" s="9">
        <v>24</v>
      </c>
      <c r="Q148" s="9">
        <v>35</v>
      </c>
      <c r="R148" s="9">
        <v>21</v>
      </c>
      <c r="U148" s="9">
        <f t="shared" si="1"/>
        <v>424.26406871192847</v>
      </c>
      <c r="V148" s="9">
        <f t="shared" si="1"/>
        <v>1208.3045973594571</v>
      </c>
      <c r="W148" s="9">
        <f t="shared" si="2"/>
        <v>1431.7821063276353</v>
      </c>
      <c r="Y148" s="9">
        <f t="shared" si="3"/>
        <v>3064.350772399021</v>
      </c>
      <c r="AC148" s="9" t="str">
        <v>YBYBVBYBY</v>
      </c>
    </row>
    <row r="149" spans="2:29" ht="22.5" customHeight="1">
      <c r="B149" s="2">
        <v>48</v>
      </c>
      <c r="C149" s="2">
        <v>3</v>
      </c>
      <c r="D149" s="16">
        <v>8</v>
      </c>
      <c r="E149" s="7">
        <f t="shared" si="0"/>
        <v>1802</v>
      </c>
      <c r="F149"/>
      <c r="G149" s="3" t="s">
        <v>47</v>
      </c>
      <c r="H149" s="3" t="s">
        <v>140</v>
      </c>
      <c r="I149" s="3" t="s">
        <v>93</v>
      </c>
      <c r="J149" s="9">
        <f>startX</f>
        <v>48</v>
      </c>
      <c r="K149" s="9">
        <v>48</v>
      </c>
      <c r="L149" s="9">
        <v>50</v>
      </c>
      <c r="M149" s="9">
        <v>49</v>
      </c>
      <c r="O149" s="9">
        <f>startY</f>
        <v>27</v>
      </c>
      <c r="P149" s="9">
        <v>19</v>
      </c>
      <c r="Q149" s="9">
        <v>23</v>
      </c>
      <c r="R149" s="9">
        <v>18</v>
      </c>
      <c r="U149" s="9">
        <f t="shared" si="1"/>
        <v>800</v>
      </c>
      <c r="V149" s="9">
        <f t="shared" si="1"/>
        <v>447.21359549995793</v>
      </c>
      <c r="W149" s="9">
        <f t="shared" si="2"/>
        <v>509.90195135927843</v>
      </c>
      <c r="Y149" s="9">
        <f t="shared" si="3"/>
        <v>1757.1155468592365</v>
      </c>
      <c r="AC149" s="9" t="str">
        <v>GGWGWGWGG</v>
      </c>
    </row>
    <row r="150" spans="2:29" ht="22.5" customHeight="1">
      <c r="B150" s="2">
        <v>49</v>
      </c>
      <c r="C150" s="2">
        <v>3</v>
      </c>
      <c r="D150" s="16">
        <v>8</v>
      </c>
      <c r="E150" s="7">
        <f t="shared" si="0"/>
        <v>5201</v>
      </c>
      <c r="F150"/>
      <c r="G150" s="3" t="s">
        <v>133</v>
      </c>
      <c r="H150" s="3" t="s">
        <v>91</v>
      </c>
      <c r="I150" s="3" t="s">
        <v>141</v>
      </c>
      <c r="J150" s="9">
        <f>startX</f>
        <v>48</v>
      </c>
      <c r="K150" s="9">
        <v>45</v>
      </c>
      <c r="L150" s="9">
        <v>38</v>
      </c>
      <c r="M150" s="9">
        <v>50</v>
      </c>
      <c r="O150" s="9">
        <f>startY</f>
        <v>27</v>
      </c>
      <c r="P150" s="9">
        <v>27</v>
      </c>
      <c r="Q150" s="9">
        <v>1</v>
      </c>
      <c r="R150" s="9">
        <v>19</v>
      </c>
      <c r="U150" s="9">
        <f t="shared" si="1"/>
        <v>300</v>
      </c>
      <c r="V150" s="9">
        <f t="shared" si="1"/>
        <v>2692.5824035672522</v>
      </c>
      <c r="W150" s="9">
        <f t="shared" si="2"/>
        <v>2163.3307652783938</v>
      </c>
      <c r="Y150" s="9">
        <f t="shared" si="3"/>
        <v>5155.9131688456455</v>
      </c>
      <c r="AC150" s="9" t="str">
        <v>BSBBBBBWB</v>
      </c>
    </row>
    <row r="151" spans="2:29" ht="22.5" customHeight="1">
      <c r="B151" s="2">
        <v>50</v>
      </c>
      <c r="C151" s="2">
        <v>3</v>
      </c>
      <c r="D151" s="16">
        <v>8</v>
      </c>
      <c r="E151" s="7">
        <f t="shared" si="0"/>
        <v>2729</v>
      </c>
      <c r="F151"/>
      <c r="G151" s="3" t="s">
        <v>137</v>
      </c>
      <c r="H151" s="3" t="s">
        <v>85</v>
      </c>
      <c r="I151" s="3" t="s">
        <v>142</v>
      </c>
      <c r="J151" s="9">
        <f>startX</f>
        <v>48</v>
      </c>
      <c r="K151" s="9">
        <v>45</v>
      </c>
      <c r="L151" s="9">
        <v>55</v>
      </c>
      <c r="M151" s="9">
        <v>52</v>
      </c>
      <c r="O151" s="9">
        <f>startY</f>
        <v>27</v>
      </c>
      <c r="P151" s="9">
        <v>20</v>
      </c>
      <c r="Q151" s="9">
        <v>8</v>
      </c>
      <c r="R151" s="9">
        <v>10</v>
      </c>
      <c r="U151" s="9">
        <f t="shared" si="1"/>
        <v>761.57731058639092</v>
      </c>
      <c r="V151" s="9">
        <f t="shared" si="1"/>
        <v>1562.0499351813307</v>
      </c>
      <c r="W151" s="9">
        <f t="shared" si="2"/>
        <v>360.55512754639892</v>
      </c>
      <c r="Y151" s="9">
        <f t="shared" si="3"/>
        <v>2684.1823733141205</v>
      </c>
      <c r="AC151" s="9" t="str">
        <v>GGGWWWGGG</v>
      </c>
    </row>
    <row r="152" spans="2:29" ht="22.5" customHeight="1">
      <c r="B152" s="2">
        <v>51</v>
      </c>
      <c r="C152" s="2">
        <v>3</v>
      </c>
      <c r="D152" s="16">
        <v>8</v>
      </c>
      <c r="E152" s="7">
        <f t="shared" si="0"/>
        <v>3475</v>
      </c>
      <c r="F152"/>
      <c r="G152" s="3" t="s">
        <v>54</v>
      </c>
      <c r="H152" s="3" t="s">
        <v>143</v>
      </c>
      <c r="I152" s="3" t="s">
        <v>59</v>
      </c>
      <c r="J152" s="9">
        <f>startX</f>
        <v>48</v>
      </c>
      <c r="K152" s="9">
        <v>50</v>
      </c>
      <c r="L152" s="9">
        <v>52</v>
      </c>
      <c r="M152" s="9">
        <v>37</v>
      </c>
      <c r="O152" s="9">
        <f>startY</f>
        <v>27</v>
      </c>
      <c r="P152" s="9">
        <v>13</v>
      </c>
      <c r="Q152" s="9">
        <v>10</v>
      </c>
      <c r="R152" s="9">
        <v>3</v>
      </c>
      <c r="U152" s="9">
        <f t="shared" si="1"/>
        <v>1414.2135623730951</v>
      </c>
      <c r="V152" s="9">
        <f t="shared" si="1"/>
        <v>360.55512754639892</v>
      </c>
      <c r="W152" s="9">
        <f t="shared" si="2"/>
        <v>1655.2945357246849</v>
      </c>
      <c r="Y152" s="9">
        <f t="shared" si="3"/>
        <v>3430.0632256441791</v>
      </c>
      <c r="AC152" s="9" t="str">
        <v>WGGGWGGGW</v>
      </c>
    </row>
    <row r="153" spans="2:29" ht="22.5" customHeight="1">
      <c r="B153" s="2">
        <v>52</v>
      </c>
      <c r="C153" s="2">
        <v>3</v>
      </c>
      <c r="D153" s="16">
        <v>8</v>
      </c>
      <c r="E153" s="7">
        <f t="shared" si="0"/>
        <v>3341</v>
      </c>
      <c r="F153"/>
      <c r="G153" s="3" t="s">
        <v>135</v>
      </c>
      <c r="H153" s="3" t="s">
        <v>133</v>
      </c>
      <c r="I153" s="3" t="s">
        <v>144</v>
      </c>
      <c r="J153" s="9">
        <f>startX</f>
        <v>48</v>
      </c>
      <c r="K153" s="9">
        <v>51</v>
      </c>
      <c r="L153" s="9">
        <v>45</v>
      </c>
      <c r="M153" s="9">
        <v>59</v>
      </c>
      <c r="O153" s="9">
        <f>startY</f>
        <v>27</v>
      </c>
      <c r="P153" s="9">
        <v>20</v>
      </c>
      <c r="Q153" s="9">
        <v>27</v>
      </c>
      <c r="R153" s="9">
        <v>35</v>
      </c>
      <c r="U153" s="9">
        <f t="shared" si="1"/>
        <v>761.57731058639092</v>
      </c>
      <c r="V153" s="9">
        <f t="shared" si="1"/>
        <v>921.95444572928875</v>
      </c>
      <c r="W153" s="9">
        <f t="shared" si="2"/>
        <v>1612.4515496597098</v>
      </c>
      <c r="Y153" s="9">
        <f t="shared" si="3"/>
        <v>3295.9833059753892</v>
      </c>
      <c r="AC153" s="9" t="str">
        <v>WRRWWWRRW</v>
      </c>
    </row>
    <row r="154" spans="2:29" ht="22.5" customHeight="1">
      <c r="B154" s="2">
        <v>53</v>
      </c>
      <c r="C154" s="2">
        <v>3</v>
      </c>
      <c r="D154" s="16">
        <v>8</v>
      </c>
      <c r="E154" s="7">
        <f t="shared" si="0"/>
        <v>2339</v>
      </c>
      <c r="F154"/>
      <c r="G154" s="3" t="s">
        <v>88</v>
      </c>
      <c r="H154" s="3" t="s">
        <v>145</v>
      </c>
      <c r="I154" s="3" t="s">
        <v>60</v>
      </c>
      <c r="J154" s="9">
        <f>startX</f>
        <v>48</v>
      </c>
      <c r="K154" s="9">
        <v>47</v>
      </c>
      <c r="L154" s="9">
        <v>48</v>
      </c>
      <c r="M154" s="9">
        <v>55</v>
      </c>
      <c r="O154" s="9">
        <f>startY</f>
        <v>27</v>
      </c>
      <c r="P154" s="9">
        <v>24</v>
      </c>
      <c r="Q154" s="9">
        <v>20</v>
      </c>
      <c r="R154" s="9">
        <v>6</v>
      </c>
      <c r="U154" s="9">
        <f t="shared" si="1"/>
        <v>316.22776601683796</v>
      </c>
      <c r="V154" s="9">
        <f t="shared" si="1"/>
        <v>412.31056256176606</v>
      </c>
      <c r="W154" s="9">
        <f t="shared" si="2"/>
        <v>1565.2475842498529</v>
      </c>
      <c r="Y154" s="9">
        <f t="shared" si="3"/>
        <v>2293.7859128284572</v>
      </c>
      <c r="AC154" s="9" t="str">
        <v>WGGGWGGGW</v>
      </c>
    </row>
    <row r="155" spans="2:29" ht="22.5" customHeight="1">
      <c r="B155" s="2">
        <v>54</v>
      </c>
      <c r="C155" s="2">
        <v>3</v>
      </c>
      <c r="D155" s="16">
        <v>8</v>
      </c>
      <c r="E155" s="7">
        <f t="shared" si="0"/>
        <v>4170</v>
      </c>
      <c r="F155"/>
      <c r="G155" s="3" t="s">
        <v>57</v>
      </c>
      <c r="H155" s="3" t="s">
        <v>86</v>
      </c>
      <c r="I155" s="3" t="s">
        <v>125</v>
      </c>
      <c r="J155" s="9">
        <f>startX</f>
        <v>48</v>
      </c>
      <c r="K155" s="9">
        <v>43</v>
      </c>
      <c r="L155" s="9">
        <v>52</v>
      </c>
      <c r="M155" s="9">
        <v>50</v>
      </c>
      <c r="O155" s="9">
        <f>startY</f>
        <v>27</v>
      </c>
      <c r="P155" s="9">
        <v>8</v>
      </c>
      <c r="Q155" s="9">
        <v>15</v>
      </c>
      <c r="R155" s="9">
        <v>25</v>
      </c>
      <c r="U155" s="9">
        <f t="shared" si="1"/>
        <v>1964.6882704388499</v>
      </c>
      <c r="V155" s="9">
        <f t="shared" si="1"/>
        <v>1140.175425099138</v>
      </c>
      <c r="W155" s="9">
        <f t="shared" si="2"/>
        <v>1019.8039027185569</v>
      </c>
      <c r="Y155" s="9">
        <f t="shared" si="3"/>
        <v>4124.6675982565448</v>
      </c>
      <c r="AC155" s="9" t="str">
        <v>BYRRRRRYB</v>
      </c>
    </row>
    <row r="156" spans="2:29" ht="22.5" customHeight="1">
      <c r="B156" s="2">
        <v>55</v>
      </c>
      <c r="C156" s="2">
        <v>3</v>
      </c>
      <c r="D156" s="16">
        <v>8</v>
      </c>
      <c r="E156" s="7">
        <f t="shared" si="0"/>
        <v>2852</v>
      </c>
      <c r="F156"/>
      <c r="G156" s="3" t="s">
        <v>137</v>
      </c>
      <c r="H156" s="3" t="s">
        <v>94</v>
      </c>
      <c r="I156" s="3" t="s">
        <v>93</v>
      </c>
      <c r="J156" s="9">
        <f>startX</f>
        <v>48</v>
      </c>
      <c r="K156" s="9">
        <v>45</v>
      </c>
      <c r="L156" s="9">
        <v>48</v>
      </c>
      <c r="M156" s="9">
        <v>49</v>
      </c>
      <c r="O156" s="9">
        <f>startY</f>
        <v>27</v>
      </c>
      <c r="P156" s="9">
        <v>20</v>
      </c>
      <c r="Q156" s="9">
        <v>9</v>
      </c>
      <c r="R156" s="9">
        <v>18</v>
      </c>
      <c r="U156" s="9">
        <f t="shared" si="1"/>
        <v>761.57731058639092</v>
      </c>
      <c r="V156" s="9">
        <f t="shared" si="1"/>
        <v>1140.175425099138</v>
      </c>
      <c r="W156" s="9">
        <f t="shared" si="2"/>
        <v>905.5385138137417</v>
      </c>
      <c r="Y156" s="9">
        <f t="shared" si="3"/>
        <v>2807.2912494992706</v>
      </c>
      <c r="AC156" s="9" t="str">
        <v>GSGSGSGSG</v>
      </c>
    </row>
    <row r="157" spans="2:29" ht="22.5" customHeight="1">
      <c r="B157" s="2">
        <v>56</v>
      </c>
      <c r="C157" s="2">
        <v>3</v>
      </c>
      <c r="D157" s="16">
        <v>8</v>
      </c>
      <c r="E157" s="7">
        <f t="shared" si="0"/>
        <v>2684</v>
      </c>
      <c r="F157"/>
      <c r="G157" s="3" t="s">
        <v>146</v>
      </c>
      <c r="H157" s="3" t="s">
        <v>147</v>
      </c>
      <c r="I157" s="3" t="s">
        <v>54</v>
      </c>
      <c r="J157" s="9">
        <f>startX</f>
        <v>48</v>
      </c>
      <c r="K157" s="9">
        <v>52</v>
      </c>
      <c r="L157" s="9">
        <v>48</v>
      </c>
      <c r="M157" s="9">
        <v>50</v>
      </c>
      <c r="O157" s="9">
        <f>startY</f>
        <v>27</v>
      </c>
      <c r="P157" s="9">
        <v>32</v>
      </c>
      <c r="Q157" s="9">
        <v>22</v>
      </c>
      <c r="R157" s="9">
        <v>13</v>
      </c>
      <c r="U157" s="9">
        <f t="shared" si="1"/>
        <v>640.31242374328485</v>
      </c>
      <c r="V157" s="9">
        <f t="shared" si="1"/>
        <v>1077.0329614269008</v>
      </c>
      <c r="W157" s="9">
        <f t="shared" si="2"/>
        <v>921.95444572928875</v>
      </c>
      <c r="Y157" s="9">
        <f t="shared" si="3"/>
        <v>2639.2998308994743</v>
      </c>
      <c r="AC157" s="9" t="str">
        <v>WWRWRRWRR</v>
      </c>
    </row>
    <row r="158" spans="2:29" ht="22.5" customHeight="1">
      <c r="B158" s="2">
        <v>57</v>
      </c>
      <c r="C158" s="2">
        <v>3</v>
      </c>
      <c r="D158" s="16">
        <v>8</v>
      </c>
      <c r="E158" s="7">
        <f t="shared" si="0"/>
        <v>3326</v>
      </c>
      <c r="F158"/>
      <c r="G158" s="3" t="s">
        <v>53</v>
      </c>
      <c r="H158" s="3" t="s">
        <v>57</v>
      </c>
      <c r="I158" s="3" t="s">
        <v>148</v>
      </c>
      <c r="J158" s="9">
        <f>startX</f>
        <v>48</v>
      </c>
      <c r="K158" s="9">
        <v>49</v>
      </c>
      <c r="L158" s="9">
        <v>43</v>
      </c>
      <c r="M158" s="9">
        <v>49</v>
      </c>
      <c r="O158" s="9">
        <f>startY</f>
        <v>27</v>
      </c>
      <c r="P158" s="9">
        <v>23</v>
      </c>
      <c r="Q158" s="9">
        <v>8</v>
      </c>
      <c r="R158" s="9">
        <v>19</v>
      </c>
      <c r="U158" s="9">
        <f t="shared" si="1"/>
        <v>412.31056256176606</v>
      </c>
      <c r="V158" s="9">
        <f t="shared" si="1"/>
        <v>1615.5494421403509</v>
      </c>
      <c r="W158" s="9">
        <f t="shared" si="2"/>
        <v>1252.9964086141667</v>
      </c>
      <c r="Y158" s="9">
        <f t="shared" si="3"/>
        <v>3280.8564133162836</v>
      </c>
      <c r="AC158" s="9" t="str">
        <v>BBWRWRWBB</v>
      </c>
    </row>
    <row r="159" spans="2:29" ht="22.5" customHeight="1">
      <c r="B159" s="2">
        <v>58</v>
      </c>
      <c r="C159" s="2">
        <v>3</v>
      </c>
      <c r="D159" s="16">
        <v>8</v>
      </c>
      <c r="E159" s="7">
        <f t="shared" si="0"/>
        <v>3107</v>
      </c>
      <c r="F159"/>
      <c r="G159" s="3" t="s">
        <v>149</v>
      </c>
      <c r="H159" s="3" t="s">
        <v>138</v>
      </c>
      <c r="I159" s="3" t="s">
        <v>150</v>
      </c>
      <c r="J159" s="9">
        <f>startX</f>
        <v>48</v>
      </c>
      <c r="K159" s="9">
        <v>51</v>
      </c>
      <c r="L159" s="9">
        <v>51</v>
      </c>
      <c r="M159" s="9">
        <v>49</v>
      </c>
      <c r="O159" s="9">
        <f>startY</f>
        <v>27</v>
      </c>
      <c r="P159" s="9">
        <v>14</v>
      </c>
      <c r="Q159" s="9">
        <v>24</v>
      </c>
      <c r="R159" s="9">
        <v>17</v>
      </c>
      <c r="U159" s="9">
        <f t="shared" si="1"/>
        <v>1334.1664064126335</v>
      </c>
      <c r="V159" s="9">
        <f t="shared" si="1"/>
        <v>1000</v>
      </c>
      <c r="W159" s="9">
        <f t="shared" si="2"/>
        <v>728.0109889280518</v>
      </c>
      <c r="Y159" s="9">
        <f t="shared" si="3"/>
        <v>3062.1773953406855</v>
      </c>
      <c r="AC159" s="9" t="str">
        <v>RRWWWWWRR</v>
      </c>
    </row>
    <row r="160" spans="2:29" ht="22.5" customHeight="1">
      <c r="B160" s="2">
        <v>59</v>
      </c>
      <c r="C160" s="2">
        <v>3</v>
      </c>
      <c r="D160" s="16">
        <v>8</v>
      </c>
      <c r="E160" s="7">
        <f t="shared" si="0"/>
        <v>4446</v>
      </c>
      <c r="F160"/>
      <c r="G160" s="3" t="s">
        <v>136</v>
      </c>
      <c r="H160" s="3" t="s">
        <v>149</v>
      </c>
      <c r="I160" s="3" t="s">
        <v>99</v>
      </c>
      <c r="J160" s="9">
        <f>startX</f>
        <v>48</v>
      </c>
      <c r="K160" s="9">
        <v>40</v>
      </c>
      <c r="L160" s="9">
        <v>51</v>
      </c>
      <c r="M160" s="9">
        <v>43</v>
      </c>
      <c r="O160" s="9">
        <f>startY</f>
        <v>27</v>
      </c>
      <c r="P160" s="9">
        <v>7</v>
      </c>
      <c r="Q160" s="9">
        <v>14</v>
      </c>
      <c r="R160" s="9">
        <v>9</v>
      </c>
      <c r="U160" s="9">
        <f t="shared" si="1"/>
        <v>2154.0659228538016</v>
      </c>
      <c r="V160" s="9">
        <f t="shared" si="1"/>
        <v>1303.8404810405298</v>
      </c>
      <c r="W160" s="9">
        <f t="shared" si="2"/>
        <v>943.39811320566037</v>
      </c>
      <c r="Y160" s="9">
        <f t="shared" si="3"/>
        <v>4401.3045170999922</v>
      </c>
      <c r="AC160" s="9" t="str">
        <v>GWWGGGWWG</v>
      </c>
    </row>
    <row r="161" spans="2:29" ht="22.5" customHeight="1">
      <c r="B161" s="2">
        <v>60</v>
      </c>
      <c r="C161" s="2">
        <v>3</v>
      </c>
      <c r="D161" s="16">
        <v>8</v>
      </c>
      <c r="E161" s="7">
        <f t="shared" si="0"/>
        <v>4111</v>
      </c>
      <c r="F161"/>
      <c r="G161" s="3" t="s">
        <v>99</v>
      </c>
      <c r="H161" s="3" t="s">
        <v>131</v>
      </c>
      <c r="I161" s="3" t="s">
        <v>133</v>
      </c>
      <c r="J161" s="9">
        <f>startX</f>
        <v>48</v>
      </c>
      <c r="K161" s="9">
        <v>43</v>
      </c>
      <c r="L161" s="9">
        <v>50</v>
      </c>
      <c r="M161" s="9">
        <v>45</v>
      </c>
      <c r="O161" s="9">
        <f>startY</f>
        <v>27</v>
      </c>
      <c r="P161" s="9">
        <v>9</v>
      </c>
      <c r="Q161" s="9">
        <v>16</v>
      </c>
      <c r="R161" s="9">
        <v>27</v>
      </c>
      <c r="U161" s="9">
        <f t="shared" si="1"/>
        <v>1868.1541692269407</v>
      </c>
      <c r="V161" s="9">
        <f t="shared" si="1"/>
        <v>989.94949366116657</v>
      </c>
      <c r="W161" s="9">
        <f t="shared" si="2"/>
        <v>1208.3045973594571</v>
      </c>
      <c r="Y161" s="9">
        <f t="shared" si="3"/>
        <v>4066.4082602475646</v>
      </c>
      <c r="AC161" s="9" t="str">
        <v>BBWWRRBWR</v>
      </c>
    </row>
    <row r="162" spans="2:29" ht="15" customHeight="1">
      <c r="AC162" s="9" t="str">
        <v>GGGWWWGGG</v>
      </c>
    </row>
    <row r="163" spans="2:29" ht="15" customHeight="1" thickBot="1">
      <c r="AC163" s="9" t="str">
        <v>BBWBWBWBB</v>
      </c>
    </row>
    <row r="164" spans="2:29" ht="22.5" customHeight="1" thickBot="1">
      <c r="B164" s="49" t="s">
        <v>151</v>
      </c>
      <c r="C164" s="52" t="s">
        <v>152</v>
      </c>
      <c r="D164" s="76" t="s">
        <v>153</v>
      </c>
      <c r="AC164" s="9" t="str">
        <v>BBWRWRWBB</v>
      </c>
    </row>
    <row r="165" spans="2:29" ht="15" customHeight="1">
      <c r="AC165" s="9" t="str">
        <v>SSSRRRSSS</v>
      </c>
    </row>
    <row r="166" spans="2:29" ht="15" customHeight="1">
      <c r="B166" s="77" t="s">
        <v>154</v>
      </c>
      <c r="C166" s="77"/>
      <c r="AC166" s="9" t="str">
        <v>BBWBWBWBB</v>
      </c>
    </row>
    <row r="167" spans="2:29" ht="15" customHeight="1">
      <c r="B167" s="77" t="s">
        <v>155</v>
      </c>
      <c r="C167" s="77"/>
      <c r="AC167" s="9" t="str">
        <v>WGGWGWGGW</v>
      </c>
    </row>
    <row r="168" spans="2:29" ht="15" customHeight="1">
      <c r="B168" s="76"/>
      <c r="C168" s="77"/>
      <c r="AC168" s="9" t="str">
        <v>BSBSBSBSB</v>
      </c>
    </row>
    <row r="169" spans="2:29" ht="15" customHeight="1">
      <c r="B169" s="76" t="s">
        <v>156</v>
      </c>
      <c r="C169" s="77"/>
      <c r="AC169" s="9" t="str">
        <v>VWVWVWVWV</v>
      </c>
    </row>
    <row r="170" spans="2:29" ht="15" customHeight="1">
      <c r="B170" s="77"/>
      <c r="C170" s="77"/>
      <c r="AC170" s="9" t="str">
        <v>BRBRBRBRB</v>
      </c>
    </row>
    <row r="171" spans="2:29" ht="15" customHeight="1">
      <c r="B171" s="78" t="s">
        <v>157</v>
      </c>
      <c r="C171" s="77" t="s">
        <v>158</v>
      </c>
      <c r="AC171" s="9" t="str">
        <v>RWRRRRRWR</v>
      </c>
    </row>
    <row r="172" spans="2:29" ht="15" customHeight="1">
      <c r="C172" s="77" t="s">
        <v>159</v>
      </c>
      <c r="AC172" s="9" t="str">
        <v>GWSGWSGWS</v>
      </c>
    </row>
    <row r="173" spans="2:29" ht="15" customHeight="1">
      <c r="B173" s="77"/>
      <c r="C173" s="77"/>
      <c r="AC173" s="9" t="str">
        <v>WBBWWWBBW</v>
      </c>
    </row>
    <row r="174" spans="2:29" ht="15" customHeight="1">
      <c r="B174" s="76" t="s">
        <v>160</v>
      </c>
      <c r="C174" s="77" t="s">
        <v>161</v>
      </c>
      <c r="AC174" s="9" t="str">
        <v>WWGGWGGWW</v>
      </c>
    </row>
    <row r="175" spans="2:29" ht="15" customHeight="1">
      <c r="B175" s="76" t="s">
        <v>162</v>
      </c>
      <c r="C175" s="77" t="s">
        <v>163</v>
      </c>
      <c r="AC175" s="9" t="str">
        <v>GSGSGSGSG</v>
      </c>
    </row>
    <row r="176" spans="2:29" ht="15" customHeight="1">
      <c r="B176" s="76" t="s">
        <v>164</v>
      </c>
      <c r="C176" s="77" t="s">
        <v>165</v>
      </c>
      <c r="AC176" s="9" t="str">
        <v>RRWRWRWRR</v>
      </c>
    </row>
    <row r="177" spans="2:29" ht="15" customHeight="1" thickBot="1">
      <c r="AC177" s="9" t="str">
        <v>GGWWYWWGG</v>
      </c>
    </row>
    <row r="178" spans="2:29" ht="22.5" customHeight="1" thickBot="1">
      <c r="B178" s="44" t="s">
        <v>13</v>
      </c>
      <c r="C178" s="45" t="s">
        <v>42</v>
      </c>
      <c r="D178" s="44" t="s">
        <v>15</v>
      </c>
      <c r="E178" s="51" t="s">
        <v>16</v>
      </c>
      <c r="G178" s="44" t="s">
        <v>166</v>
      </c>
      <c r="H178" s="45" t="s">
        <v>120</v>
      </c>
      <c r="I178" s="44" t="s">
        <v>121</v>
      </c>
      <c r="J178" s="51" t="s">
        <v>122</v>
      </c>
      <c r="K178"/>
      <c r="L178"/>
      <c r="AC178" s="9" t="str">
        <v>WGWGWGWGW</v>
      </c>
    </row>
    <row r="179" spans="2:29" ht="15" customHeight="1">
      <c r="K179"/>
      <c r="L179"/>
      <c r="AC179" s="9" t="str">
        <v>RRVBWBVRR</v>
      </c>
    </row>
    <row r="180" spans="2:29" ht="22.5" customHeight="1">
      <c r="B180" s="2" t="s">
        <v>167</v>
      </c>
      <c r="C180" s="2">
        <v>4</v>
      </c>
      <c r="D180" s="16">
        <v>0</v>
      </c>
      <c r="E180" s="7">
        <v>3</v>
      </c>
      <c r="F180"/>
      <c r="G180" s="3" t="s">
        <v>168</v>
      </c>
      <c r="H180" s="3" t="s">
        <v>149</v>
      </c>
      <c r="I180" s="3" t="s">
        <v>63</v>
      </c>
      <c r="J180" s="3" t="s">
        <v>127</v>
      </c>
      <c r="K180"/>
      <c r="L180"/>
      <c r="AC180" s="9" t="str">
        <v>WBWWWWWBW</v>
      </c>
    </row>
    <row r="181" spans="2:29" ht="15" customHeight="1">
      <c r="B181" s="17"/>
      <c r="C181" s="17"/>
      <c r="D181" s="17"/>
      <c r="E181" s="17"/>
      <c r="K181"/>
      <c r="L181"/>
      <c r="AC181" s="9" t="str">
        <v>GGWWYWWGG</v>
      </c>
    </row>
    <row r="182" spans="2:29" ht="22.5" customHeight="1">
      <c r="B182" s="2">
        <v>61</v>
      </c>
      <c r="C182" s="2">
        <v>4</v>
      </c>
      <c r="D182" s="16">
        <v>6</v>
      </c>
      <c r="E182" s="7" cm="1">
        <f t="array" ref="E182">SUM(LEN(H182:J182) - LEN(SUBSTITUTE(H182:J182,K182,"")))</f>
        <v>4</v>
      </c>
      <c r="F182"/>
      <c r="G182" s="3" t="s">
        <v>169</v>
      </c>
      <c r="H182" s="3" t="s">
        <v>170</v>
      </c>
      <c r="I182" s="3" t="s">
        <v>171</v>
      </c>
      <c r="J182" s="3" t="s">
        <v>59</v>
      </c>
      <c r="K182" s="9" t="str" cm="1">
        <f t="array" ref="K182:K201">_xlfn.XLOOKUP(G182:G201,tblCost[Color],tblCost[Abbreviation],,0,1)</f>
        <v>S</v>
      </c>
      <c r="L182" cm="1">
        <f t="array" ref="L182:L201">_xlfn.XLOOKUP(G182:G201,tblCost[Color],tblCost[Cost per element],,0,1)</f>
        <v>2</v>
      </c>
      <c r="AC182" s="9" t="str">
        <v>RWBBBBBWR</v>
      </c>
    </row>
    <row r="183" spans="2:29" ht="22.5" customHeight="1">
      <c r="B183" s="2">
        <v>62</v>
      </c>
      <c r="C183" s="2">
        <v>4</v>
      </c>
      <c r="D183" s="16">
        <v>6</v>
      </c>
      <c r="E183" s="7" cm="1">
        <f t="array" ref="E183">SUM(LEN(H183:J183) - LEN(SUBSTITUTE(H183:J183,K183,"")))</f>
        <v>17</v>
      </c>
      <c r="F183"/>
      <c r="G183" s="3" t="s">
        <v>168</v>
      </c>
      <c r="H183" s="3" t="s">
        <v>172</v>
      </c>
      <c r="I183" s="3" t="s">
        <v>173</v>
      </c>
      <c r="J183" s="3" t="s">
        <v>51</v>
      </c>
      <c r="K183" t="str">
        <v>B</v>
      </c>
      <c r="L183">
        <v>4</v>
      </c>
      <c r="AC183" s="9" t="str">
        <v>YBYBYBYBY</v>
      </c>
    </row>
    <row r="184" spans="2:29" ht="22.5" customHeight="1">
      <c r="B184" s="2">
        <v>63</v>
      </c>
      <c r="C184" s="2">
        <v>4</v>
      </c>
      <c r="D184" s="16">
        <v>6</v>
      </c>
      <c r="E184" s="7" cm="1">
        <f t="array" ref="E184">SUM(LEN(H184:J184) - LEN(SUBSTITUTE(H184:J184,K184,"")))</f>
        <v>4</v>
      </c>
      <c r="F184"/>
      <c r="G184" s="3" t="s">
        <v>174</v>
      </c>
      <c r="H184" s="3" t="s">
        <v>64</v>
      </c>
      <c r="I184" s="3" t="s">
        <v>145</v>
      </c>
      <c r="J184" s="3" t="s">
        <v>175</v>
      </c>
      <c r="K184" t="str">
        <v>R</v>
      </c>
      <c r="L184">
        <v>12</v>
      </c>
      <c r="AC184" s="9" t="str">
        <v>GGGWWWGGG</v>
      </c>
    </row>
    <row r="185" spans="2:29" ht="22.5" customHeight="1">
      <c r="B185" s="2">
        <v>64</v>
      </c>
      <c r="C185" s="2">
        <v>4</v>
      </c>
      <c r="D185" s="16">
        <v>6</v>
      </c>
      <c r="E185" s="7" cm="1">
        <f t="array" ref="E185">SUM(LEN(H185:J185) - LEN(SUBSTITUTE(H185:J185,K185,"")))</f>
        <v>5</v>
      </c>
      <c r="F185"/>
      <c r="G185" s="3" t="s">
        <v>176</v>
      </c>
      <c r="H185" s="3" t="s">
        <v>55</v>
      </c>
      <c r="I185" s="3" t="s">
        <v>97</v>
      </c>
      <c r="J185" s="3" t="s">
        <v>177</v>
      </c>
      <c r="K185" t="str">
        <v>G</v>
      </c>
      <c r="L185">
        <v>4</v>
      </c>
      <c r="AC185" s="9" t="str">
        <v>RWRBWRRWR</v>
      </c>
    </row>
    <row r="186" spans="2:29" ht="22.5" customHeight="1">
      <c r="B186" s="2">
        <v>65</v>
      </c>
      <c r="C186" s="2">
        <v>4</v>
      </c>
      <c r="D186" s="16">
        <v>6</v>
      </c>
      <c r="E186" s="7" cm="1">
        <f t="array" ref="E186">SUM(LEN(H186:J186) - LEN(SUBSTITUTE(H186:J186,K186,"")))</f>
        <v>8</v>
      </c>
      <c r="F186"/>
      <c r="G186" s="3" t="s">
        <v>168</v>
      </c>
      <c r="H186" s="3" t="s">
        <v>178</v>
      </c>
      <c r="I186" s="3" t="s">
        <v>46</v>
      </c>
      <c r="J186" s="3" t="s">
        <v>63</v>
      </c>
      <c r="K186" t="str">
        <v>B</v>
      </c>
      <c r="L186">
        <v>4</v>
      </c>
      <c r="AC186" s="9" t="str">
        <v>BBWWBWWBB</v>
      </c>
    </row>
    <row r="187" spans="2:29" ht="22.5" customHeight="1">
      <c r="B187" s="2">
        <v>66</v>
      </c>
      <c r="C187" s="2">
        <v>4</v>
      </c>
      <c r="D187" s="16">
        <v>6</v>
      </c>
      <c r="E187" s="7" cm="1">
        <f t="array" ref="E187">SUM(LEN(H187:J187) - LEN(SUBSTITUTE(H187:J187,K187,"")))</f>
        <v>6</v>
      </c>
      <c r="F187"/>
      <c r="G187" s="3" t="s">
        <v>179</v>
      </c>
      <c r="H187" s="3" t="s">
        <v>130</v>
      </c>
      <c r="I187" s="3" t="s">
        <v>180</v>
      </c>
      <c r="J187" s="3" t="s">
        <v>46</v>
      </c>
      <c r="K187" t="str">
        <v>V</v>
      </c>
      <c r="L187">
        <v>20</v>
      </c>
      <c r="AC187" s="9" t="str">
        <v>GGWWYWWGG</v>
      </c>
    </row>
    <row r="188" spans="2:29" ht="22.5" customHeight="1">
      <c r="B188" s="2">
        <v>67</v>
      </c>
      <c r="C188" s="2">
        <v>4</v>
      </c>
      <c r="D188" s="16">
        <v>6</v>
      </c>
      <c r="E188" s="7" cm="1">
        <f t="array" ref="E188">SUM(LEN(H188:J188) - LEN(SUBSTITUTE(H188:J188,K188,"")))</f>
        <v>6</v>
      </c>
      <c r="F188"/>
      <c r="G188" s="3" t="s">
        <v>168</v>
      </c>
      <c r="H188" s="3" t="s">
        <v>137</v>
      </c>
      <c r="I188" s="3" t="s">
        <v>137</v>
      </c>
      <c r="J188" s="3" t="s">
        <v>56</v>
      </c>
      <c r="K188" t="str">
        <v>B</v>
      </c>
      <c r="L188">
        <v>4</v>
      </c>
      <c r="AC188" s="9" t="str">
        <v>WBBWWWBBW</v>
      </c>
    </row>
    <row r="189" spans="2:29" ht="22.5" customHeight="1">
      <c r="B189" s="2">
        <v>68</v>
      </c>
      <c r="C189" s="2">
        <v>4</v>
      </c>
      <c r="D189" s="16">
        <v>6</v>
      </c>
      <c r="E189" s="7" cm="1">
        <f t="array" ref="E189">SUM(LEN(H189:J189) - LEN(SUBSTITUTE(H189:J189,K189,"")))</f>
        <v>9</v>
      </c>
      <c r="F189"/>
      <c r="G189" s="3" t="s">
        <v>174</v>
      </c>
      <c r="H189" s="3" t="s">
        <v>61</v>
      </c>
      <c r="I189" s="3" t="s">
        <v>178</v>
      </c>
      <c r="J189" s="3" t="s">
        <v>51</v>
      </c>
      <c r="K189" t="str">
        <v>R</v>
      </c>
      <c r="L189">
        <v>12</v>
      </c>
      <c r="AC189" s="9" t="str">
        <v>RWBRWBRWB</v>
      </c>
    </row>
    <row r="190" spans="2:29" ht="22.5" customHeight="1">
      <c r="B190" s="2">
        <v>69</v>
      </c>
      <c r="C190" s="2">
        <v>4</v>
      </c>
      <c r="D190" s="16">
        <v>6</v>
      </c>
      <c r="E190" s="7" cm="1">
        <f t="array" ref="E190">SUM(LEN(H190:J190) - LEN(SUBSTITUTE(H190:J190,K190,"")))</f>
        <v>11</v>
      </c>
      <c r="F190"/>
      <c r="G190" s="3" t="s">
        <v>168</v>
      </c>
      <c r="H190" s="3" t="s">
        <v>145</v>
      </c>
      <c r="I190" s="3" t="s">
        <v>133</v>
      </c>
      <c r="J190" s="3" t="s">
        <v>58</v>
      </c>
      <c r="K190" t="str">
        <v>B</v>
      </c>
      <c r="L190">
        <v>4</v>
      </c>
      <c r="AC190" s="9" t="str">
        <v>RRWWWWWRR</v>
      </c>
    </row>
    <row r="191" spans="2:29" ht="22.5" customHeight="1">
      <c r="B191" s="2">
        <v>70</v>
      </c>
      <c r="C191" s="2">
        <v>4</v>
      </c>
      <c r="D191" s="16">
        <v>6</v>
      </c>
      <c r="E191" s="7" cm="1">
        <f t="array" ref="E191">SUM(LEN(H191:J191) - LEN(SUBSTITUTE(H191:J191,K191,"")))</f>
        <v>11</v>
      </c>
      <c r="F191"/>
      <c r="G191" s="3" t="s">
        <v>181</v>
      </c>
      <c r="H191" s="3" t="s">
        <v>182</v>
      </c>
      <c r="I191" s="3" t="s">
        <v>99</v>
      </c>
      <c r="J191" s="3" t="s">
        <v>56</v>
      </c>
      <c r="K191" t="str">
        <v>W</v>
      </c>
      <c r="L191">
        <v>2</v>
      </c>
      <c r="AC191" s="9" t="str">
        <v>WGWGWGWGW</v>
      </c>
    </row>
    <row r="192" spans="2:29" ht="22.5" customHeight="1">
      <c r="B192" s="2">
        <v>71</v>
      </c>
      <c r="C192" s="2">
        <v>4</v>
      </c>
      <c r="D192" s="16">
        <v>6</v>
      </c>
      <c r="E192" s="7" cm="1">
        <f t="array" ref="E192">SUM(LEN(H192:J192) - LEN(SUBSTITUTE(H192:J192,K192,"")))</f>
        <v>13</v>
      </c>
      <c r="F192"/>
      <c r="G192" s="3" t="s">
        <v>181</v>
      </c>
      <c r="H192" s="3" t="s">
        <v>86</v>
      </c>
      <c r="I192" s="3" t="s">
        <v>133</v>
      </c>
      <c r="J192" s="3" t="s">
        <v>98</v>
      </c>
      <c r="K192" t="str">
        <v>W</v>
      </c>
      <c r="L192">
        <v>2</v>
      </c>
      <c r="AC192" s="9" t="str">
        <v>GGGWWWGGG</v>
      </c>
    </row>
    <row r="193" spans="2:29" ht="22.5" customHeight="1">
      <c r="B193" s="2">
        <v>72</v>
      </c>
      <c r="C193" s="2">
        <v>4</v>
      </c>
      <c r="D193" s="16">
        <v>6</v>
      </c>
      <c r="E193" s="7" cm="1">
        <f t="array" ref="E193">SUM(LEN(H193:J193) - LEN(SUBSTITUTE(H193:J193,K193,"")))</f>
        <v>1</v>
      </c>
      <c r="F193"/>
      <c r="G193" s="3" t="s">
        <v>179</v>
      </c>
      <c r="H193" s="3" t="s">
        <v>86</v>
      </c>
      <c r="I193" s="3" t="s">
        <v>143</v>
      </c>
      <c r="J193" s="3" t="s">
        <v>55</v>
      </c>
      <c r="K193" t="str">
        <v>V</v>
      </c>
      <c r="L193">
        <v>20</v>
      </c>
      <c r="AC193" s="9" t="str">
        <v>GGGGWRWWW</v>
      </c>
    </row>
    <row r="194" spans="2:29" ht="22.5" customHeight="1">
      <c r="B194" s="2">
        <v>73</v>
      </c>
      <c r="C194" s="2">
        <v>4</v>
      </c>
      <c r="D194" s="16">
        <v>6</v>
      </c>
      <c r="E194" s="7" cm="1">
        <f t="array" ref="E194">SUM(LEN(H194:J194) - LEN(SUBSTITUTE(H194:J194,K194,"")))</f>
        <v>12</v>
      </c>
      <c r="F194"/>
      <c r="G194" s="3" t="s">
        <v>181</v>
      </c>
      <c r="H194" s="3" t="s">
        <v>135</v>
      </c>
      <c r="I194" s="3" t="s">
        <v>183</v>
      </c>
      <c r="J194" s="3" t="s">
        <v>50</v>
      </c>
      <c r="K194" t="str">
        <v>W</v>
      </c>
      <c r="L194">
        <v>2</v>
      </c>
      <c r="AC194" s="9" t="str">
        <v>RRSSRSSRR</v>
      </c>
    </row>
    <row r="195" spans="2:29" ht="22.5" customHeight="1">
      <c r="B195" s="2">
        <v>74</v>
      </c>
      <c r="C195" s="2">
        <v>4</v>
      </c>
      <c r="D195" s="16">
        <v>6</v>
      </c>
      <c r="E195" s="7" cm="1">
        <f t="array" ref="E195">SUM(LEN(H195:J195) - LEN(SUBSTITUTE(H195:J195,K195,"")))</f>
        <v>6</v>
      </c>
      <c r="F195"/>
      <c r="G195" s="3" t="s">
        <v>174</v>
      </c>
      <c r="H195" s="3" t="s">
        <v>51</v>
      </c>
      <c r="I195" s="3" t="s">
        <v>60</v>
      </c>
      <c r="J195" s="3" t="s">
        <v>184</v>
      </c>
      <c r="K195" t="str">
        <v>R</v>
      </c>
      <c r="L195">
        <v>12</v>
      </c>
      <c r="AC195" s="9" t="str">
        <v>RWBRWBRWB</v>
      </c>
    </row>
    <row r="196" spans="2:29" ht="22.5" customHeight="1">
      <c r="B196" s="2">
        <v>75</v>
      </c>
      <c r="C196" s="2">
        <v>4</v>
      </c>
      <c r="D196" s="16">
        <v>6</v>
      </c>
      <c r="E196" s="7" cm="1">
        <f t="array" ref="E196">SUM(LEN(H196:J196) - LEN(SUBSTITUTE(H196:J196,K196,"")))</f>
        <v>12</v>
      </c>
      <c r="F196"/>
      <c r="G196" s="3" t="s">
        <v>174</v>
      </c>
      <c r="H196" s="3" t="s">
        <v>170</v>
      </c>
      <c r="I196" s="3" t="s">
        <v>46</v>
      </c>
      <c r="J196" s="3" t="s">
        <v>57</v>
      </c>
      <c r="K196" t="str">
        <v>R</v>
      </c>
      <c r="L196">
        <v>12</v>
      </c>
      <c r="AC196" s="9" t="str">
        <v>BBWRWRWBB</v>
      </c>
    </row>
    <row r="197" spans="2:29" ht="22.5" customHeight="1">
      <c r="B197" s="2">
        <v>76</v>
      </c>
      <c r="C197" s="2">
        <v>4</v>
      </c>
      <c r="D197" s="16">
        <v>6</v>
      </c>
      <c r="E197" s="7" cm="1">
        <f t="array" ref="E197">SUM(LEN(H197:J197) - LEN(SUBSTITUTE(H197:J197,K197,"")))</f>
        <v>6</v>
      </c>
      <c r="F197"/>
      <c r="G197" s="3" t="s">
        <v>181</v>
      </c>
      <c r="H197" s="3" t="s">
        <v>55</v>
      </c>
      <c r="I197" s="3" t="s">
        <v>144</v>
      </c>
      <c r="J197" s="3" t="s">
        <v>185</v>
      </c>
      <c r="K197" t="str">
        <v>W</v>
      </c>
      <c r="L197">
        <v>2</v>
      </c>
      <c r="AC197" s="9" t="str">
        <v>WYBWWWBYW</v>
      </c>
    </row>
    <row r="198" spans="2:29" ht="22.5" customHeight="1">
      <c r="B198" s="2">
        <v>77</v>
      </c>
      <c r="C198" s="2">
        <v>4</v>
      </c>
      <c r="D198" s="16">
        <v>6</v>
      </c>
      <c r="E198" s="7" cm="1">
        <f t="array" ref="E198">SUM(LEN(H198:J198) - LEN(SUBSTITUTE(H198:J198,K198,"")))</f>
        <v>5</v>
      </c>
      <c r="F198"/>
      <c r="G198" s="3" t="s">
        <v>168</v>
      </c>
      <c r="H198" s="3" t="s">
        <v>140</v>
      </c>
      <c r="I198" s="3" t="s">
        <v>124</v>
      </c>
      <c r="J198" s="3" t="s">
        <v>135</v>
      </c>
      <c r="K198" t="str">
        <v>B</v>
      </c>
      <c r="L198">
        <v>4</v>
      </c>
      <c r="AC198" s="9" t="str">
        <v>BBWBWBWBB</v>
      </c>
    </row>
    <row r="199" spans="2:29" ht="22.5" customHeight="1">
      <c r="B199" s="2">
        <v>78</v>
      </c>
      <c r="C199" s="2">
        <v>4</v>
      </c>
      <c r="D199" s="16">
        <v>6</v>
      </c>
      <c r="E199" s="7" cm="1">
        <f t="array" ref="E199">SUM(LEN(H199:J199) - LEN(SUBSTITUTE(H199:J199,K199,"")))</f>
        <v>10</v>
      </c>
      <c r="F199"/>
      <c r="G199" s="3" t="s">
        <v>176</v>
      </c>
      <c r="H199" s="3" t="s">
        <v>138</v>
      </c>
      <c r="I199" s="3" t="s">
        <v>144</v>
      </c>
      <c r="J199" s="3" t="s">
        <v>48</v>
      </c>
      <c r="K199" t="str">
        <v>G</v>
      </c>
      <c r="L199">
        <v>4</v>
      </c>
      <c r="AC199" s="9" t="str">
        <v>GGGGWRWWW</v>
      </c>
    </row>
    <row r="200" spans="2:29" ht="22.5" customHeight="1">
      <c r="B200" s="2">
        <v>79</v>
      </c>
      <c r="C200" s="2">
        <v>4</v>
      </c>
      <c r="D200" s="16">
        <v>6</v>
      </c>
      <c r="E200" s="7" cm="1">
        <f t="array" ref="E200">SUM(LEN(H200:J200) - LEN(SUBSTITUTE(H200:J200,K200,"")))</f>
        <v>11</v>
      </c>
      <c r="F200"/>
      <c r="G200" s="3" t="s">
        <v>174</v>
      </c>
      <c r="H200" s="3" t="s">
        <v>186</v>
      </c>
      <c r="I200" s="3" t="s">
        <v>125</v>
      </c>
      <c r="J200" s="3" t="s">
        <v>187</v>
      </c>
      <c r="K200" t="str">
        <v>R</v>
      </c>
      <c r="L200">
        <v>12</v>
      </c>
      <c r="AC200" s="9" t="str">
        <v>RRRWWWRRR</v>
      </c>
    </row>
    <row r="201" spans="2:29" ht="22.5" customHeight="1">
      <c r="B201" s="2">
        <v>80</v>
      </c>
      <c r="C201" s="2">
        <v>4</v>
      </c>
      <c r="D201" s="16">
        <v>6</v>
      </c>
      <c r="E201" s="7" cm="1">
        <f t="array" ref="E201">SUM(LEN(H201:J201) - LEN(SUBSTITUTE(H201:J201,K201,"")))</f>
        <v>2</v>
      </c>
      <c r="F201"/>
      <c r="G201" s="3" t="s">
        <v>168</v>
      </c>
      <c r="H201" s="3" t="s">
        <v>139</v>
      </c>
      <c r="I201" s="3" t="s">
        <v>187</v>
      </c>
      <c r="J201" s="3" t="s">
        <v>87</v>
      </c>
      <c r="K201" t="str">
        <v>B</v>
      </c>
      <c r="L201">
        <v>4</v>
      </c>
      <c r="AC201" s="9" t="str">
        <v>BWBBBBBWB</v>
      </c>
    </row>
    <row r="202" spans="2:29" ht="15" customHeight="1">
      <c r="AC202" s="9" t="str">
        <v>BBWWBWWBB</v>
      </c>
    </row>
    <row r="203" spans="2:29" ht="15" customHeight="1" thickBot="1">
      <c r="AC203" s="9" t="str">
        <v>WWBBBBBWW</v>
      </c>
    </row>
    <row r="204" spans="2:29" ht="22.5" customHeight="1" thickBot="1">
      <c r="B204" s="49" t="s">
        <v>188</v>
      </c>
      <c r="C204" s="53" t="s">
        <v>101</v>
      </c>
      <c r="D204" s="76" t="s">
        <v>189</v>
      </c>
      <c r="AC204" s="9" t="str">
        <v>WGWGWGWGW</v>
      </c>
    </row>
    <row r="205" spans="2:29" ht="15" customHeight="1">
      <c r="AC205" s="9" t="str">
        <v>SSWSSSWSS</v>
      </c>
    </row>
    <row r="206" spans="2:29" ht="15" customHeight="1">
      <c r="B206" s="77" t="s">
        <v>190</v>
      </c>
      <c r="C206" s="77"/>
      <c r="AC206" s="9" t="str">
        <v>YYSSSSSYY</v>
      </c>
    </row>
    <row r="207" spans="2:29" ht="15" customHeight="1">
      <c r="B207" s="89" t="s">
        <v>191</v>
      </c>
      <c r="C207" s="77"/>
      <c r="AC207" s="9" t="str">
        <v>WBBWWWWBW</v>
      </c>
    </row>
    <row r="208" spans="2:29" ht="15" customHeight="1">
      <c r="B208" s="77"/>
      <c r="C208" s="77"/>
      <c r="AC208" s="9" t="str">
        <v>YBYBYBYBY</v>
      </c>
    </row>
    <row r="209" spans="2:29" ht="15" customHeight="1">
      <c r="B209" s="76" t="s">
        <v>192</v>
      </c>
      <c r="C209" s="77"/>
      <c r="AC209" s="9" t="str">
        <v>RRWWWWWRR</v>
      </c>
    </row>
    <row r="210" spans="2:29" ht="15" customHeight="1">
      <c r="B210" s="76"/>
      <c r="C210" s="77"/>
      <c r="AC210" s="9" t="str">
        <v>SWRWSWRWS</v>
      </c>
    </row>
    <row r="211" spans="2:29" ht="15" customHeight="1">
      <c r="B211" s="78" t="s">
        <v>193</v>
      </c>
      <c r="C211" s="77" t="s">
        <v>194</v>
      </c>
      <c r="AC211" s="9" t="str">
        <v>VVYVYVYVV</v>
      </c>
    </row>
    <row r="212" spans="2:29" ht="15" customHeight="1">
      <c r="C212" s="77" t="s">
        <v>195</v>
      </c>
      <c r="AC212" s="9" t="str">
        <v>RRWRRRWRR</v>
      </c>
    </row>
    <row r="213" spans="2:29" ht="15" customHeight="1">
      <c r="C213" s="77" t="s">
        <v>196</v>
      </c>
      <c r="AC213" s="9" t="str">
        <v>BRBRBRBRB</v>
      </c>
    </row>
    <row r="214" spans="2:29" ht="15" customHeight="1">
      <c r="B214" s="77"/>
      <c r="C214" s="79"/>
      <c r="AC214" s="9" t="str">
        <v>SSSRRRSSS</v>
      </c>
    </row>
    <row r="215" spans="2:29" ht="15" customHeight="1">
      <c r="B215" s="76" t="s">
        <v>197</v>
      </c>
      <c r="C215" s="77" t="s">
        <v>198</v>
      </c>
      <c r="AC215" s="9" t="str">
        <v>BBBBWBBBB</v>
      </c>
    </row>
    <row r="216" spans="2:29" ht="15" customHeight="1">
      <c r="B216" s="76" t="s">
        <v>199</v>
      </c>
      <c r="C216" s="77" t="s">
        <v>200</v>
      </c>
      <c r="AC216" s="9" t="str">
        <v>SWRWSWRWS</v>
      </c>
    </row>
    <row r="217" spans="2:29" ht="15" customHeight="1">
      <c r="B217" s="76" t="s">
        <v>201</v>
      </c>
      <c r="C217" s="77" t="s">
        <v>202</v>
      </c>
      <c r="AC217" s="9" t="str">
        <v>GWWGGGWWG</v>
      </c>
    </row>
    <row r="218" spans="2:29" ht="15" customHeight="1" thickBot="1">
      <c r="AC218" s="9" t="str">
        <v>GWSGWSGWS</v>
      </c>
    </row>
    <row r="219" spans="2:29" ht="22.5" customHeight="1" thickBot="1">
      <c r="B219" s="44" t="s">
        <v>13</v>
      </c>
      <c r="C219" s="45" t="s">
        <v>42</v>
      </c>
      <c r="D219" s="44" t="s">
        <v>15</v>
      </c>
      <c r="E219" s="51" t="s">
        <v>16</v>
      </c>
      <c r="G219" s="44" t="s">
        <v>166</v>
      </c>
      <c r="H219" s="51" t="s">
        <v>203</v>
      </c>
      <c r="AC219" s="9" t="str">
        <v>WWWRRRWWW</v>
      </c>
    </row>
    <row r="220" spans="2:29" ht="15" customHeight="1">
      <c r="AC220" s="9" t="str">
        <v>RRWRWRWRR</v>
      </c>
    </row>
    <row r="221" spans="2:29" ht="22.5" customHeight="1">
      <c r="B221" s="2" t="s">
        <v>204</v>
      </c>
      <c r="C221" s="2">
        <v>5</v>
      </c>
      <c r="D221" s="16">
        <v>0</v>
      </c>
      <c r="E221" s="7">
        <v>6</v>
      </c>
      <c r="F221"/>
      <c r="G221" s="3" t="s">
        <v>176</v>
      </c>
      <c r="H221" s="3" t="s">
        <v>45</v>
      </c>
      <c r="I221"/>
      <c r="J221"/>
      <c r="K221"/>
      <c r="AC221" s="9" t="str">
        <v>BYBWBWBYB</v>
      </c>
    </row>
    <row r="222" spans="2:29" ht="15" customHeight="1">
      <c r="B222" s="17"/>
      <c r="C222" s="17"/>
      <c r="D222" s="17"/>
      <c r="E222" s="17"/>
      <c r="I222"/>
      <c r="J222"/>
      <c r="K222"/>
      <c r="AC222" s="9" t="str">
        <v>BWWWBWWWB</v>
      </c>
    </row>
    <row r="223" spans="2:29" ht="22.5" customHeight="1">
      <c r="B223" s="2">
        <v>81</v>
      </c>
      <c r="C223" s="2">
        <v>5</v>
      </c>
      <c r="D223" s="16">
        <v>8</v>
      </c>
      <c r="E223" s="7" cm="1">
        <f t="array" ref="E223:E242">K223:K242</f>
        <v>4</v>
      </c>
      <c r="F223"/>
      <c r="G223" s="3" t="s">
        <v>169</v>
      </c>
      <c r="H223" s="3" t="s">
        <v>205</v>
      </c>
      <c r="I223" t="str" cm="1">
        <f t="array" ref="I223:I242">_xlfn.XLOOKUP(G223:G242,tblCost[Color],tblCost[Abbreviation],,0,1)</f>
        <v>S</v>
      </c>
      <c r="J223" t="str" cm="1">
        <f t="array" ref="J223">_xlfn.CONCAT(_xlfn._xlws.FILTER(tblS[Scarf Code],tblS[City]=H223))</f>
        <v>SRRSRSRRSVWVWVWVWVGGWGWGWGG</v>
      </c>
      <c r="K223">
        <f>LEN(J223) - LEN(SUBSTITUTE(J223,I223,""))</f>
        <v>4</v>
      </c>
      <c r="AC223" s="9" t="str">
        <v>BBBYYYBBB</v>
      </c>
    </row>
    <row r="224" spans="2:29" ht="22.5" customHeight="1">
      <c r="B224" s="2">
        <v>82</v>
      </c>
      <c r="C224" s="2">
        <v>5</v>
      </c>
      <c r="D224" s="16">
        <v>8</v>
      </c>
      <c r="E224" s="7">
        <v>6</v>
      </c>
      <c r="F224"/>
      <c r="G224" s="3" t="s">
        <v>174</v>
      </c>
      <c r="H224" s="3" t="s">
        <v>206</v>
      </c>
      <c r="I224" t="str">
        <v>R</v>
      </c>
      <c r="J224" t="str" cm="1">
        <f t="array" ref="J224">_xlfn.CONCAT(_xlfn._xlws.FILTER(tblS[Scarf Code],tblS[City]=H224))</f>
        <v>BBBWWWBBBRRRWWWRRR</v>
      </c>
      <c r="K224">
        <f t="shared" ref="K224:K242" si="4">LEN(J224) - LEN(SUBSTITUTE(J224,I224,""))</f>
        <v>6</v>
      </c>
      <c r="AC224" s="9" t="str">
        <v>WGGGGGGGW</v>
      </c>
    </row>
    <row r="225" spans="2:29" ht="22.5" customHeight="1">
      <c r="B225" s="2">
        <v>83</v>
      </c>
      <c r="C225" s="2">
        <v>5</v>
      </c>
      <c r="D225" s="16">
        <v>8</v>
      </c>
      <c r="E225" s="7">
        <v>7</v>
      </c>
      <c r="F225"/>
      <c r="G225" s="3" t="s">
        <v>181</v>
      </c>
      <c r="H225" s="3" t="s">
        <v>207</v>
      </c>
      <c r="I225" t="str">
        <v>W</v>
      </c>
      <c r="J225" t="str" cm="1">
        <f t="array" ref="J225">_xlfn.CONCAT(_xlfn._xlws.FILTER(tblS[Scarf Code],tblS[City]=H225))</f>
        <v>SSWSSSWSSWBWBWBWBW</v>
      </c>
      <c r="K225">
        <f t="shared" si="4"/>
        <v>7</v>
      </c>
      <c r="AC225" s="9" t="str">
        <v>RSSRRRSSR</v>
      </c>
    </row>
    <row r="226" spans="2:29" ht="22.5" customHeight="1">
      <c r="B226" s="2">
        <v>84</v>
      </c>
      <c r="C226" s="2">
        <v>5</v>
      </c>
      <c r="D226" s="16">
        <v>8</v>
      </c>
      <c r="E226" s="7">
        <v>5</v>
      </c>
      <c r="F226"/>
      <c r="G226" s="3" t="s">
        <v>176</v>
      </c>
      <c r="H226" s="3" t="s">
        <v>208</v>
      </c>
      <c r="I226" t="str">
        <v>G</v>
      </c>
      <c r="J226" t="str" cm="1">
        <f t="array" ref="J226">_xlfn.CONCAT(_xlfn._xlws.FILTER(tblS[Scarf Code],tblS[City]=H226))</f>
        <v>WGGWGWGGW</v>
      </c>
      <c r="K226">
        <f t="shared" si="4"/>
        <v>5</v>
      </c>
      <c r="L226"/>
      <c r="M226"/>
      <c r="AC226" s="9" t="str">
        <v>RRRBBBRRR</v>
      </c>
    </row>
    <row r="227" spans="2:29" ht="22.5" customHeight="1">
      <c r="B227" s="2">
        <v>85</v>
      </c>
      <c r="C227" s="2">
        <v>5</v>
      </c>
      <c r="D227" s="16">
        <v>8</v>
      </c>
      <c r="E227" s="7">
        <v>3</v>
      </c>
      <c r="F227"/>
      <c r="G227" s="3" t="s">
        <v>174</v>
      </c>
      <c r="H227" s="3" t="s">
        <v>209</v>
      </c>
      <c r="I227" t="str">
        <v>R</v>
      </c>
      <c r="J227" t="str" cm="1">
        <f t="array" ref="J227">_xlfn.CONCAT(_xlfn._xlws.FILTER(tblS[Scarf Code],tblS[City]=H227))</f>
        <v>WWWRRRWWW</v>
      </c>
      <c r="K227">
        <f t="shared" si="4"/>
        <v>3</v>
      </c>
      <c r="L227"/>
      <c r="M227"/>
      <c r="AC227" s="9" t="str">
        <v>WYBWWWBYW</v>
      </c>
    </row>
    <row r="228" spans="2:29" ht="22.5" customHeight="1">
      <c r="B228" s="2">
        <v>86</v>
      </c>
      <c r="C228" s="2">
        <v>5</v>
      </c>
      <c r="D228" s="16">
        <v>8</v>
      </c>
      <c r="E228" s="7">
        <v>5</v>
      </c>
      <c r="F228"/>
      <c r="G228" s="3" t="s">
        <v>210</v>
      </c>
      <c r="H228" s="3" t="s">
        <v>211</v>
      </c>
      <c r="I228" t="str">
        <v>Y</v>
      </c>
      <c r="J228" t="str" cm="1">
        <f t="array" ref="J228">_xlfn.CONCAT(_xlfn._xlws.FILTER(tblS[Scarf Code],tblS[City]=H228))</f>
        <v>WBBWWWWBWYBYBYBYBY</v>
      </c>
      <c r="K228">
        <f t="shared" si="4"/>
        <v>5</v>
      </c>
      <c r="L228"/>
      <c r="M228"/>
      <c r="AC228" s="9" t="str">
        <v>BRBRBRBRB</v>
      </c>
    </row>
    <row r="229" spans="2:29" ht="22.5" customHeight="1">
      <c r="B229" s="2">
        <v>87</v>
      </c>
      <c r="C229" s="2">
        <v>5</v>
      </c>
      <c r="D229" s="16">
        <v>8</v>
      </c>
      <c r="E229" s="7">
        <v>2</v>
      </c>
      <c r="F229"/>
      <c r="G229" s="3" t="s">
        <v>179</v>
      </c>
      <c r="H229" s="3" t="s">
        <v>212</v>
      </c>
      <c r="I229" t="str">
        <v>V</v>
      </c>
      <c r="J229" t="str" cm="1">
        <f t="array" ref="J229">_xlfn.CONCAT(_xlfn._xlws.FILTER(tblS[Scarf Code],tblS[City]=H229))</f>
        <v>RRVBWBVRRGGWGGGWGG</v>
      </c>
      <c r="K229">
        <f t="shared" si="4"/>
        <v>2</v>
      </c>
      <c r="L229"/>
      <c r="M229"/>
      <c r="AC229" s="9" t="str">
        <v>SWGSWGSWG</v>
      </c>
    </row>
    <row r="230" spans="2:29" ht="22.5" customHeight="1">
      <c r="B230" s="2">
        <v>88</v>
      </c>
      <c r="C230" s="2">
        <v>5</v>
      </c>
      <c r="D230" s="16">
        <v>8</v>
      </c>
      <c r="E230" s="7">
        <v>0</v>
      </c>
      <c r="F230"/>
      <c r="G230" s="3" t="s">
        <v>210</v>
      </c>
      <c r="H230" s="3" t="s">
        <v>213</v>
      </c>
      <c r="I230" t="str">
        <v>Y</v>
      </c>
      <c r="J230" t="str" cm="1">
        <f t="array" ref="J230">_xlfn.CONCAT(_xlfn._xlws.FILTER(tblS[Scarf Code],tblS[City]=H230))</f>
        <v>BBWBWBWBBRRWRRRWRR</v>
      </c>
      <c r="K230">
        <f t="shared" si="4"/>
        <v>0</v>
      </c>
      <c r="L230"/>
      <c r="M230"/>
      <c r="AC230" s="9" t="str">
        <v>RRWRRRWRR</v>
      </c>
    </row>
    <row r="231" spans="2:29" ht="22.5" customHeight="1">
      <c r="B231" s="2">
        <v>89</v>
      </c>
      <c r="C231" s="2">
        <v>5</v>
      </c>
      <c r="D231" s="16">
        <v>8</v>
      </c>
      <c r="E231" s="7">
        <v>11</v>
      </c>
      <c r="F231"/>
      <c r="G231" s="3" t="s">
        <v>169</v>
      </c>
      <c r="H231" s="3" t="s">
        <v>214</v>
      </c>
      <c r="I231" t="str">
        <v>S</v>
      </c>
      <c r="J231" t="str" cm="1">
        <f t="array" ref="J231">_xlfn.CONCAT(_xlfn._xlws.FILTER(tblS[Scarf Code],tblS[City]=H231))</f>
        <v>SWSWSWSWSSSSRRRSSS</v>
      </c>
      <c r="K231">
        <f t="shared" si="4"/>
        <v>11</v>
      </c>
      <c r="L231"/>
      <c r="M231"/>
      <c r="AC231" s="9" t="str">
        <v>RSSRRRSSR</v>
      </c>
    </row>
    <row r="232" spans="2:29" ht="22.5" customHeight="1">
      <c r="B232" s="2">
        <v>90</v>
      </c>
      <c r="C232" s="2">
        <v>5</v>
      </c>
      <c r="D232" s="16">
        <v>8</v>
      </c>
      <c r="E232" s="7">
        <v>8</v>
      </c>
      <c r="F232"/>
      <c r="G232" s="3" t="s">
        <v>181</v>
      </c>
      <c r="H232" s="3" t="s">
        <v>215</v>
      </c>
      <c r="I232" t="str">
        <v>W</v>
      </c>
      <c r="J232" t="str" cm="1">
        <f t="array" ref="J232">_xlfn.CONCAT(_xlfn._xlws.FILTER(tblS[Scarf Code],tblS[City]=H232))</f>
        <v>SYWWWWWYSRBWRBWRBW</v>
      </c>
      <c r="K232">
        <f t="shared" si="4"/>
        <v>8</v>
      </c>
      <c r="L232"/>
      <c r="M232"/>
      <c r="AC232" s="9" t="str">
        <v>WRRWWWRRW</v>
      </c>
    </row>
    <row r="233" spans="2:29" ht="22.5" customHeight="1">
      <c r="B233" s="2">
        <v>91</v>
      </c>
      <c r="C233" s="2">
        <v>5</v>
      </c>
      <c r="D233" s="16">
        <v>8</v>
      </c>
      <c r="E233" s="7">
        <v>4</v>
      </c>
      <c r="F233"/>
      <c r="G233" s="3" t="s">
        <v>210</v>
      </c>
      <c r="H233" s="3" t="s">
        <v>216</v>
      </c>
      <c r="I233" t="str">
        <v>Y</v>
      </c>
      <c r="J233" t="str" cm="1">
        <f t="array" ref="J233">_xlfn.CONCAT(_xlfn._xlws.FILTER(tblS[Scarf Code],tblS[City]=H233))</f>
        <v>YBYBVBYBYBWWBWWBWB</v>
      </c>
      <c r="K233">
        <f t="shared" si="4"/>
        <v>4</v>
      </c>
      <c r="L233"/>
      <c r="M233"/>
      <c r="AC233" s="9" t="str">
        <v>GGWWYWWGG</v>
      </c>
    </row>
    <row r="234" spans="2:29" ht="22.5" customHeight="1">
      <c r="B234" s="2">
        <v>92</v>
      </c>
      <c r="C234" s="2">
        <v>5</v>
      </c>
      <c r="D234" s="16">
        <v>8</v>
      </c>
      <c r="E234" s="7">
        <v>3</v>
      </c>
      <c r="F234"/>
      <c r="G234" s="3" t="s">
        <v>181</v>
      </c>
      <c r="H234" s="3" t="s">
        <v>217</v>
      </c>
      <c r="I234" t="str">
        <v>W</v>
      </c>
      <c r="J234" t="str" cm="1">
        <f t="array" ref="J234">_xlfn.CONCAT(_xlfn._xlws.FILTER(tblS[Scarf Code],tblS[City]=H234))</f>
        <v>RRWRWRWRR</v>
      </c>
      <c r="K234">
        <f t="shared" si="4"/>
        <v>3</v>
      </c>
      <c r="L234"/>
      <c r="M234"/>
      <c r="AC234" s="9" t="str">
        <v>BWWBBBWWB</v>
      </c>
    </row>
    <row r="235" spans="2:29" ht="22.5" customHeight="1">
      <c r="B235" s="2">
        <v>93</v>
      </c>
      <c r="C235" s="2">
        <v>5</v>
      </c>
      <c r="D235" s="16">
        <v>8</v>
      </c>
      <c r="E235" s="7">
        <v>6</v>
      </c>
      <c r="F235"/>
      <c r="G235" s="3" t="s">
        <v>176</v>
      </c>
      <c r="H235" s="3" t="s">
        <v>218</v>
      </c>
      <c r="I235" t="str">
        <v>G</v>
      </c>
      <c r="J235" t="str" cm="1">
        <f t="array" ref="J235">_xlfn.CONCAT(_xlfn._xlws.FILTER(tblS[Scarf Code],tblS[City]=H235))</f>
        <v>WWRWRRWRRGGGSWSGGG</v>
      </c>
      <c r="K235">
        <f t="shared" si="4"/>
        <v>6</v>
      </c>
      <c r="L235"/>
      <c r="M235"/>
      <c r="AC235" s="9" t="str">
        <v>RRSSRSSRR</v>
      </c>
    </row>
    <row r="236" spans="2:29" ht="22.5" customHeight="1">
      <c r="B236" s="2">
        <v>94</v>
      </c>
      <c r="C236" s="2">
        <v>5</v>
      </c>
      <c r="D236" s="16">
        <v>8</v>
      </c>
      <c r="E236" s="7">
        <v>9</v>
      </c>
      <c r="F236"/>
      <c r="G236" s="3" t="s">
        <v>181</v>
      </c>
      <c r="H236" s="3" t="s">
        <v>219</v>
      </c>
      <c r="I236" t="str">
        <v>W</v>
      </c>
      <c r="J236" t="str" cm="1">
        <f t="array" ref="J236">_xlfn.CONCAT(_xlfn._xlws.FILTER(tblS[Scarf Code],tblS[City]=H236))</f>
        <v>GGWWYWWGGWRRWWWRRW</v>
      </c>
      <c r="K236">
        <f t="shared" si="4"/>
        <v>9</v>
      </c>
      <c r="L236"/>
      <c r="M236"/>
      <c r="AC236" s="9" t="str">
        <v>GSGSGSGSG</v>
      </c>
    </row>
    <row r="237" spans="2:29" ht="22.5" customHeight="1">
      <c r="B237" s="2">
        <v>95</v>
      </c>
      <c r="C237" s="2">
        <v>5</v>
      </c>
      <c r="D237" s="16">
        <v>8</v>
      </c>
      <c r="E237" s="7">
        <v>7</v>
      </c>
      <c r="F237"/>
      <c r="G237" s="3" t="s">
        <v>168</v>
      </c>
      <c r="H237" s="3" t="s">
        <v>220</v>
      </c>
      <c r="I237" t="str">
        <v>B</v>
      </c>
      <c r="J237" t="str" cm="1">
        <f t="array" ref="J237">_xlfn.CONCAT(_xlfn._xlws.FILTER(tblS[Scarf Code],tblS[City]=H237))</f>
        <v>WGWGWGWGWBSBBBBBWB</v>
      </c>
      <c r="K237">
        <f t="shared" si="4"/>
        <v>7</v>
      </c>
      <c r="L237"/>
      <c r="M237"/>
      <c r="AC237" s="9" t="str">
        <v>RWRBWRRWR</v>
      </c>
    </row>
    <row r="238" spans="2:29" ht="22.5" customHeight="1">
      <c r="B238" s="2">
        <v>96</v>
      </c>
      <c r="C238" s="2">
        <v>5</v>
      </c>
      <c r="D238" s="16">
        <v>8</v>
      </c>
      <c r="E238" s="7">
        <v>1</v>
      </c>
      <c r="F238"/>
      <c r="G238" s="3" t="s">
        <v>179</v>
      </c>
      <c r="H238" s="3" t="s">
        <v>221</v>
      </c>
      <c r="I238" t="str">
        <v>V</v>
      </c>
      <c r="J238" t="str" cm="1">
        <f t="array" ref="J238">_xlfn.CONCAT(_xlfn._xlws.FILTER(tblS[Scarf Code],tblS[City]=H238))</f>
        <v>BBWSWSWBBRRYYGGBBV</v>
      </c>
      <c r="K238">
        <f t="shared" si="4"/>
        <v>1</v>
      </c>
      <c r="L238"/>
      <c r="M238"/>
      <c r="AC238" s="9" t="str">
        <v>SSWSSSWSS</v>
      </c>
    </row>
    <row r="239" spans="2:29" ht="22.5" customHeight="1">
      <c r="B239" s="2">
        <v>97</v>
      </c>
      <c r="C239" s="2">
        <v>5</v>
      </c>
      <c r="D239" s="16">
        <v>8</v>
      </c>
      <c r="E239" s="7">
        <v>4</v>
      </c>
      <c r="F239"/>
      <c r="G239" s="3" t="s">
        <v>169</v>
      </c>
      <c r="H239" s="3" t="s">
        <v>222</v>
      </c>
      <c r="I239" t="str">
        <v>S</v>
      </c>
      <c r="J239" t="str" cm="1">
        <f t="array" ref="J239">_xlfn.CONCAT(_xlfn._xlws.FILTER(tblS[Scarf Code],tblS[City]=H239))</f>
        <v>SSWWWWWSS</v>
      </c>
      <c r="K239">
        <f t="shared" si="4"/>
        <v>4</v>
      </c>
      <c r="L239"/>
      <c r="M239"/>
      <c r="AC239" s="9" t="str">
        <v>BSBSBSBSB</v>
      </c>
    </row>
    <row r="240" spans="2:29" ht="22.5" customHeight="1">
      <c r="B240" s="2">
        <v>98</v>
      </c>
      <c r="C240" s="2">
        <v>5</v>
      </c>
      <c r="D240" s="16">
        <v>8</v>
      </c>
      <c r="E240" s="7">
        <v>0</v>
      </c>
      <c r="F240"/>
      <c r="G240" s="3" t="s">
        <v>176</v>
      </c>
      <c r="H240" s="3" t="s">
        <v>223</v>
      </c>
      <c r="I240" t="str">
        <v>G</v>
      </c>
      <c r="J240" t="str" cm="1">
        <f t="array" ref="J240">_xlfn.CONCAT(_xlfn._xlws.FILTER(tblS[Scarf Code],tblS[City]=H240))</f>
        <v>RWWRRRWWRBBBBWBBBB</v>
      </c>
      <c r="K240">
        <f t="shared" si="4"/>
        <v>0</v>
      </c>
      <c r="L240"/>
      <c r="M240"/>
      <c r="AC240" s="9" t="str">
        <v>SWSWSWSWS</v>
      </c>
    </row>
    <row r="241" spans="2:29" ht="22.5" customHeight="1">
      <c r="B241" s="2">
        <v>99</v>
      </c>
      <c r="C241" s="2">
        <v>5</v>
      </c>
      <c r="D241" s="16">
        <v>8</v>
      </c>
      <c r="E241" s="7">
        <v>8</v>
      </c>
      <c r="F241"/>
      <c r="G241" s="3" t="s">
        <v>169</v>
      </c>
      <c r="H241" s="3" t="s">
        <v>224</v>
      </c>
      <c r="I241" t="str">
        <v>S</v>
      </c>
      <c r="J241" t="str" cm="1">
        <f t="array" ref="J241">_xlfn.CONCAT(_xlfn._xlws.FILTER(tblS[Scarf Code],tblS[City]=H241))</f>
        <v>BSBSBSBSBRSRSRSRSR</v>
      </c>
      <c r="K241">
        <f t="shared" si="4"/>
        <v>8</v>
      </c>
      <c r="L241"/>
      <c r="M241"/>
      <c r="AC241" s="9" t="str">
        <v>GGWWWWWGG</v>
      </c>
    </row>
    <row r="242" spans="2:29" ht="22.5" customHeight="1">
      <c r="B242" s="2">
        <v>100</v>
      </c>
      <c r="C242" s="2">
        <v>5</v>
      </c>
      <c r="D242" s="16">
        <v>8</v>
      </c>
      <c r="E242" s="7">
        <v>10</v>
      </c>
      <c r="F242"/>
      <c r="G242" s="3" t="s">
        <v>174</v>
      </c>
      <c r="H242" s="3" t="s">
        <v>225</v>
      </c>
      <c r="I242" t="str">
        <v>R</v>
      </c>
      <c r="J242" t="str" cm="1">
        <f t="array" ref="J242">_xlfn.CONCAT(_xlfn._xlws.FILTER(tblS[Scarf Code],tblS[City]=H242))</f>
        <v>WRRWRWRRWBYRRRRRYB</v>
      </c>
      <c r="K242">
        <f t="shared" si="4"/>
        <v>10</v>
      </c>
      <c r="L242"/>
      <c r="M242"/>
      <c r="AC242" s="9" t="str">
        <v>RRSSRSSRR</v>
      </c>
    </row>
    <row r="243" spans="2:29" ht="15" customHeight="1">
      <c r="AC243" s="9" t="str">
        <v>WWBBBBBWW</v>
      </c>
    </row>
    <row r="244" spans="2:29" ht="15" customHeight="1" thickBot="1">
      <c r="AC244" s="9" t="str">
        <v>VVYVYVYVV</v>
      </c>
    </row>
    <row r="245" spans="2:29" ht="22.5" customHeight="1" thickBot="1">
      <c r="B245" s="49" t="s">
        <v>226</v>
      </c>
      <c r="C245" s="54" t="s">
        <v>67</v>
      </c>
      <c r="D245" s="76" t="s">
        <v>227</v>
      </c>
      <c r="AC245" s="9" t="str">
        <v>WBWBWBWBW</v>
      </c>
    </row>
    <row r="246" spans="2:29" ht="15" customHeight="1">
      <c r="B246" s="18"/>
      <c r="C246" s="19"/>
      <c r="D246" s="15"/>
      <c r="AC246" s="9" t="str">
        <v>RRWRRRWRR</v>
      </c>
    </row>
    <row r="247" spans="2:29" ht="15" customHeight="1">
      <c r="B247" s="77" t="s">
        <v>228</v>
      </c>
      <c r="C247" s="77"/>
      <c r="AC247" s="9" t="str">
        <v>GGGWWWGGG</v>
      </c>
    </row>
    <row r="248" spans="2:29" ht="15" customHeight="1">
      <c r="B248" s="77" t="s">
        <v>229</v>
      </c>
      <c r="C248" s="77"/>
      <c r="AC248" s="9" t="str">
        <v>GSGSGSGSG</v>
      </c>
    </row>
    <row r="249" spans="2:29" ht="15" customHeight="1">
      <c r="B249" s="77" t="s">
        <v>230</v>
      </c>
      <c r="C249" s="77"/>
      <c r="AC249" s="9" t="str">
        <v>VVVWWWVVV</v>
      </c>
    </row>
    <row r="250" spans="2:29" ht="15" customHeight="1">
      <c r="B250" s="77" t="s">
        <v>231</v>
      </c>
      <c r="C250" s="77"/>
      <c r="AC250" s="9" t="str">
        <v>SSSRRRSSS</v>
      </c>
    </row>
    <row r="251" spans="2:29" ht="15" customHeight="1">
      <c r="B251" s="77"/>
      <c r="C251" s="77"/>
      <c r="AC251" s="9" t="str">
        <v>VWVWVWVWV</v>
      </c>
    </row>
    <row r="252" spans="2:29" ht="15" customHeight="1">
      <c r="B252" s="76" t="s">
        <v>232</v>
      </c>
      <c r="C252" s="77"/>
      <c r="AC252" s="9" t="str">
        <v>BBBWRWBBB</v>
      </c>
    </row>
    <row r="253" spans="2:29" ht="15" customHeight="1">
      <c r="B253" s="76"/>
      <c r="C253" s="77"/>
      <c r="AC253" s="9" t="str">
        <v>BWWBBBWWB</v>
      </c>
    </row>
    <row r="254" spans="2:29" ht="15" customHeight="1">
      <c r="B254" s="78" t="s">
        <v>233</v>
      </c>
      <c r="C254" s="77" t="s">
        <v>158</v>
      </c>
      <c r="AC254" s="9" t="str">
        <v>SSWWWWWSS</v>
      </c>
    </row>
    <row r="255" spans="2:29" ht="15" customHeight="1">
      <c r="C255" s="77" t="s">
        <v>234</v>
      </c>
      <c r="AC255" s="9" t="str">
        <v>SSWSSSWSS</v>
      </c>
    </row>
    <row r="256" spans="2:29" ht="15" customHeight="1">
      <c r="C256" s="77" t="s">
        <v>235</v>
      </c>
      <c r="AC256" s="9" t="str">
        <v>RWRWRWRWR</v>
      </c>
    </row>
    <row r="257" spans="2:29" ht="15" customHeight="1">
      <c r="C257" s="77" t="s">
        <v>236</v>
      </c>
      <c r="AC257" s="9" t="str">
        <v>VVWWWWWVV</v>
      </c>
    </row>
    <row r="258" spans="2:29" ht="15" customHeight="1">
      <c r="C258" s="77" t="s">
        <v>237</v>
      </c>
      <c r="AC258" s="9" t="str">
        <v>BYRRRRRYB</v>
      </c>
    </row>
    <row r="259" spans="2:29" ht="15" customHeight="1">
      <c r="B259" s="77"/>
      <c r="C259" s="77"/>
      <c r="AC259" s="9" t="str">
        <v>RSRSRSRSR</v>
      </c>
    </row>
    <row r="260" spans="2:29" ht="15" customHeight="1">
      <c r="B260" s="76" t="s">
        <v>238</v>
      </c>
      <c r="C260" s="77" t="s">
        <v>239</v>
      </c>
      <c r="AC260" s="9" t="str">
        <v>RWBRWBRWB</v>
      </c>
    </row>
    <row r="261" spans="2:29" ht="15" customHeight="1">
      <c r="B261" s="76" t="s">
        <v>240</v>
      </c>
      <c r="C261" s="77" t="s">
        <v>241</v>
      </c>
      <c r="AC261" s="9" t="str">
        <v>WVWVWVWVW</v>
      </c>
    </row>
    <row r="262" spans="2:29" ht="15" customHeight="1">
      <c r="B262" s="76" t="s">
        <v>242</v>
      </c>
      <c r="C262" s="77" t="s">
        <v>243</v>
      </c>
      <c r="AC262" s="9" t="str">
        <v>RRRWRRWWR</v>
      </c>
    </row>
    <row r="263" spans="2:29" ht="15" customHeight="1" thickBot="1">
      <c r="AC263" s="9" t="str">
        <v>SRRSRSRRS</v>
      </c>
    </row>
    <row r="264" spans="2:29" ht="22.5" customHeight="1" thickBot="1">
      <c r="B264" s="44" t="s">
        <v>13</v>
      </c>
      <c r="C264" s="45" t="s">
        <v>42</v>
      </c>
      <c r="D264" s="44" t="s">
        <v>15</v>
      </c>
      <c r="E264" s="51" t="s">
        <v>16</v>
      </c>
      <c r="G264" s="45" t="s">
        <v>120</v>
      </c>
      <c r="H264" s="44" t="s">
        <v>121</v>
      </c>
      <c r="I264" s="51" t="s">
        <v>122</v>
      </c>
      <c r="J264"/>
      <c r="K264"/>
      <c r="AC264" s="9" t="str">
        <v>WVWVWVWVW</v>
      </c>
    </row>
    <row r="265" spans="2:29" ht="15" customHeight="1">
      <c r="J265"/>
      <c r="K265"/>
      <c r="AC265" s="9" t="str">
        <v>GSGSGSGSG</v>
      </c>
    </row>
    <row r="266" spans="2:29" ht="22.5" customHeight="1">
      <c r="B266" s="2" t="s">
        <v>244</v>
      </c>
      <c r="C266" s="2">
        <v>6</v>
      </c>
      <c r="D266" s="16">
        <v>0</v>
      </c>
      <c r="E266" s="7">
        <v>684</v>
      </c>
      <c r="F266"/>
      <c r="G266" s="3" t="s">
        <v>98</v>
      </c>
      <c r="H266" s="3" t="s">
        <v>48</v>
      </c>
      <c r="I266" s="3" t="s">
        <v>56</v>
      </c>
      <c r="J266"/>
      <c r="K266"/>
      <c r="AC266" s="9" t="str">
        <v>GGWGWGWGG</v>
      </c>
    </row>
    <row r="267" spans="2:29" ht="15" customHeight="1">
      <c r="B267" s="17"/>
      <c r="C267" s="17"/>
      <c r="D267" s="17"/>
      <c r="E267" s="17"/>
      <c r="J267"/>
      <c r="K267"/>
      <c r="AC267" s="9" t="str">
        <v>RWBRWBRWB</v>
      </c>
    </row>
    <row r="268" spans="2:29" ht="22.5" customHeight="1">
      <c r="B268" s="2">
        <v>101</v>
      </c>
      <c r="C268" s="2">
        <v>6</v>
      </c>
      <c r="D268" s="16">
        <v>7</v>
      </c>
      <c r="E268" s="7" cm="1">
        <f t="array" ref="E268">SUM(_xlfn.XLOOKUP(G268:I268,tblS[Scarf Code], tblS[ManuPrice]))</f>
        <v>697</v>
      </c>
      <c r="F268"/>
      <c r="G268" s="3" t="s">
        <v>91</v>
      </c>
      <c r="H268" s="3" t="s">
        <v>245</v>
      </c>
      <c r="I268" s="3" t="s">
        <v>177</v>
      </c>
      <c r="J268"/>
      <c r="K268"/>
      <c r="AC268" s="9" t="str">
        <v>RWRRRRRWR</v>
      </c>
    </row>
    <row r="269" spans="2:29" ht="22.5" customHeight="1">
      <c r="B269" s="2">
        <v>102</v>
      </c>
      <c r="C269" s="2">
        <v>6</v>
      </c>
      <c r="D269" s="16">
        <v>7</v>
      </c>
      <c r="E269" s="7" cm="1">
        <f t="array" ref="E269">SUM(_xlfn.XLOOKUP(G269:I269,tblS[Scarf Code], tblS[ManuPrice]))</f>
        <v>680</v>
      </c>
      <c r="F269"/>
      <c r="G269" s="3" t="s">
        <v>246</v>
      </c>
      <c r="H269" s="3" t="s">
        <v>56</v>
      </c>
      <c r="I269" s="3" t="s">
        <v>185</v>
      </c>
      <c r="J269"/>
      <c r="K269"/>
      <c r="AC269" s="9" t="str">
        <v>RWRWRWRWR</v>
      </c>
    </row>
    <row r="270" spans="2:29" ht="22.5" customHeight="1">
      <c r="B270" s="2">
        <v>103</v>
      </c>
      <c r="C270" s="2">
        <v>6</v>
      </c>
      <c r="D270" s="16">
        <v>7</v>
      </c>
      <c r="E270" s="7" cm="1">
        <f t="array" ref="E270">SUM(_xlfn.XLOOKUP(G270:I270,tblS[Scarf Code], tblS[ManuPrice]))</f>
        <v>782</v>
      </c>
      <c r="F270"/>
      <c r="G270" s="3" t="s">
        <v>85</v>
      </c>
      <c r="H270" s="3" t="s">
        <v>146</v>
      </c>
      <c r="I270" s="3" t="s">
        <v>86</v>
      </c>
      <c r="J270"/>
      <c r="K270"/>
      <c r="AC270" s="9" t="str">
        <v>GGWWWWWGG</v>
      </c>
    </row>
    <row r="271" spans="2:29" ht="22.5" customHeight="1">
      <c r="B271" s="2">
        <v>104</v>
      </c>
      <c r="C271" s="2">
        <v>6</v>
      </c>
      <c r="D271" s="16">
        <v>7</v>
      </c>
      <c r="E271" s="7" cm="1">
        <f t="array" ref="E271">SUM(_xlfn.XLOOKUP(G271:I271,tblS[Scarf Code], tblS[ManuPrice]))</f>
        <v>778</v>
      </c>
      <c r="F271"/>
      <c r="G271" s="3" t="s">
        <v>64</v>
      </c>
      <c r="H271" s="3" t="s">
        <v>128</v>
      </c>
      <c r="I271" s="3" t="s">
        <v>87</v>
      </c>
      <c r="J271"/>
      <c r="K271"/>
      <c r="AC271" s="9" t="str">
        <v>BBBWRWBBB</v>
      </c>
    </row>
    <row r="272" spans="2:29" ht="22.5" customHeight="1">
      <c r="B272" s="2">
        <v>105</v>
      </c>
      <c r="C272" s="2">
        <v>6</v>
      </c>
      <c r="D272" s="16">
        <v>7</v>
      </c>
      <c r="E272" s="7" cm="1">
        <f t="array" ref="E272">SUM(_xlfn.XLOOKUP(G272:I272,tblS[Scarf Code], tblS[ManuPrice]))</f>
        <v>707</v>
      </c>
      <c r="F272"/>
      <c r="G272" s="3" t="s">
        <v>91</v>
      </c>
      <c r="H272" s="3" t="s">
        <v>173</v>
      </c>
      <c r="I272" s="3" t="s">
        <v>134</v>
      </c>
      <c r="J272"/>
      <c r="K272"/>
      <c r="AC272" s="9" t="str">
        <v>SSWSSSWSS</v>
      </c>
    </row>
    <row r="273" spans="2:29" ht="22.5" customHeight="1">
      <c r="B273" s="2">
        <v>106</v>
      </c>
      <c r="C273" s="2">
        <v>6</v>
      </c>
      <c r="D273" s="16">
        <v>7</v>
      </c>
      <c r="E273" s="7" cm="1">
        <f t="array" ref="E273">SUM(_xlfn.XLOOKUP(G273:I273,tblS[Scarf Code], tblS[ManuPrice]))</f>
        <v>700</v>
      </c>
      <c r="F273"/>
      <c r="G273" s="3" t="s">
        <v>178</v>
      </c>
      <c r="H273" s="3" t="s">
        <v>247</v>
      </c>
      <c r="I273" s="3" t="s">
        <v>148</v>
      </c>
      <c r="J273"/>
      <c r="K273"/>
      <c r="AC273" s="9" t="str">
        <v>VVVWWWVVV</v>
      </c>
    </row>
    <row r="274" spans="2:29" ht="22.5" customHeight="1">
      <c r="B274" s="2">
        <v>107</v>
      </c>
      <c r="C274" s="2">
        <v>6</v>
      </c>
      <c r="D274" s="16">
        <v>7</v>
      </c>
      <c r="E274" s="7" cm="1">
        <f t="array" ref="E274">SUM(_xlfn.XLOOKUP(G274:I274,tblS[Scarf Code], tblS[ManuPrice]))</f>
        <v>740</v>
      </c>
      <c r="F274"/>
      <c r="G274" s="3" t="s">
        <v>65</v>
      </c>
      <c r="H274" s="3" t="s">
        <v>248</v>
      </c>
      <c r="I274" s="3" t="s">
        <v>90</v>
      </c>
      <c r="J274"/>
      <c r="K274"/>
      <c r="AC274" s="9" t="str">
        <v>BBBWRWBBB</v>
      </c>
    </row>
    <row r="275" spans="2:29" ht="22.5" customHeight="1">
      <c r="B275" s="2">
        <v>108</v>
      </c>
      <c r="C275" s="2">
        <v>6</v>
      </c>
      <c r="D275" s="16">
        <v>7</v>
      </c>
      <c r="E275" s="7" cm="1">
        <f t="array" ref="E275">SUM(_xlfn.XLOOKUP(G275:I275,tblS[Scarf Code], tblS[ManuPrice]))</f>
        <v>688</v>
      </c>
      <c r="F275"/>
      <c r="G275" s="3" t="s">
        <v>46</v>
      </c>
      <c r="H275" s="3" t="s">
        <v>246</v>
      </c>
      <c r="I275" s="3" t="s">
        <v>249</v>
      </c>
      <c r="J275"/>
      <c r="K275"/>
      <c r="AC275" s="9" t="str">
        <v>SWSWSWSWS</v>
      </c>
    </row>
    <row r="276" spans="2:29" ht="22.5" customHeight="1">
      <c r="B276" s="2">
        <v>109</v>
      </c>
      <c r="C276" s="2">
        <v>6</v>
      </c>
      <c r="D276" s="16">
        <v>7</v>
      </c>
      <c r="E276" s="7" cm="1">
        <f t="array" ref="E276">SUM(_xlfn.XLOOKUP(G276:I276,tblS[Scarf Code], tblS[ManuPrice]))</f>
        <v>756</v>
      </c>
      <c r="F276"/>
      <c r="G276" s="3" t="s">
        <v>140</v>
      </c>
      <c r="H276" s="3" t="s">
        <v>250</v>
      </c>
      <c r="I276" s="3" t="s">
        <v>94</v>
      </c>
      <c r="J276"/>
      <c r="K276"/>
      <c r="AC276" s="9" t="str">
        <v>BBWWBWWBB</v>
      </c>
    </row>
    <row r="277" spans="2:29" ht="22.5" customHeight="1">
      <c r="B277" s="2">
        <v>110</v>
      </c>
      <c r="C277" s="2">
        <v>6</v>
      </c>
      <c r="D277" s="16">
        <v>7</v>
      </c>
      <c r="E277" s="7" cm="1">
        <f t="array" ref="E277">SUM(_xlfn.XLOOKUP(G277:I277,tblS[Scarf Code], tblS[ManuPrice]))</f>
        <v>758</v>
      </c>
      <c r="F277"/>
      <c r="G277" s="3" t="s">
        <v>247</v>
      </c>
      <c r="H277" s="3" t="s">
        <v>138</v>
      </c>
      <c r="I277" s="3" t="s">
        <v>49</v>
      </c>
      <c r="J277"/>
      <c r="K277"/>
      <c r="AC277" s="9" t="str">
        <v>RRYYGGBBV</v>
      </c>
    </row>
    <row r="278" spans="2:29" ht="22.5" customHeight="1">
      <c r="B278" s="2">
        <v>111</v>
      </c>
      <c r="C278" s="2">
        <v>6</v>
      </c>
      <c r="D278" s="16">
        <v>7</v>
      </c>
      <c r="E278" s="7" cm="1">
        <f t="array" ref="E278">SUM(_xlfn.XLOOKUP(G278:I278,tblS[Scarf Code], tblS[ManuPrice]))</f>
        <v>693</v>
      </c>
      <c r="F278"/>
      <c r="G278" s="3" t="s">
        <v>91</v>
      </c>
      <c r="H278" s="3" t="s">
        <v>251</v>
      </c>
      <c r="I278" s="3" t="s">
        <v>245</v>
      </c>
      <c r="J278"/>
      <c r="K278"/>
      <c r="AC278" s="9" t="str">
        <v>YYSSSSSYY</v>
      </c>
    </row>
    <row r="279" spans="2:29" ht="22.5" customHeight="1">
      <c r="B279" s="2">
        <v>112</v>
      </c>
      <c r="C279" s="2">
        <v>6</v>
      </c>
      <c r="D279" s="16">
        <v>7</v>
      </c>
      <c r="E279" s="7" cm="1">
        <f t="array" ref="E279">SUM(_xlfn.XLOOKUP(G279:I279,tblS[Scarf Code], tblS[ManuPrice]))</f>
        <v>755</v>
      </c>
      <c r="F279"/>
      <c r="G279" s="3" t="s">
        <v>135</v>
      </c>
      <c r="H279" s="3" t="s">
        <v>65</v>
      </c>
      <c r="I279" s="3" t="s">
        <v>184</v>
      </c>
      <c r="J279"/>
      <c r="K279"/>
      <c r="AC279" s="9" t="str">
        <v>SSSWWWSSS</v>
      </c>
    </row>
    <row r="280" spans="2:29" ht="22.5" customHeight="1">
      <c r="B280" s="2">
        <v>113</v>
      </c>
      <c r="C280" s="2">
        <v>6</v>
      </c>
      <c r="D280" s="16">
        <v>7</v>
      </c>
      <c r="E280" s="7" cm="1">
        <f t="array" ref="E280">SUM(_xlfn.XLOOKUP(G280:I280,tblS[Scarf Code], tblS[ManuPrice]))</f>
        <v>736</v>
      </c>
      <c r="F280"/>
      <c r="G280" s="3" t="s">
        <v>133</v>
      </c>
      <c r="H280" s="3" t="s">
        <v>175</v>
      </c>
      <c r="I280" s="3" t="s">
        <v>252</v>
      </c>
      <c r="J280"/>
      <c r="K280"/>
      <c r="AC280" s="9" t="str">
        <v>SSWWWWWSS</v>
      </c>
    </row>
    <row r="281" spans="2:29" ht="22.5" customHeight="1">
      <c r="B281" s="2">
        <v>114</v>
      </c>
      <c r="C281" s="2">
        <v>6</v>
      </c>
      <c r="D281" s="16">
        <v>7</v>
      </c>
      <c r="E281" s="7" cm="1">
        <f t="array" ref="E281">SUM(_xlfn.XLOOKUP(G281:I281,tblS[Scarf Code], tblS[ManuPrice]))</f>
        <v>784</v>
      </c>
      <c r="F281"/>
      <c r="G281" s="3" t="s">
        <v>175</v>
      </c>
      <c r="H281" s="3" t="s">
        <v>141</v>
      </c>
      <c r="I281" s="3" t="s">
        <v>253</v>
      </c>
      <c r="J281"/>
      <c r="K281"/>
      <c r="AC281" s="9" t="str">
        <v>RWWRRRWWR</v>
      </c>
    </row>
    <row r="282" spans="2:29" ht="22.5" customHeight="1">
      <c r="B282" s="2">
        <v>115</v>
      </c>
      <c r="C282" s="2">
        <v>6</v>
      </c>
      <c r="D282" s="16">
        <v>7</v>
      </c>
      <c r="E282" s="7" cm="1">
        <f t="array" ref="E282">SUM(_xlfn.XLOOKUP(G282:I282,tblS[Scarf Code], tblS[ManuPrice]))</f>
        <v>841</v>
      </c>
      <c r="F282"/>
      <c r="G282" s="3" t="s">
        <v>246</v>
      </c>
      <c r="H282" s="3" t="s">
        <v>254</v>
      </c>
      <c r="I282" s="3" t="s">
        <v>94</v>
      </c>
      <c r="J282"/>
      <c r="K282"/>
      <c r="AC282" s="9" t="str">
        <v>RRRWWWRRR</v>
      </c>
    </row>
    <row r="283" spans="2:29" ht="22.5" customHeight="1">
      <c r="B283" s="2">
        <v>116</v>
      </c>
      <c r="C283" s="2">
        <v>6</v>
      </c>
      <c r="D283" s="16">
        <v>7</v>
      </c>
      <c r="E283" s="7" cm="1">
        <f t="array" ref="E283">SUM(_xlfn.XLOOKUP(G283:I283,tblS[Scarf Code], tblS[ManuPrice]))</f>
        <v>776</v>
      </c>
      <c r="F283"/>
      <c r="G283" s="3" t="s">
        <v>46</v>
      </c>
      <c r="H283" s="3" t="s">
        <v>253</v>
      </c>
      <c r="I283" s="3" t="s">
        <v>124</v>
      </c>
      <c r="J283"/>
      <c r="K283"/>
      <c r="AC283" s="9" t="str">
        <v>BBBYYYBBB</v>
      </c>
    </row>
    <row r="284" spans="2:29" ht="22.5" customHeight="1">
      <c r="B284" s="2">
        <v>117</v>
      </c>
      <c r="C284" s="2">
        <v>6</v>
      </c>
      <c r="D284" s="16">
        <v>7</v>
      </c>
      <c r="E284" s="7" cm="1">
        <f t="array" ref="E284">SUM(_xlfn.XLOOKUP(G284:I284,tblS[Scarf Code], tblS[ManuPrice]))</f>
        <v>737</v>
      </c>
      <c r="F284"/>
      <c r="G284" s="3" t="s">
        <v>146</v>
      </c>
      <c r="H284" s="3" t="s">
        <v>184</v>
      </c>
      <c r="I284" s="3" t="s">
        <v>91</v>
      </c>
      <c r="J284"/>
      <c r="K284"/>
      <c r="AC284" s="9" t="str">
        <v>GSGSGSGSG</v>
      </c>
    </row>
    <row r="285" spans="2:29" ht="22.5" customHeight="1">
      <c r="B285" s="2">
        <v>118</v>
      </c>
      <c r="C285" s="2">
        <v>6</v>
      </c>
      <c r="D285" s="16">
        <v>7</v>
      </c>
      <c r="E285" s="7" cm="1">
        <f t="array" ref="E285">SUM(_xlfn.XLOOKUP(G285:I285,tblS[Scarf Code], tblS[ManuPrice]))</f>
        <v>744</v>
      </c>
      <c r="F285"/>
      <c r="G285" s="3" t="s">
        <v>53</v>
      </c>
      <c r="H285" s="3" t="s">
        <v>58</v>
      </c>
      <c r="I285" s="3" t="s">
        <v>255</v>
      </c>
      <c r="J285"/>
      <c r="K285"/>
      <c r="AC285" s="9" t="str">
        <v>RWRWRWRWR</v>
      </c>
    </row>
    <row r="286" spans="2:29" ht="22.5" customHeight="1">
      <c r="B286" s="2">
        <v>119</v>
      </c>
      <c r="C286" s="2">
        <v>6</v>
      </c>
      <c r="D286" s="16">
        <v>7</v>
      </c>
      <c r="E286" s="7" cm="1">
        <f t="array" ref="E286">SUM(_xlfn.XLOOKUP(G286:I286,tblS[Scarf Code], tblS[ManuPrice]))</f>
        <v>756</v>
      </c>
      <c r="F286"/>
      <c r="G286" s="3" t="s">
        <v>133</v>
      </c>
      <c r="H286" s="3" t="s">
        <v>145</v>
      </c>
      <c r="I286" s="3" t="s">
        <v>53</v>
      </c>
      <c r="J286"/>
      <c r="K286"/>
      <c r="AC286" s="9" t="str">
        <v>VWVWVWVWV</v>
      </c>
    </row>
    <row r="287" spans="2:29" ht="22.5" customHeight="1">
      <c r="B287" s="2">
        <v>120</v>
      </c>
      <c r="C287" s="2">
        <v>6</v>
      </c>
      <c r="D287" s="16">
        <v>7</v>
      </c>
      <c r="E287" s="7" cm="1">
        <f t="array" ref="E287">SUM(_xlfn.XLOOKUP(G287:I287,tblS[Scarf Code], tblS[ManuPrice]))</f>
        <v>712</v>
      </c>
      <c r="F287"/>
      <c r="G287" s="3" t="s">
        <v>51</v>
      </c>
      <c r="H287" s="3" t="s">
        <v>141</v>
      </c>
      <c r="I287" s="3" t="s">
        <v>187</v>
      </c>
      <c r="J287"/>
      <c r="K287"/>
      <c r="AC287" s="9" t="str">
        <v>WVWVWVWVW</v>
      </c>
    </row>
    <row r="288" spans="2:29" ht="15" customHeight="1">
      <c r="AC288" s="9" t="str">
        <v>BWWBBBWWB</v>
      </c>
    </row>
    <row r="289" spans="2:29" ht="15" customHeight="1" thickBot="1">
      <c r="AC289" s="9" t="str">
        <v>RWWRRRWWR</v>
      </c>
    </row>
    <row r="290" spans="2:29" ht="24.95" customHeight="1" thickBot="1">
      <c r="B290" s="49" t="s">
        <v>256</v>
      </c>
      <c r="C290" s="55" t="s">
        <v>257</v>
      </c>
      <c r="D290" s="76" t="s">
        <v>258</v>
      </c>
      <c r="AC290" s="9" t="str">
        <v>BBBBWBBBB</v>
      </c>
    </row>
    <row r="291" spans="2:29" ht="15" customHeight="1">
      <c r="B291" s="18"/>
      <c r="C291" s="19"/>
      <c r="D291" s="15"/>
      <c r="AC291" s="9" t="str">
        <v>VVYVYVYVV</v>
      </c>
    </row>
    <row r="292" spans="2:29" ht="15" customHeight="1">
      <c r="B292" s="77" t="s">
        <v>259</v>
      </c>
      <c r="C292" s="77"/>
      <c r="AC292" s="9" t="str">
        <v>RWBRWBRWB</v>
      </c>
    </row>
    <row r="293" spans="2:29" ht="15" customHeight="1">
      <c r="B293" s="77" t="s">
        <v>260</v>
      </c>
      <c r="C293" s="77"/>
      <c r="AC293" s="9" t="str">
        <v>BBBWRWBBB</v>
      </c>
    </row>
    <row r="294" spans="2:29" ht="15" customHeight="1">
      <c r="B294" s="76"/>
      <c r="C294" s="77"/>
      <c r="AC294" s="9" t="str">
        <v>RWRWWWRWR</v>
      </c>
    </row>
    <row r="295" spans="2:29" ht="15" customHeight="1">
      <c r="B295" s="76" t="s">
        <v>261</v>
      </c>
      <c r="C295" s="77"/>
      <c r="AC295" s="9" t="str">
        <v>WVWVWVWVW</v>
      </c>
    </row>
    <row r="296" spans="2:29" ht="15" customHeight="1">
      <c r="B296" s="76"/>
      <c r="C296" s="77"/>
      <c r="AC296" s="9" t="str">
        <v>WWGGWGGWW</v>
      </c>
    </row>
    <row r="297" spans="2:29" ht="15" customHeight="1">
      <c r="B297" s="78" t="s">
        <v>262</v>
      </c>
      <c r="C297" s="77" t="s">
        <v>263</v>
      </c>
    </row>
    <row r="298" spans="2:29" ht="15" customHeight="1">
      <c r="C298" s="77" t="s">
        <v>264</v>
      </c>
    </row>
    <row r="299" spans="2:29" ht="15" customHeight="1">
      <c r="C299" s="77" t="s">
        <v>265</v>
      </c>
    </row>
    <row r="300" spans="2:29" ht="15" customHeight="1">
      <c r="C300" s="77" t="s">
        <v>266</v>
      </c>
    </row>
    <row r="301" spans="2:29" ht="15" customHeight="1">
      <c r="C301" s="77" t="s">
        <v>267</v>
      </c>
    </row>
    <row r="302" spans="2:29" ht="15" customHeight="1">
      <c r="C302" s="77" t="s">
        <v>268</v>
      </c>
    </row>
    <row r="303" spans="2:29" ht="15" customHeight="1">
      <c r="C303" s="77" t="s">
        <v>269</v>
      </c>
    </row>
    <row r="304" spans="2:29" ht="15" customHeight="1">
      <c r="B304" s="77"/>
      <c r="C304" s="77"/>
    </row>
    <row r="305" spans="2:27" ht="15" customHeight="1">
      <c r="B305" s="76" t="s">
        <v>270</v>
      </c>
      <c r="C305" s="77" t="s">
        <v>271</v>
      </c>
    </row>
    <row r="306" spans="2:27" ht="15" customHeight="1">
      <c r="B306" s="76" t="s">
        <v>272</v>
      </c>
      <c r="C306" s="77" t="s">
        <v>273</v>
      </c>
    </row>
    <row r="307" spans="2:27" ht="15" customHeight="1">
      <c r="B307" s="76" t="s">
        <v>274</v>
      </c>
      <c r="C307" s="77" t="s">
        <v>275</v>
      </c>
    </row>
    <row r="308" spans="2:27" ht="15" customHeight="1" thickBot="1"/>
    <row r="309" spans="2:27" ht="22.5" customHeight="1" thickBot="1">
      <c r="B309" s="44" t="s">
        <v>13</v>
      </c>
      <c r="C309" s="45" t="s">
        <v>42</v>
      </c>
      <c r="D309" s="44" t="s">
        <v>15</v>
      </c>
      <c r="E309" s="51" t="s">
        <v>16</v>
      </c>
      <c r="G309" s="45" t="s">
        <v>120</v>
      </c>
      <c r="H309" s="44" t="s">
        <v>121</v>
      </c>
      <c r="I309" s="51" t="s">
        <v>122</v>
      </c>
      <c r="K309" s="9" t="s">
        <v>382</v>
      </c>
      <c r="AA309" s="9" t="s">
        <v>383</v>
      </c>
    </row>
    <row r="310" spans="2:27" ht="15" customHeight="1"/>
    <row r="311" spans="2:27" ht="22.5" customHeight="1">
      <c r="B311" s="2" t="s">
        <v>276</v>
      </c>
      <c r="C311" s="2">
        <v>7</v>
      </c>
      <c r="D311" s="16">
        <v>0</v>
      </c>
      <c r="E311" s="7">
        <v>802</v>
      </c>
      <c r="F311"/>
      <c r="G311" s="3" t="s">
        <v>142</v>
      </c>
      <c r="H311" s="3" t="s">
        <v>85</v>
      </c>
      <c r="I311" s="3" t="s">
        <v>87</v>
      </c>
      <c r="J311" s="9" t="s">
        <v>380</v>
      </c>
      <c r="O311" s="9" t="s">
        <v>381</v>
      </c>
    </row>
    <row r="312" spans="2:27" ht="15" customHeight="1">
      <c r="B312" s="17"/>
      <c r="C312" s="17"/>
      <c r="D312" s="17"/>
      <c r="E312" s="1"/>
    </row>
    <row r="313" spans="2:27" ht="22.5" customHeight="1">
      <c r="B313" s="2">
        <v>121</v>
      </c>
      <c r="C313" s="2">
        <v>7</v>
      </c>
      <c r="D313" s="16">
        <v>9</v>
      </c>
      <c r="E313" s="7">
        <f>MIN(ROUND(Y313,0),AA313)</f>
        <v>838</v>
      </c>
      <c r="F313"/>
      <c r="G313" s="3" t="s">
        <v>140</v>
      </c>
      <c r="H313" s="3" t="s">
        <v>129</v>
      </c>
      <c r="I313" s="3" t="s">
        <v>139</v>
      </c>
      <c r="J313" s="9">
        <f>startX</f>
        <v>48</v>
      </c>
      <c r="K313" s="9" cm="1">
        <f t="array" ref="K313:M332">_xlfn.XLOOKUP(G313:I332,tblS[Scarf Code],tblS[X-Coordinates],,0,1)</f>
        <v>50</v>
      </c>
      <c r="L313" s="9">
        <v>50</v>
      </c>
      <c r="M313" s="9">
        <v>53</v>
      </c>
      <c r="O313" s="9">
        <f>startY</f>
        <v>27</v>
      </c>
      <c r="P313" s="9" cm="1">
        <f t="array" ref="P313:R332">_xlfn.XLOOKUP(G313:I332,tblS[Scarf Code],tblS[Y-Coordinates],,0,1)</f>
        <v>23</v>
      </c>
      <c r="Q313" s="9">
        <v>22</v>
      </c>
      <c r="R313" s="9">
        <v>21</v>
      </c>
      <c r="U313" s="9">
        <f>SQRT(POWER(J313-K313,2)  + POWER(O313-P313, 2)) * 100</f>
        <v>447.21359549995793</v>
      </c>
      <c r="V313" s="9">
        <f>SQRT(POWER(K313-L313,2)  + POWER(P313-Q313, 2)) * 100</f>
        <v>100</v>
      </c>
      <c r="W313" s="9">
        <f>SQRT(POWER(L313-M313,2)  + POWER(Q313-R313, 2)) * 100</f>
        <v>316.22776601683796</v>
      </c>
      <c r="Y313" s="9">
        <f>45 + SUM(U313:W313)</f>
        <v>908.44136151679595</v>
      </c>
      <c r="AA313" s="9" cm="1">
        <f t="array" ref="AA313">SUM(_xlfn.XLOOKUP(G313:I313,tblS[Scarf Code], tblS[ManuPrice]))</f>
        <v>838</v>
      </c>
    </row>
    <row r="314" spans="2:27" ht="22.5" customHeight="1">
      <c r="B314" s="2">
        <v>122</v>
      </c>
      <c r="C314" s="2">
        <v>7</v>
      </c>
      <c r="D314" s="16">
        <v>9</v>
      </c>
      <c r="E314" s="7">
        <f t="shared" ref="E314:E332" si="5">MIN(ROUND(Y314,0),AA314)</f>
        <v>586</v>
      </c>
      <c r="F314"/>
      <c r="G314" s="3" t="s">
        <v>250</v>
      </c>
      <c r="H314" s="3" t="s">
        <v>125</v>
      </c>
      <c r="I314" s="3" t="s">
        <v>138</v>
      </c>
      <c r="J314" s="9">
        <f>startX</f>
        <v>48</v>
      </c>
      <c r="K314" s="9">
        <v>48</v>
      </c>
      <c r="L314" s="9">
        <v>50</v>
      </c>
      <c r="M314" s="9">
        <v>51</v>
      </c>
      <c r="O314" s="9">
        <f>startY</f>
        <v>27</v>
      </c>
      <c r="P314" s="9">
        <v>25</v>
      </c>
      <c r="Q314" s="9">
        <v>25</v>
      </c>
      <c r="R314" s="9">
        <v>24</v>
      </c>
      <c r="U314" s="9">
        <f t="shared" ref="U314:U332" si="6">SQRT(POWER(J314-K314,2)  + POWER(O314-P314, 2)) * 100</f>
        <v>200</v>
      </c>
      <c r="V314" s="9">
        <f t="shared" ref="V314:V332" si="7">SQRT(POWER(K314-L314,2)  + POWER(P314-Q314, 2)) * 100</f>
        <v>200</v>
      </c>
      <c r="W314" s="9">
        <f t="shared" ref="W314:W332" si="8">SQRT(POWER(L314-M314,2)  + POWER(Q314-R314, 2)) * 100</f>
        <v>141.42135623730951</v>
      </c>
      <c r="Y314" s="9">
        <f t="shared" ref="Y314:Y332" si="9">45 + SUM(U314:W314)</f>
        <v>586.42135623730951</v>
      </c>
      <c r="AA314" s="9" cm="1">
        <f t="array" ref="AA314">SUM(_xlfn.XLOOKUP(G314:I314,tblS[Scarf Code], tblS[ManuPrice]))</f>
        <v>750</v>
      </c>
    </row>
    <row r="315" spans="2:27" ht="22.5" customHeight="1">
      <c r="B315" s="2">
        <v>123</v>
      </c>
      <c r="C315" s="2">
        <v>7</v>
      </c>
      <c r="D315" s="16">
        <v>9</v>
      </c>
      <c r="E315" s="7">
        <f t="shared" si="5"/>
        <v>714</v>
      </c>
      <c r="F315"/>
      <c r="G315" s="3" t="s">
        <v>55</v>
      </c>
      <c r="H315" s="3" t="s">
        <v>137</v>
      </c>
      <c r="I315" s="3" t="s">
        <v>277</v>
      </c>
      <c r="J315" s="9">
        <f>startX</f>
        <v>48</v>
      </c>
      <c r="K315" s="9">
        <v>45</v>
      </c>
      <c r="L315" s="9">
        <v>45</v>
      </c>
      <c r="M315" s="9">
        <v>45</v>
      </c>
      <c r="O315" s="9">
        <f>startY</f>
        <v>27</v>
      </c>
      <c r="P315" s="9">
        <v>20</v>
      </c>
      <c r="Q315" s="9">
        <v>20</v>
      </c>
      <c r="R315" s="9">
        <v>18</v>
      </c>
      <c r="U315" s="9">
        <f t="shared" si="6"/>
        <v>761.57731058639092</v>
      </c>
      <c r="V315" s="9">
        <f t="shared" si="7"/>
        <v>0</v>
      </c>
      <c r="W315" s="9">
        <f t="shared" si="8"/>
        <v>200</v>
      </c>
      <c r="Y315" s="9">
        <f t="shared" si="9"/>
        <v>1006.5773105863909</v>
      </c>
      <c r="AA315" s="9" cm="1">
        <f t="array" ref="AA315">SUM(_xlfn.XLOOKUP(G315:I315,tblS[Scarf Code], tblS[ManuPrice]))</f>
        <v>714</v>
      </c>
    </row>
    <row r="316" spans="2:27" ht="22.5" customHeight="1">
      <c r="B316" s="2">
        <v>124</v>
      </c>
      <c r="C316" s="2">
        <v>7</v>
      </c>
      <c r="D316" s="16">
        <v>9</v>
      </c>
      <c r="E316" s="7">
        <f t="shared" si="5"/>
        <v>610</v>
      </c>
      <c r="F316"/>
      <c r="G316" s="3" t="s">
        <v>278</v>
      </c>
      <c r="H316" s="3" t="s">
        <v>133</v>
      </c>
      <c r="I316" s="3" t="s">
        <v>126</v>
      </c>
      <c r="J316" s="9">
        <f>startX</f>
        <v>48</v>
      </c>
      <c r="K316" s="9">
        <v>47</v>
      </c>
      <c r="L316" s="9">
        <v>45</v>
      </c>
      <c r="M316" s="9">
        <v>47</v>
      </c>
      <c r="O316" s="9">
        <f>startY</f>
        <v>27</v>
      </c>
      <c r="P316" s="9">
        <v>26</v>
      </c>
      <c r="Q316" s="9">
        <v>27</v>
      </c>
      <c r="R316" s="9">
        <v>27</v>
      </c>
      <c r="U316" s="9">
        <f t="shared" si="6"/>
        <v>141.42135623730951</v>
      </c>
      <c r="V316" s="9">
        <f t="shared" si="7"/>
        <v>223.60679774997897</v>
      </c>
      <c r="W316" s="9">
        <f t="shared" si="8"/>
        <v>200</v>
      </c>
      <c r="Y316" s="9">
        <f t="shared" si="9"/>
        <v>610.02815398728853</v>
      </c>
      <c r="AA316" s="9" cm="1">
        <f t="array" ref="AA316">SUM(_xlfn.XLOOKUP(G316:I316,tblS[Scarf Code], tblS[ManuPrice]))</f>
        <v>690</v>
      </c>
    </row>
    <row r="317" spans="2:27" ht="22.5" customHeight="1">
      <c r="B317" s="2">
        <v>125</v>
      </c>
      <c r="C317" s="2">
        <v>7</v>
      </c>
      <c r="D317" s="16">
        <v>9</v>
      </c>
      <c r="E317" s="7">
        <f t="shared" si="5"/>
        <v>781</v>
      </c>
      <c r="F317"/>
      <c r="G317" s="3" t="s">
        <v>127</v>
      </c>
      <c r="H317" s="3" t="s">
        <v>88</v>
      </c>
      <c r="I317" s="3" t="s">
        <v>132</v>
      </c>
      <c r="J317" s="9">
        <f>startX</f>
        <v>48</v>
      </c>
      <c r="K317" s="9">
        <v>47</v>
      </c>
      <c r="L317" s="9">
        <v>47</v>
      </c>
      <c r="M317" s="9">
        <v>48</v>
      </c>
      <c r="O317" s="9">
        <f>startY</f>
        <v>27</v>
      </c>
      <c r="P317" s="9">
        <v>25</v>
      </c>
      <c r="Q317" s="9">
        <v>24</v>
      </c>
      <c r="R317" s="9">
        <v>20</v>
      </c>
      <c r="U317" s="9">
        <f t="shared" si="6"/>
        <v>223.60679774997897</v>
      </c>
      <c r="V317" s="9">
        <f t="shared" si="7"/>
        <v>100</v>
      </c>
      <c r="W317" s="9">
        <f t="shared" si="8"/>
        <v>412.31056256176606</v>
      </c>
      <c r="Y317" s="9">
        <f t="shared" si="9"/>
        <v>780.91736031174503</v>
      </c>
      <c r="AA317" s="9" cm="1">
        <f t="array" ref="AA317">SUM(_xlfn.XLOOKUP(G317:I317,tblS[Scarf Code], tblS[ManuPrice]))</f>
        <v>784</v>
      </c>
    </row>
    <row r="318" spans="2:27" ht="22.5" customHeight="1">
      <c r="B318" s="2">
        <v>126</v>
      </c>
      <c r="C318" s="2">
        <v>7</v>
      </c>
      <c r="D318" s="16">
        <v>9</v>
      </c>
      <c r="E318" s="7">
        <f t="shared" si="5"/>
        <v>799</v>
      </c>
      <c r="F318"/>
      <c r="G318" s="3" t="s">
        <v>53</v>
      </c>
      <c r="H318" s="3" t="s">
        <v>186</v>
      </c>
      <c r="I318" s="3" t="s">
        <v>128</v>
      </c>
      <c r="J318" s="9">
        <f>startX</f>
        <v>48</v>
      </c>
      <c r="K318" s="9">
        <v>49</v>
      </c>
      <c r="L318" s="9">
        <v>51</v>
      </c>
      <c r="M318" s="9">
        <v>52</v>
      </c>
      <c r="O318" s="9">
        <f>startY</f>
        <v>27</v>
      </c>
      <c r="P318" s="9">
        <v>23</v>
      </c>
      <c r="Q318" s="9">
        <v>23</v>
      </c>
      <c r="R318" s="9">
        <v>24</v>
      </c>
      <c r="U318" s="9">
        <f t="shared" si="6"/>
        <v>412.31056256176606</v>
      </c>
      <c r="V318" s="9">
        <f t="shared" si="7"/>
        <v>200</v>
      </c>
      <c r="W318" s="9">
        <f t="shared" si="8"/>
        <v>141.42135623730951</v>
      </c>
      <c r="Y318" s="9">
        <f t="shared" si="9"/>
        <v>798.73191879907563</v>
      </c>
      <c r="AA318" s="9" cm="1">
        <f t="array" ref="AA318">SUM(_xlfn.XLOOKUP(G318:I318,tblS[Scarf Code], tblS[ManuPrice]))</f>
        <v>824</v>
      </c>
    </row>
    <row r="319" spans="2:27" ht="22.5" customHeight="1">
      <c r="B319" s="2">
        <v>127</v>
      </c>
      <c r="C319" s="2">
        <v>7</v>
      </c>
      <c r="D319" s="16">
        <v>9</v>
      </c>
      <c r="E319" s="7">
        <f t="shared" si="5"/>
        <v>747</v>
      </c>
      <c r="F319"/>
      <c r="G319" s="3" t="s">
        <v>248</v>
      </c>
      <c r="H319" s="3" t="s">
        <v>170</v>
      </c>
      <c r="I319" s="3" t="s">
        <v>90</v>
      </c>
      <c r="J319" s="9">
        <f>startX</f>
        <v>48</v>
      </c>
      <c r="K319" s="9">
        <v>47</v>
      </c>
      <c r="L319" s="9">
        <v>47</v>
      </c>
      <c r="M319" s="9">
        <v>52</v>
      </c>
      <c r="O319" s="9">
        <f>startY</f>
        <v>27</v>
      </c>
      <c r="P319" s="9">
        <v>19</v>
      </c>
      <c r="Q319" s="9">
        <v>30</v>
      </c>
      <c r="R319" s="9">
        <v>21</v>
      </c>
      <c r="U319" s="9">
        <f t="shared" si="6"/>
        <v>806.22577482985491</v>
      </c>
      <c r="V319" s="9">
        <f t="shared" si="7"/>
        <v>1100</v>
      </c>
      <c r="W319" s="9">
        <f t="shared" si="8"/>
        <v>1029.5630140987</v>
      </c>
      <c r="Y319" s="9">
        <f t="shared" si="9"/>
        <v>2980.7887889285548</v>
      </c>
      <c r="AA319" s="9" cm="1">
        <f t="array" ref="AA319">SUM(_xlfn.XLOOKUP(G319:I319,tblS[Scarf Code], tblS[ManuPrice]))</f>
        <v>747</v>
      </c>
    </row>
    <row r="320" spans="2:27" ht="22.5" customHeight="1">
      <c r="B320" s="2">
        <v>128</v>
      </c>
      <c r="C320" s="2">
        <v>7</v>
      </c>
      <c r="D320" s="16">
        <v>9</v>
      </c>
      <c r="E320" s="7">
        <f t="shared" si="5"/>
        <v>692</v>
      </c>
      <c r="F320"/>
      <c r="G320" s="3" t="s">
        <v>254</v>
      </c>
      <c r="H320" s="3" t="s">
        <v>88</v>
      </c>
      <c r="I320" s="3" t="s">
        <v>187</v>
      </c>
      <c r="J320" s="9">
        <f>startX</f>
        <v>48</v>
      </c>
      <c r="K320" s="9">
        <v>46</v>
      </c>
      <c r="L320" s="9">
        <v>47</v>
      </c>
      <c r="M320" s="9">
        <v>47</v>
      </c>
      <c r="O320" s="9">
        <f>startY</f>
        <v>27</v>
      </c>
      <c r="P320" s="9">
        <v>26</v>
      </c>
      <c r="Q320" s="9">
        <v>24</v>
      </c>
      <c r="R320" s="9">
        <v>22</v>
      </c>
      <c r="U320" s="9">
        <f t="shared" si="6"/>
        <v>223.60679774997897</v>
      </c>
      <c r="V320" s="9">
        <f t="shared" si="7"/>
        <v>223.60679774997897</v>
      </c>
      <c r="W320" s="9">
        <f t="shared" si="8"/>
        <v>200</v>
      </c>
      <c r="Y320" s="9">
        <f t="shared" si="9"/>
        <v>692.21359549995793</v>
      </c>
      <c r="AA320" s="9" cm="1">
        <f t="array" ref="AA320">SUM(_xlfn.XLOOKUP(G320:I320,tblS[Scarf Code], tblS[ManuPrice]))</f>
        <v>865</v>
      </c>
    </row>
    <row r="321" spans="2:27" ht="22.5" customHeight="1">
      <c r="B321" s="2">
        <v>129</v>
      </c>
      <c r="C321" s="2">
        <v>7</v>
      </c>
      <c r="D321" s="16">
        <v>9</v>
      </c>
      <c r="E321" s="7">
        <f t="shared" si="5"/>
        <v>661</v>
      </c>
      <c r="F321"/>
      <c r="G321" s="3" t="s">
        <v>279</v>
      </c>
      <c r="H321" s="3" t="s">
        <v>187</v>
      </c>
      <c r="I321" s="3" t="s">
        <v>147</v>
      </c>
      <c r="J321" s="9">
        <f>startX</f>
        <v>48</v>
      </c>
      <c r="K321" s="9">
        <v>48</v>
      </c>
      <c r="L321" s="9">
        <v>47</v>
      </c>
      <c r="M321" s="9">
        <v>48</v>
      </c>
      <c r="O321" s="9">
        <f>startY</f>
        <v>27</v>
      </c>
      <c r="P321" s="9">
        <v>25</v>
      </c>
      <c r="Q321" s="9">
        <v>22</v>
      </c>
      <c r="R321" s="9">
        <v>22</v>
      </c>
      <c r="U321" s="9">
        <f t="shared" si="6"/>
        <v>200</v>
      </c>
      <c r="V321" s="9">
        <f t="shared" si="7"/>
        <v>316.22776601683796</v>
      </c>
      <c r="W321" s="9">
        <f t="shared" si="8"/>
        <v>100</v>
      </c>
      <c r="Y321" s="9">
        <f t="shared" si="9"/>
        <v>661.2277660168379</v>
      </c>
      <c r="AA321" s="9" cm="1">
        <f t="array" ref="AA321">SUM(_xlfn.XLOOKUP(G321:I321,tblS[Scarf Code], tblS[ManuPrice]))</f>
        <v>722</v>
      </c>
    </row>
    <row r="322" spans="2:27" ht="22.5" customHeight="1">
      <c r="B322" s="2">
        <v>130</v>
      </c>
      <c r="C322" s="2">
        <v>7</v>
      </c>
      <c r="D322" s="16">
        <v>9</v>
      </c>
      <c r="E322" s="7">
        <f t="shared" si="5"/>
        <v>826</v>
      </c>
      <c r="F322"/>
      <c r="G322" s="3" t="s">
        <v>253</v>
      </c>
      <c r="H322" s="3" t="s">
        <v>183</v>
      </c>
      <c r="I322" s="3" t="s">
        <v>50</v>
      </c>
      <c r="J322" s="9">
        <f>startX</f>
        <v>48</v>
      </c>
      <c r="K322" s="9">
        <v>51</v>
      </c>
      <c r="L322" s="9">
        <v>47</v>
      </c>
      <c r="M322" s="9">
        <v>47</v>
      </c>
      <c r="O322" s="9">
        <f>startY</f>
        <v>27</v>
      </c>
      <c r="P322" s="9">
        <v>10</v>
      </c>
      <c r="Q322" s="9">
        <v>30</v>
      </c>
      <c r="R322" s="9">
        <v>30</v>
      </c>
      <c r="U322" s="9">
        <f t="shared" si="6"/>
        <v>1726.2676501632068</v>
      </c>
      <c r="V322" s="9">
        <f t="shared" si="7"/>
        <v>2039.6078054371137</v>
      </c>
      <c r="W322" s="9">
        <f t="shared" si="8"/>
        <v>0</v>
      </c>
      <c r="Y322" s="9">
        <f t="shared" si="9"/>
        <v>3810.8754556003205</v>
      </c>
      <c r="AA322" s="9" cm="1">
        <f t="array" ref="AA322">SUM(_xlfn.XLOOKUP(G322:I322,tblS[Scarf Code], tblS[ManuPrice]))</f>
        <v>826</v>
      </c>
    </row>
    <row r="323" spans="2:27" ht="22.5" customHeight="1">
      <c r="B323" s="2">
        <v>131</v>
      </c>
      <c r="C323" s="2">
        <v>7</v>
      </c>
      <c r="D323" s="16">
        <v>9</v>
      </c>
      <c r="E323" s="7">
        <f t="shared" si="5"/>
        <v>706</v>
      </c>
      <c r="F323"/>
      <c r="G323" s="3" t="s">
        <v>46</v>
      </c>
      <c r="H323" s="3" t="s">
        <v>133</v>
      </c>
      <c r="I323" s="3" t="s">
        <v>88</v>
      </c>
      <c r="J323" s="9">
        <f>startX</f>
        <v>48</v>
      </c>
      <c r="K323" s="9">
        <v>48</v>
      </c>
      <c r="L323" s="9">
        <v>45</v>
      </c>
      <c r="M323" s="9">
        <v>47</v>
      </c>
      <c r="O323" s="9">
        <f>startY</f>
        <v>27</v>
      </c>
      <c r="P323" s="9">
        <v>27</v>
      </c>
      <c r="Q323" s="9">
        <v>27</v>
      </c>
      <c r="R323" s="9">
        <v>24</v>
      </c>
      <c r="U323" s="9">
        <f t="shared" si="6"/>
        <v>0</v>
      </c>
      <c r="V323" s="9">
        <f t="shared" si="7"/>
        <v>300</v>
      </c>
      <c r="W323" s="9">
        <f t="shared" si="8"/>
        <v>360.55512754639892</v>
      </c>
      <c r="Y323" s="9">
        <f t="shared" si="9"/>
        <v>705.55512754639892</v>
      </c>
      <c r="AA323" s="9" cm="1">
        <f t="array" ref="AA323">SUM(_xlfn.XLOOKUP(G323:I323,tblS[Scarf Code], tblS[ManuPrice]))</f>
        <v>774</v>
      </c>
    </row>
    <row r="324" spans="2:27" ht="22.5" customHeight="1">
      <c r="B324" s="2">
        <v>132</v>
      </c>
      <c r="C324" s="2">
        <v>7</v>
      </c>
      <c r="D324" s="16">
        <v>9</v>
      </c>
      <c r="E324" s="7">
        <f t="shared" si="5"/>
        <v>744</v>
      </c>
      <c r="F324"/>
      <c r="G324" s="3" t="s">
        <v>187</v>
      </c>
      <c r="H324" s="3" t="s">
        <v>57</v>
      </c>
      <c r="I324" s="3" t="s">
        <v>255</v>
      </c>
      <c r="J324" s="9">
        <f>startX</f>
        <v>48</v>
      </c>
      <c r="K324" s="9">
        <v>47</v>
      </c>
      <c r="L324" s="9">
        <v>43</v>
      </c>
      <c r="M324" s="9">
        <v>44</v>
      </c>
      <c r="O324" s="9">
        <f>startY</f>
        <v>27</v>
      </c>
      <c r="P324" s="9">
        <v>22</v>
      </c>
      <c r="Q324" s="9">
        <v>8</v>
      </c>
      <c r="R324" s="9">
        <v>10</v>
      </c>
      <c r="U324" s="9">
        <f t="shared" si="6"/>
        <v>509.90195135927843</v>
      </c>
      <c r="V324" s="9">
        <f t="shared" si="7"/>
        <v>1456.0219778561036</v>
      </c>
      <c r="W324" s="9">
        <f t="shared" si="8"/>
        <v>223.60679774997897</v>
      </c>
      <c r="Y324" s="9">
        <f t="shared" si="9"/>
        <v>2234.5307269653608</v>
      </c>
      <c r="AA324" s="9" cm="1">
        <f t="array" ref="AA324">SUM(_xlfn.XLOOKUP(G324:I324,tblS[Scarf Code], tblS[ManuPrice]))</f>
        <v>744</v>
      </c>
    </row>
    <row r="325" spans="2:27" ht="22.5" customHeight="1">
      <c r="B325" s="2">
        <v>133</v>
      </c>
      <c r="C325" s="2">
        <v>7</v>
      </c>
      <c r="D325" s="16">
        <v>9</v>
      </c>
      <c r="E325" s="7">
        <f t="shared" si="5"/>
        <v>745</v>
      </c>
      <c r="F325"/>
      <c r="G325" s="3" t="s">
        <v>130</v>
      </c>
      <c r="H325" s="3" t="s">
        <v>147</v>
      </c>
      <c r="I325" s="3" t="s">
        <v>132</v>
      </c>
      <c r="J325" s="9">
        <f>startX</f>
        <v>48</v>
      </c>
      <c r="K325" s="9">
        <v>48</v>
      </c>
      <c r="L325" s="9">
        <v>48</v>
      </c>
      <c r="M325" s="9">
        <v>48</v>
      </c>
      <c r="O325" s="9">
        <f>startY</f>
        <v>27</v>
      </c>
      <c r="P325" s="9">
        <v>27</v>
      </c>
      <c r="Q325" s="9">
        <v>22</v>
      </c>
      <c r="R325" s="9">
        <v>20</v>
      </c>
      <c r="U325" s="9">
        <f t="shared" si="6"/>
        <v>0</v>
      </c>
      <c r="V325" s="9">
        <f t="shared" si="7"/>
        <v>500</v>
      </c>
      <c r="W325" s="9">
        <f t="shared" si="8"/>
        <v>200</v>
      </c>
      <c r="Y325" s="9">
        <f t="shared" si="9"/>
        <v>745</v>
      </c>
      <c r="AA325" s="9" cm="1">
        <f t="array" ref="AA325">SUM(_xlfn.XLOOKUP(G325:I325,tblS[Scarf Code], tblS[ManuPrice]))</f>
        <v>862</v>
      </c>
    </row>
    <row r="326" spans="2:27" ht="22.5" customHeight="1">
      <c r="B326" s="2">
        <v>134</v>
      </c>
      <c r="C326" s="2">
        <v>7</v>
      </c>
      <c r="D326" s="16">
        <v>9</v>
      </c>
      <c r="E326" s="7">
        <f t="shared" si="5"/>
        <v>708</v>
      </c>
      <c r="F326"/>
      <c r="G326" s="3" t="s">
        <v>58</v>
      </c>
      <c r="H326" s="3" t="s">
        <v>127</v>
      </c>
      <c r="I326" s="3" t="s">
        <v>145</v>
      </c>
      <c r="J326" s="9">
        <f>startX</f>
        <v>48</v>
      </c>
      <c r="K326" s="9">
        <v>47</v>
      </c>
      <c r="L326" s="9">
        <v>47</v>
      </c>
      <c r="M326" s="9">
        <v>48</v>
      </c>
      <c r="O326" s="9">
        <f>startY</f>
        <v>27</v>
      </c>
      <c r="P326" s="9">
        <v>26</v>
      </c>
      <c r="Q326" s="9">
        <v>25</v>
      </c>
      <c r="R326" s="9">
        <v>20</v>
      </c>
      <c r="U326" s="9">
        <f t="shared" si="6"/>
        <v>141.42135623730951</v>
      </c>
      <c r="V326" s="9">
        <f t="shared" si="7"/>
        <v>100</v>
      </c>
      <c r="W326" s="9">
        <f t="shared" si="8"/>
        <v>509.90195135927843</v>
      </c>
      <c r="Y326" s="9">
        <f t="shared" si="9"/>
        <v>796.32330759658794</v>
      </c>
      <c r="AA326" s="9" cm="1">
        <f t="array" ref="AA326">SUM(_xlfn.XLOOKUP(G326:I326,tblS[Scarf Code], tblS[ManuPrice]))</f>
        <v>708</v>
      </c>
    </row>
    <row r="327" spans="2:27" ht="22.5" customHeight="1">
      <c r="B327" s="2">
        <v>135</v>
      </c>
      <c r="C327" s="2">
        <v>7</v>
      </c>
      <c r="D327" s="16">
        <v>9</v>
      </c>
      <c r="E327" s="7">
        <f t="shared" si="5"/>
        <v>868</v>
      </c>
      <c r="F327"/>
      <c r="G327" s="3" t="s">
        <v>50</v>
      </c>
      <c r="H327" s="3" t="s">
        <v>171</v>
      </c>
      <c r="I327" s="3" t="s">
        <v>254</v>
      </c>
      <c r="J327" s="9">
        <f>startX</f>
        <v>48</v>
      </c>
      <c r="K327" s="9">
        <v>47</v>
      </c>
      <c r="L327" s="9">
        <v>48</v>
      </c>
      <c r="M327" s="9">
        <v>46</v>
      </c>
      <c r="O327" s="9">
        <f>startY</f>
        <v>27</v>
      </c>
      <c r="P327" s="9">
        <v>30</v>
      </c>
      <c r="Q327" s="9">
        <v>28</v>
      </c>
      <c r="R327" s="9">
        <v>26</v>
      </c>
      <c r="U327" s="9">
        <f t="shared" si="6"/>
        <v>316.22776601683796</v>
      </c>
      <c r="V327" s="9">
        <f t="shared" si="7"/>
        <v>223.60679774997897</v>
      </c>
      <c r="W327" s="9">
        <f t="shared" si="8"/>
        <v>282.84271247461902</v>
      </c>
      <c r="Y327" s="9">
        <f t="shared" si="9"/>
        <v>867.67727624143595</v>
      </c>
      <c r="AA327" s="9" cm="1">
        <f t="array" ref="AA327">SUM(_xlfn.XLOOKUP(G327:I327,tblS[Scarf Code], tblS[ManuPrice]))</f>
        <v>895</v>
      </c>
    </row>
    <row r="328" spans="2:27" ht="22.5" customHeight="1">
      <c r="B328" s="2">
        <v>136</v>
      </c>
      <c r="C328" s="2">
        <v>7</v>
      </c>
      <c r="D328" s="16">
        <v>9</v>
      </c>
      <c r="E328" s="7">
        <f t="shared" si="5"/>
        <v>712</v>
      </c>
      <c r="F328"/>
      <c r="G328" s="3" t="s">
        <v>171</v>
      </c>
      <c r="H328" s="3" t="s">
        <v>250</v>
      </c>
      <c r="I328" s="3" t="s">
        <v>133</v>
      </c>
      <c r="J328" s="9">
        <f>startX</f>
        <v>48</v>
      </c>
      <c r="K328" s="9">
        <v>48</v>
      </c>
      <c r="L328" s="9">
        <v>48</v>
      </c>
      <c r="M328" s="9">
        <v>45</v>
      </c>
      <c r="O328" s="9">
        <f>startY</f>
        <v>27</v>
      </c>
      <c r="P328" s="9">
        <v>28</v>
      </c>
      <c r="Q328" s="9">
        <v>25</v>
      </c>
      <c r="R328" s="9">
        <v>27</v>
      </c>
      <c r="U328" s="9">
        <f t="shared" si="6"/>
        <v>100</v>
      </c>
      <c r="V328" s="9">
        <f t="shared" si="7"/>
        <v>300</v>
      </c>
      <c r="W328" s="9">
        <f t="shared" si="8"/>
        <v>360.55512754639892</v>
      </c>
      <c r="Y328" s="9">
        <f t="shared" si="9"/>
        <v>805.55512754639892</v>
      </c>
      <c r="AA328" s="9" cm="1">
        <f t="array" ref="AA328">SUM(_xlfn.XLOOKUP(G328:I328,tblS[Scarf Code], tblS[ManuPrice]))</f>
        <v>712</v>
      </c>
    </row>
    <row r="329" spans="2:27" ht="22.5" customHeight="1">
      <c r="B329" s="2">
        <v>137</v>
      </c>
      <c r="C329" s="2">
        <v>7</v>
      </c>
      <c r="D329" s="16">
        <v>9</v>
      </c>
      <c r="E329" s="7">
        <f t="shared" si="5"/>
        <v>794</v>
      </c>
      <c r="F329"/>
      <c r="G329" s="3" t="s">
        <v>255</v>
      </c>
      <c r="H329" s="3" t="s">
        <v>130</v>
      </c>
      <c r="I329" s="3" t="s">
        <v>171</v>
      </c>
      <c r="J329" s="9">
        <f>startX</f>
        <v>48</v>
      </c>
      <c r="K329" s="9">
        <v>44</v>
      </c>
      <c r="L329" s="9">
        <v>48</v>
      </c>
      <c r="M329" s="9">
        <v>48</v>
      </c>
      <c r="O329" s="9">
        <f>startY</f>
        <v>27</v>
      </c>
      <c r="P329" s="9">
        <v>10</v>
      </c>
      <c r="Q329" s="9">
        <v>27</v>
      </c>
      <c r="R329" s="9">
        <v>28</v>
      </c>
      <c r="U329" s="9">
        <f t="shared" si="6"/>
        <v>1746.4249196572978</v>
      </c>
      <c r="V329" s="9">
        <f t="shared" si="7"/>
        <v>1746.4249196572978</v>
      </c>
      <c r="W329" s="9">
        <f t="shared" si="8"/>
        <v>100</v>
      </c>
      <c r="Y329" s="9">
        <f t="shared" si="9"/>
        <v>3637.8498393145956</v>
      </c>
      <c r="AA329" s="9" cm="1">
        <f t="array" ref="AA329">SUM(_xlfn.XLOOKUP(G329:I329,tblS[Scarf Code], tblS[ManuPrice]))</f>
        <v>794</v>
      </c>
    </row>
    <row r="330" spans="2:27" ht="22.5" customHeight="1">
      <c r="B330" s="2">
        <v>138</v>
      </c>
      <c r="C330" s="2">
        <v>7</v>
      </c>
      <c r="D330" s="16">
        <v>9</v>
      </c>
      <c r="E330" s="7">
        <f t="shared" si="5"/>
        <v>716</v>
      </c>
      <c r="F330"/>
      <c r="G330" s="3" t="s">
        <v>126</v>
      </c>
      <c r="H330" s="3" t="s">
        <v>171</v>
      </c>
      <c r="I330" s="3" t="s">
        <v>280</v>
      </c>
      <c r="J330" s="9">
        <f>startX</f>
        <v>48</v>
      </c>
      <c r="K330" s="9">
        <v>47</v>
      </c>
      <c r="L330" s="9">
        <v>48</v>
      </c>
      <c r="M330" s="9">
        <v>50</v>
      </c>
      <c r="O330" s="9">
        <f>startY</f>
        <v>27</v>
      </c>
      <c r="P330" s="9">
        <v>27</v>
      </c>
      <c r="Q330" s="9">
        <v>28</v>
      </c>
      <c r="R330" s="9">
        <v>17</v>
      </c>
      <c r="U330" s="9">
        <f t="shared" si="6"/>
        <v>100</v>
      </c>
      <c r="V330" s="9">
        <f t="shared" si="7"/>
        <v>141.42135623730951</v>
      </c>
      <c r="W330" s="9">
        <f t="shared" si="8"/>
        <v>1118.0339887498949</v>
      </c>
      <c r="Y330" s="9">
        <f t="shared" si="9"/>
        <v>1404.4553449872044</v>
      </c>
      <c r="AA330" s="9" cm="1">
        <f t="array" ref="AA330">SUM(_xlfn.XLOOKUP(G330:I330,tblS[Scarf Code], tblS[ManuPrice]))</f>
        <v>716</v>
      </c>
    </row>
    <row r="331" spans="2:27" ht="22.5" customHeight="1">
      <c r="B331" s="2">
        <v>139</v>
      </c>
      <c r="C331" s="2">
        <v>7</v>
      </c>
      <c r="D331" s="16">
        <v>9</v>
      </c>
      <c r="E331" s="7">
        <f t="shared" si="5"/>
        <v>586</v>
      </c>
      <c r="F331"/>
      <c r="G331" s="3" t="s">
        <v>250</v>
      </c>
      <c r="H331" s="3" t="s">
        <v>278</v>
      </c>
      <c r="I331" s="3" t="s">
        <v>88</v>
      </c>
      <c r="J331" s="9">
        <f>startX</f>
        <v>48</v>
      </c>
      <c r="K331" s="9">
        <v>48</v>
      </c>
      <c r="L331" s="9">
        <v>47</v>
      </c>
      <c r="M331" s="9">
        <v>47</v>
      </c>
      <c r="O331" s="9">
        <f>startY</f>
        <v>27</v>
      </c>
      <c r="P331" s="9">
        <v>25</v>
      </c>
      <c r="Q331" s="9">
        <v>26</v>
      </c>
      <c r="R331" s="9">
        <v>24</v>
      </c>
      <c r="U331" s="9">
        <f t="shared" si="6"/>
        <v>200</v>
      </c>
      <c r="V331" s="9">
        <f t="shared" si="7"/>
        <v>141.42135623730951</v>
      </c>
      <c r="W331" s="9">
        <f t="shared" si="8"/>
        <v>200</v>
      </c>
      <c r="Y331" s="9">
        <f t="shared" si="9"/>
        <v>586.42135623730951</v>
      </c>
      <c r="AA331" s="9" cm="1">
        <f t="array" ref="AA331">SUM(_xlfn.XLOOKUP(G331:I331,tblS[Scarf Code], tblS[ManuPrice]))</f>
        <v>726</v>
      </c>
    </row>
    <row r="332" spans="2:27" ht="22.5" customHeight="1">
      <c r="B332" s="2">
        <v>140</v>
      </c>
      <c r="C332" s="2">
        <v>7</v>
      </c>
      <c r="D332" s="16">
        <v>9</v>
      </c>
      <c r="E332" s="7">
        <f t="shared" si="5"/>
        <v>722</v>
      </c>
      <c r="F332"/>
      <c r="G332" s="3" t="s">
        <v>147</v>
      </c>
      <c r="H332" s="3" t="s">
        <v>247</v>
      </c>
      <c r="I332" s="3" t="s">
        <v>48</v>
      </c>
      <c r="J332" s="9">
        <f>startX</f>
        <v>48</v>
      </c>
      <c r="K332" s="9">
        <v>48</v>
      </c>
      <c r="L332" s="9">
        <v>52</v>
      </c>
      <c r="M332" s="9">
        <v>54</v>
      </c>
      <c r="O332" s="9">
        <f>startY</f>
        <v>27</v>
      </c>
      <c r="P332" s="9">
        <v>22</v>
      </c>
      <c r="Q332" s="9">
        <v>22</v>
      </c>
      <c r="R332" s="9">
        <v>36</v>
      </c>
      <c r="U332" s="9">
        <f t="shared" si="6"/>
        <v>500</v>
      </c>
      <c r="V332" s="9">
        <f t="shared" si="7"/>
        <v>400</v>
      </c>
      <c r="W332" s="9">
        <f t="shared" si="8"/>
        <v>1414.2135623730951</v>
      </c>
      <c r="Y332" s="9">
        <f t="shared" si="9"/>
        <v>2359.2135623730951</v>
      </c>
      <c r="AA332" s="9" cm="1">
        <f t="array" ref="AA332">SUM(_xlfn.XLOOKUP(G332:I332,tblS[Scarf Code], tblS[ManuPrice]))</f>
        <v>722</v>
      </c>
    </row>
    <row r="334" spans="2:27" ht="24.95" customHeight="1">
      <c r="G334"/>
      <c r="H334"/>
      <c r="I334"/>
    </row>
    <row r="336" spans="2:27" ht="24.95" customHeight="1">
      <c r="G336"/>
    </row>
    <row r="339" spans="7:9" ht="24.95" customHeight="1">
      <c r="G339"/>
      <c r="H339"/>
      <c r="I339"/>
    </row>
    <row r="343" spans="7:9" ht="24.95" customHeight="1">
      <c r="G343"/>
      <c r="H343"/>
      <c r="I343"/>
    </row>
    <row r="1000" spans="658:658" ht="15">
      <c r="YH1000" s="90">
        <v>125713</v>
      </c>
    </row>
  </sheetData>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85704D38-9361-4292-9B72-73F2E5E5881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B2566-20DB-4DD7-B449-BFD1A2569A6E}">
  <sheetPr codeName="Sheet3"/>
  <dimension ref="B1:XZ1000"/>
  <sheetViews>
    <sheetView showGridLines="0" zoomScale="70" zoomScaleNormal="70" workbookViewId="0">
      <selection activeCell="Q4" sqref="Q4"/>
    </sheetView>
  </sheetViews>
  <sheetFormatPr defaultColWidth="9" defaultRowHeight="15"/>
  <cols>
    <col min="1" max="1" width="2.625" customWidth="1"/>
    <col min="2" max="2" width="11.5" customWidth="1"/>
    <col min="3" max="3" width="16.125" customWidth="1"/>
    <col min="4" max="4" width="17.875" customWidth="1"/>
    <col min="5" max="5" width="18.125" customWidth="1"/>
    <col min="6" max="6" width="7.625" customWidth="1"/>
    <col min="7" max="14" width="11.75" customWidth="1"/>
    <col min="15" max="17" width="18.125" customWidth="1"/>
    <col min="19" max="19" width="14.5" bestFit="1" customWidth="1"/>
    <col min="21" max="21" width="18.875" bestFit="1" customWidth="1"/>
    <col min="24" max="26" width="20" customWidth="1"/>
  </cols>
  <sheetData>
    <row r="1" spans="2:33" ht="15.75" thickBot="1"/>
    <row r="2" spans="2:33" ht="24.95" customHeight="1" thickBot="1">
      <c r="B2" s="44" t="s">
        <v>281</v>
      </c>
      <c r="C2" s="44" t="s">
        <v>203</v>
      </c>
      <c r="D2" s="44" t="s">
        <v>282</v>
      </c>
      <c r="E2" s="44" t="s">
        <v>283</v>
      </c>
      <c r="F2" s="46" t="s">
        <v>369</v>
      </c>
      <c r="G2" s="46" t="s">
        <v>370</v>
      </c>
      <c r="H2" s="46" t="s">
        <v>371</v>
      </c>
      <c r="I2" s="46" t="s">
        <v>372</v>
      </c>
      <c r="J2" s="46" t="s">
        <v>373</v>
      </c>
      <c r="K2" s="46" t="s">
        <v>374</v>
      </c>
      <c r="L2" s="46" t="s">
        <v>375</v>
      </c>
      <c r="M2" s="46" t="s">
        <v>376</v>
      </c>
      <c r="N2" s="46" t="s">
        <v>377</v>
      </c>
      <c r="O2" s="44" t="s">
        <v>284</v>
      </c>
      <c r="P2" s="91" t="s">
        <v>365</v>
      </c>
      <c r="Q2" s="91" t="s">
        <v>366</v>
      </c>
      <c r="S2" s="94" t="s">
        <v>285</v>
      </c>
      <c r="T2" s="94" t="s">
        <v>166</v>
      </c>
      <c r="U2" s="94" t="s">
        <v>286</v>
      </c>
      <c r="X2" s="91" t="s">
        <v>367</v>
      </c>
      <c r="Y2" s="91" t="s">
        <v>368</v>
      </c>
      <c r="Z2" s="91" t="s">
        <v>294</v>
      </c>
      <c r="AB2" s="91" t="s">
        <v>174</v>
      </c>
      <c r="AF2" t="s">
        <v>203</v>
      </c>
      <c r="AG2" t="s">
        <v>379</v>
      </c>
    </row>
    <row r="3" spans="2:33" s="8" customFormat="1" ht="20.100000000000001" customHeight="1">
      <c r="B3" s="12">
        <v>1</v>
      </c>
      <c r="C3" s="12" t="s">
        <v>45</v>
      </c>
      <c r="D3" s="12">
        <v>48</v>
      </c>
      <c r="E3" s="12">
        <v>27</v>
      </c>
      <c r="F3" s="81" t="s">
        <v>287</v>
      </c>
      <c r="G3" s="81" t="s">
        <v>287</v>
      </c>
      <c r="H3" s="81" t="s">
        <v>287</v>
      </c>
      <c r="I3" s="82" t="s">
        <v>288</v>
      </c>
      <c r="J3" s="82" t="s">
        <v>288</v>
      </c>
      <c r="K3" s="82" t="s">
        <v>288</v>
      </c>
      <c r="L3" s="81" t="s">
        <v>287</v>
      </c>
      <c r="M3" s="81" t="s">
        <v>287</v>
      </c>
      <c r="N3" s="81" t="s">
        <v>287</v>
      </c>
      <c r="O3" s="12" t="s">
        <v>46</v>
      </c>
      <c r="P3" s="92" cm="1">
        <f t="array" ref="P3">SUM(_xlfn.XLOOKUP(tblS[[#This Row],[Color1]:[Color9]],$S$3:$S$9,$U$3:$U$9)) + 200</f>
        <v>230</v>
      </c>
      <c r="Q3" s="92">
        <f>15 + 100 * SQRT(POWER(startX - tblS[[#This Row],[X-Coordinates]], 2) + POWER(startY - tblS[[#This Row],[Y-Coordinates]], 2))</f>
        <v>15</v>
      </c>
      <c r="S3" s="12" t="s">
        <v>289</v>
      </c>
      <c r="T3" s="12" t="s">
        <v>168</v>
      </c>
      <c r="U3" s="12">
        <v>4</v>
      </c>
      <c r="W3"/>
      <c r="X3" s="93" t="s">
        <v>45</v>
      </c>
      <c r="Y3" s="93">
        <v>48</v>
      </c>
      <c r="Z3" s="93">
        <v>27</v>
      </c>
      <c r="AB3" s="8">
        <f>COUNTIFS(tblS[[#This Row],[Color1]:[Color9]],"r")</f>
        <v>0</v>
      </c>
      <c r="AF3" s="8" t="str" cm="1">
        <f t="array" ref="AF3:AF84">_xlfn.UNIQUE(tblS[City])</f>
        <v>Vienna</v>
      </c>
      <c r="AG3" s="8" cm="1">
        <f t="array" ref="AG3">LEN(_xlfn.CONCAT(_xlfn._xlws.FILTER(tblS[Scarf Code],tblS[City]=AF3))) - LEN(SUBSTITUTE(_xlfn.CONCAT(_xlfn._xlws.FILTER(tblS[Scarf Code],tblS[City]=AF3)), "R",""))</f>
        <v>0</v>
      </c>
    </row>
    <row r="4" spans="2:33" s="8" customFormat="1" ht="20.100000000000001" customHeight="1">
      <c r="B4" s="12">
        <v>2</v>
      </c>
      <c r="C4" s="12" t="s">
        <v>45</v>
      </c>
      <c r="D4" s="12">
        <v>48</v>
      </c>
      <c r="E4" s="12">
        <v>27</v>
      </c>
      <c r="F4" s="83" t="s">
        <v>290</v>
      </c>
      <c r="G4" s="83" t="s">
        <v>290</v>
      </c>
      <c r="H4" s="83" t="s">
        <v>290</v>
      </c>
      <c r="I4" s="82" t="s">
        <v>288</v>
      </c>
      <c r="J4" s="82" t="s">
        <v>288</v>
      </c>
      <c r="K4" s="82" t="s">
        <v>288</v>
      </c>
      <c r="L4" s="83" t="s">
        <v>290</v>
      </c>
      <c r="M4" s="83" t="s">
        <v>290</v>
      </c>
      <c r="N4" s="83" t="s">
        <v>290</v>
      </c>
      <c r="O4" s="12" t="s">
        <v>130</v>
      </c>
      <c r="P4" s="92" cm="1">
        <f t="array" ref="P4">SUM(_xlfn.XLOOKUP(tblS[[#This Row],[Color1]:[Color9]],$S$3:$S$9,$U$3:$U$9)) + 200</f>
        <v>326</v>
      </c>
      <c r="Q4" s="92">
        <f>15 + 100 * SQRT(POWER(startX - tblS[[#This Row],[X-Coordinates]], 2) + POWER(startY - tblS[[#This Row],[Y-Coordinates]], 2))</f>
        <v>15</v>
      </c>
      <c r="S4" s="12" t="s">
        <v>288</v>
      </c>
      <c r="T4" s="12" t="s">
        <v>181</v>
      </c>
      <c r="U4" s="12">
        <v>2</v>
      </c>
      <c r="W4"/>
      <c r="AB4" s="8">
        <f>COUNTIFS(tblS[[#This Row],[Color1]:[Color9]],"r")</f>
        <v>0</v>
      </c>
      <c r="AF4" s="8" t="str">
        <v>Graz</v>
      </c>
      <c r="AG4" s="8" cm="1">
        <f t="array" ref="AG4">LEN(_xlfn.CONCAT(_xlfn._xlws.FILTER(tblS[Scarf Code],tblS[City]=AF4))) - LEN(SUBSTITUTE(_xlfn.CONCAT(_xlfn._xlws.FILTER(tblS[Scarf Code],tblS[City]=AF4)), "R",""))</f>
        <v>3</v>
      </c>
    </row>
    <row r="5" spans="2:33" s="8" customFormat="1" ht="20.100000000000001" customHeight="1">
      <c r="B5" s="12">
        <v>3</v>
      </c>
      <c r="C5" s="12" t="s">
        <v>214</v>
      </c>
      <c r="D5" s="12">
        <v>47</v>
      </c>
      <c r="E5" s="12">
        <v>26</v>
      </c>
      <c r="F5" s="84" t="s">
        <v>291</v>
      </c>
      <c r="G5" s="82" t="s">
        <v>288</v>
      </c>
      <c r="H5" s="84" t="s">
        <v>291</v>
      </c>
      <c r="I5" s="82" t="s">
        <v>288</v>
      </c>
      <c r="J5" s="84" t="s">
        <v>291</v>
      </c>
      <c r="K5" s="82" t="s">
        <v>288</v>
      </c>
      <c r="L5" s="84" t="s">
        <v>291</v>
      </c>
      <c r="M5" s="82" t="s">
        <v>288</v>
      </c>
      <c r="N5" s="84" t="s">
        <v>291</v>
      </c>
      <c r="O5" s="12" t="s">
        <v>278</v>
      </c>
      <c r="P5" s="92" cm="1">
        <f t="array" ref="P5">SUM(_xlfn.XLOOKUP(tblS[[#This Row],[Color1]:[Color9]],$S$3:$S$9,$U$3:$U$9)) + 200</f>
        <v>218</v>
      </c>
      <c r="Q5" s="92">
        <f>15 + 100 * SQRT(POWER(startX - tblS[[#This Row],[X-Coordinates]], 2) + POWER(startY - tblS[[#This Row],[Y-Coordinates]], 2))</f>
        <v>156.42135623730951</v>
      </c>
      <c r="S5" s="12" t="s">
        <v>291</v>
      </c>
      <c r="T5" s="12" t="s">
        <v>169</v>
      </c>
      <c r="U5" s="12">
        <v>2</v>
      </c>
      <c r="W5"/>
      <c r="AB5" s="8">
        <f>COUNTIFS(tblS[[#This Row],[Color1]:[Color9]],"r")</f>
        <v>0</v>
      </c>
      <c r="AF5" s="8" t="str">
        <v>Hamburg</v>
      </c>
      <c r="AG5" s="8" cm="1">
        <f t="array" ref="AG5">LEN(_xlfn.CONCAT(_xlfn._xlws.FILTER(tblS[Scarf Code],tblS[City]=AF5))) - LEN(SUBSTITUTE(_xlfn.CONCAT(_xlfn._xlws.FILTER(tblS[Scarf Code],tblS[City]=AF5)), "R",""))</f>
        <v>2</v>
      </c>
    </row>
    <row r="6" spans="2:33" s="8" customFormat="1" ht="20.100000000000001" customHeight="1">
      <c r="B6" s="12">
        <v>4</v>
      </c>
      <c r="C6" s="12" t="s">
        <v>221</v>
      </c>
      <c r="D6" s="12">
        <v>53</v>
      </c>
      <c r="E6" s="12">
        <v>21</v>
      </c>
      <c r="F6" s="85" t="s">
        <v>289</v>
      </c>
      <c r="G6" s="85" t="s">
        <v>289</v>
      </c>
      <c r="H6" s="82" t="s">
        <v>288</v>
      </c>
      <c r="I6" s="84" t="s">
        <v>291</v>
      </c>
      <c r="J6" s="82" t="s">
        <v>288</v>
      </c>
      <c r="K6" s="84" t="s">
        <v>291</v>
      </c>
      <c r="L6" s="82" t="s">
        <v>288</v>
      </c>
      <c r="M6" s="85" t="s">
        <v>289</v>
      </c>
      <c r="N6" s="85" t="s">
        <v>289</v>
      </c>
      <c r="O6" s="12" t="s">
        <v>95</v>
      </c>
      <c r="P6" s="92" cm="1">
        <f t="array" ref="P6">SUM(_xlfn.XLOOKUP(tblS[[#This Row],[Color1]:[Color9]],$S$3:$S$9,$U$3:$U$9)) + 200</f>
        <v>226</v>
      </c>
      <c r="Q6" s="92">
        <f>15 + 100 * SQRT(POWER(startX - tblS[[#This Row],[X-Coordinates]], 2) + POWER(startY - tblS[[#This Row],[Y-Coordinates]], 2))</f>
        <v>796.02496759066537</v>
      </c>
      <c r="S6" s="12" t="s">
        <v>287</v>
      </c>
      <c r="T6" s="12" t="s">
        <v>176</v>
      </c>
      <c r="U6" s="12">
        <v>4</v>
      </c>
      <c r="W6"/>
      <c r="AB6" s="8">
        <f>COUNTIFS(tblS[[#This Row],[Color1]:[Color9]],"r")</f>
        <v>0</v>
      </c>
      <c r="AF6" s="8" t="str">
        <v>Munich</v>
      </c>
      <c r="AG6" s="8" cm="1">
        <f t="array" ref="AG6">LEN(_xlfn.CONCAT(_xlfn._xlws.FILTER(tblS[Scarf Code],tblS[City]=AF6))) - LEN(SUBSTITUTE(_xlfn.CONCAT(_xlfn._xlws.FILTER(tblS[Scarf Code],tblS[City]=AF6)), "R",""))</f>
        <v>5</v>
      </c>
    </row>
    <row r="7" spans="2:33" s="8" customFormat="1" ht="20.100000000000001" customHeight="1">
      <c r="B7" s="12">
        <v>5</v>
      </c>
      <c r="C7" s="12" t="s">
        <v>292</v>
      </c>
      <c r="D7" s="12">
        <v>48</v>
      </c>
      <c r="E7" s="12">
        <v>22</v>
      </c>
      <c r="F7" s="86" t="s">
        <v>293</v>
      </c>
      <c r="G7" s="82" t="s">
        <v>288</v>
      </c>
      <c r="H7" s="86" t="s">
        <v>293</v>
      </c>
      <c r="I7" s="82" t="s">
        <v>288</v>
      </c>
      <c r="J7" s="86" t="s">
        <v>293</v>
      </c>
      <c r="K7" s="82" t="s">
        <v>288</v>
      </c>
      <c r="L7" s="86" t="s">
        <v>293</v>
      </c>
      <c r="M7" s="82" t="s">
        <v>288</v>
      </c>
      <c r="N7" s="86" t="s">
        <v>293</v>
      </c>
      <c r="O7" s="12" t="s">
        <v>147</v>
      </c>
      <c r="P7" s="92" cm="1">
        <f t="array" ref="P7">SUM(_xlfn.XLOOKUP(tblS[[#This Row],[Color1]:[Color9]],$S$3:$S$9,$U$3:$U$9)) + 200</f>
        <v>268</v>
      </c>
      <c r="Q7" s="92">
        <f>15 + 100 * SQRT(POWER(startX - tblS[[#This Row],[X-Coordinates]], 2) + POWER(startY - tblS[[#This Row],[Y-Coordinates]], 2))</f>
        <v>515</v>
      </c>
      <c r="S7" s="12" t="s">
        <v>294</v>
      </c>
      <c r="T7" s="12" t="s">
        <v>210</v>
      </c>
      <c r="U7" s="12">
        <v>9</v>
      </c>
      <c r="W7"/>
      <c r="AB7" s="8">
        <f>COUNTIFS(tblS[[#This Row],[Color1]:[Color9]],"r")</f>
        <v>5</v>
      </c>
      <c r="AF7" s="8" t="str">
        <v>Frankfurt</v>
      </c>
      <c r="AG7" s="8" cm="1">
        <f t="array" ref="AG7">LEN(_xlfn.CONCAT(_xlfn._xlws.FILTER(tblS[Scarf Code],tblS[City]=AF7))) - LEN(SUBSTITUTE(_xlfn.CONCAT(_xlfn._xlws.FILTER(tblS[Scarf Code],tblS[City]=AF7)), "R",""))</f>
        <v>2</v>
      </c>
    </row>
    <row r="8" spans="2:33" s="8" customFormat="1" ht="20.100000000000001" customHeight="1">
      <c r="B8" s="12">
        <v>6</v>
      </c>
      <c r="C8" s="12" t="s">
        <v>295</v>
      </c>
      <c r="D8" s="12">
        <v>50</v>
      </c>
      <c r="E8" s="12">
        <v>19</v>
      </c>
      <c r="F8" s="84" t="s">
        <v>291</v>
      </c>
      <c r="G8" s="82" t="s">
        <v>288</v>
      </c>
      <c r="H8" s="86" t="s">
        <v>293</v>
      </c>
      <c r="I8" s="82" t="s">
        <v>288</v>
      </c>
      <c r="J8" s="84" t="s">
        <v>291</v>
      </c>
      <c r="K8" s="82" t="s">
        <v>288</v>
      </c>
      <c r="L8" s="86" t="s">
        <v>293</v>
      </c>
      <c r="M8" s="82" t="s">
        <v>288</v>
      </c>
      <c r="N8" s="84" t="s">
        <v>291</v>
      </c>
      <c r="O8" s="12" t="s">
        <v>141</v>
      </c>
      <c r="P8" s="92" cm="1">
        <f t="array" ref="P8">SUM(_xlfn.XLOOKUP(tblS[[#This Row],[Color1]:[Color9]],$S$3:$S$9,$U$3:$U$9)) + 200</f>
        <v>238</v>
      </c>
      <c r="Q8" s="92">
        <f>15 + 100 * SQRT(POWER(startX - tblS[[#This Row],[X-Coordinates]], 2) + POWER(startY - tblS[[#This Row],[Y-Coordinates]], 2))</f>
        <v>839.62112512353212</v>
      </c>
      <c r="S8" s="12" t="s">
        <v>293</v>
      </c>
      <c r="T8" s="12" t="s">
        <v>174</v>
      </c>
      <c r="U8" s="12">
        <v>12</v>
      </c>
      <c r="W8"/>
      <c r="AB8" s="8">
        <f>COUNTIFS(tblS[[#This Row],[Color1]:[Color9]],"r")</f>
        <v>2</v>
      </c>
      <c r="AF8" s="8" t="str">
        <v>Freiburg</v>
      </c>
      <c r="AG8" s="8" cm="1">
        <f t="array" ref="AG8">LEN(_xlfn.CONCAT(_xlfn._xlws.FILTER(tblS[Scarf Code],tblS[City]=AF8))) - LEN(SUBSTITUTE(_xlfn.CONCAT(_xlfn._xlws.FILTER(tblS[Scarf Code],tblS[City]=AF8)), "R",""))</f>
        <v>3</v>
      </c>
    </row>
    <row r="9" spans="2:33" s="8" customFormat="1" ht="20.100000000000001" customHeight="1">
      <c r="B9" s="12">
        <v>7</v>
      </c>
      <c r="C9" s="12" t="s">
        <v>296</v>
      </c>
      <c r="D9" s="12">
        <v>48</v>
      </c>
      <c r="E9" s="12">
        <v>19</v>
      </c>
      <c r="F9" s="86" t="s">
        <v>293</v>
      </c>
      <c r="G9" s="82" t="s">
        <v>288</v>
      </c>
      <c r="H9" s="84" t="s">
        <v>291</v>
      </c>
      <c r="I9" s="82" t="s">
        <v>288</v>
      </c>
      <c r="J9" s="86" t="s">
        <v>293</v>
      </c>
      <c r="K9" s="82" t="s">
        <v>288</v>
      </c>
      <c r="L9" s="84" t="s">
        <v>291</v>
      </c>
      <c r="M9" s="82" t="s">
        <v>288</v>
      </c>
      <c r="N9" s="86" t="s">
        <v>293</v>
      </c>
      <c r="O9" s="12" t="s">
        <v>47</v>
      </c>
      <c r="P9" s="92" cm="1">
        <f t="array" ref="P9">SUM(_xlfn.XLOOKUP(tblS[[#This Row],[Color1]:[Color9]],$S$3:$S$9,$U$3:$U$9)) + 200</f>
        <v>248</v>
      </c>
      <c r="Q9" s="92">
        <f>15 + 100 * SQRT(POWER(startX - tblS[[#This Row],[X-Coordinates]], 2) + POWER(startY - tblS[[#This Row],[Y-Coordinates]], 2))</f>
        <v>815</v>
      </c>
      <c r="S9" s="95" t="s">
        <v>290</v>
      </c>
      <c r="T9" s="95" t="s">
        <v>179</v>
      </c>
      <c r="U9" s="95">
        <v>20</v>
      </c>
      <c r="W9"/>
      <c r="AB9" s="8">
        <f>COUNTIFS(tblS[[#This Row],[Color1]:[Color9]],"r")</f>
        <v>3</v>
      </c>
      <c r="AF9" s="8" t="str">
        <v>Berlin</v>
      </c>
      <c r="AG9" s="8" cm="1">
        <f t="array" ref="AG9">LEN(_xlfn.CONCAT(_xlfn._xlws.FILTER(tblS[Scarf Code],tblS[City]=AF9))) - LEN(SUBSTITUTE(_xlfn.CONCAT(_xlfn._xlws.FILTER(tblS[Scarf Code],tblS[City]=AF9)), "R",""))</f>
        <v>6</v>
      </c>
    </row>
    <row r="10" spans="2:33" s="8" customFormat="1" ht="20.100000000000001" customHeight="1">
      <c r="B10" s="12">
        <v>8</v>
      </c>
      <c r="C10" s="12" t="s">
        <v>206</v>
      </c>
      <c r="D10" s="12">
        <v>52</v>
      </c>
      <c r="E10" s="12">
        <v>24</v>
      </c>
      <c r="F10" s="85" t="s">
        <v>289</v>
      </c>
      <c r="G10" s="85" t="s">
        <v>289</v>
      </c>
      <c r="H10" s="85" t="s">
        <v>289</v>
      </c>
      <c r="I10" s="82" t="s">
        <v>288</v>
      </c>
      <c r="J10" s="82" t="s">
        <v>288</v>
      </c>
      <c r="K10" s="82" t="s">
        <v>288</v>
      </c>
      <c r="L10" s="85" t="s">
        <v>289</v>
      </c>
      <c r="M10" s="85" t="s">
        <v>289</v>
      </c>
      <c r="N10" s="85" t="s">
        <v>289</v>
      </c>
      <c r="O10" s="12" t="s">
        <v>180</v>
      </c>
      <c r="P10" s="92" cm="1">
        <f t="array" ref="P10">SUM(_xlfn.XLOOKUP(tblS[[#This Row],[Color1]:[Color9]],$S$3:$S$9,$U$3:$U$9)) + 200</f>
        <v>230</v>
      </c>
      <c r="Q10" s="92">
        <f>15 + 100 * SQRT(POWER(startX - tblS[[#This Row],[X-Coordinates]], 2) + POWER(startY - tblS[[#This Row],[Y-Coordinates]], 2))</f>
        <v>515</v>
      </c>
      <c r="W10"/>
      <c r="AB10" s="8">
        <f>COUNTIFS(tblS[[#This Row],[Color1]:[Color9]],"r")</f>
        <v>0</v>
      </c>
      <c r="AF10" s="8" t="str">
        <v>Stuttgart</v>
      </c>
      <c r="AG10" s="8" cm="1">
        <f t="array" ref="AG10">LEN(_xlfn.CONCAT(_xlfn._xlws.FILTER(tblS[Scarf Code],tblS[City]=AF10))) - LEN(SUBSTITUTE(_xlfn.CONCAT(_xlfn._xlws.FILTER(tblS[Scarf Code],tblS[City]=AF10)), "R",""))</f>
        <v>5</v>
      </c>
    </row>
    <row r="11" spans="2:33" s="8" customFormat="1" ht="20.100000000000001" customHeight="1">
      <c r="B11" s="12">
        <v>9</v>
      </c>
      <c r="C11" s="12" t="s">
        <v>206</v>
      </c>
      <c r="D11" s="12">
        <v>52</v>
      </c>
      <c r="E11" s="12">
        <v>24</v>
      </c>
      <c r="F11" s="86" t="s">
        <v>293</v>
      </c>
      <c r="G11" s="86" t="s">
        <v>293</v>
      </c>
      <c r="H11" s="86" t="s">
        <v>293</v>
      </c>
      <c r="I11" s="82" t="s">
        <v>288</v>
      </c>
      <c r="J11" s="82" t="s">
        <v>288</v>
      </c>
      <c r="K11" s="82" t="s">
        <v>288</v>
      </c>
      <c r="L11" s="86" t="s">
        <v>293</v>
      </c>
      <c r="M11" s="86" t="s">
        <v>293</v>
      </c>
      <c r="N11" s="86" t="s">
        <v>293</v>
      </c>
      <c r="O11" s="12" t="s">
        <v>128</v>
      </c>
      <c r="P11" s="92" cm="1">
        <f t="array" ref="P11">SUM(_xlfn.XLOOKUP(tblS[[#This Row],[Color1]:[Color9]],$S$3:$S$9,$U$3:$U$9)) + 200</f>
        <v>278</v>
      </c>
      <c r="Q11" s="92">
        <f>15 + 100 * SQRT(POWER(startX - tblS[[#This Row],[X-Coordinates]], 2) + POWER(startY - tblS[[#This Row],[Y-Coordinates]], 2))</f>
        <v>515</v>
      </c>
      <c r="W11"/>
      <c r="AB11" s="8">
        <f>COUNTIFS(tblS[[#This Row],[Color1]:[Color9]],"r")</f>
        <v>6</v>
      </c>
      <c r="AF11" s="8" t="str">
        <v>Gladbach</v>
      </c>
      <c r="AG11" s="8" cm="1">
        <f t="array" ref="AG11">LEN(_xlfn.CONCAT(_xlfn._xlws.FILTER(tblS[Scarf Code],tblS[City]=AF11))) - LEN(SUBSTITUTE(_xlfn.CONCAT(_xlfn._xlws.FILTER(tblS[Scarf Code],tblS[City]=AF11)), "R",""))</f>
        <v>0</v>
      </c>
    </row>
    <row r="12" spans="2:33" s="8" customFormat="1" ht="20.100000000000001" customHeight="1">
      <c r="B12" s="12">
        <v>10</v>
      </c>
      <c r="C12" s="12" t="s">
        <v>223</v>
      </c>
      <c r="D12" s="12">
        <v>48</v>
      </c>
      <c r="E12" s="12">
        <v>20</v>
      </c>
      <c r="F12" s="86" t="s">
        <v>293</v>
      </c>
      <c r="G12" s="82" t="s">
        <v>288</v>
      </c>
      <c r="H12" s="82" t="s">
        <v>288</v>
      </c>
      <c r="I12" s="86" t="s">
        <v>293</v>
      </c>
      <c r="J12" s="86" t="s">
        <v>293</v>
      </c>
      <c r="K12" s="86" t="s">
        <v>293</v>
      </c>
      <c r="L12" s="82" t="s">
        <v>288</v>
      </c>
      <c r="M12" s="82" t="s">
        <v>288</v>
      </c>
      <c r="N12" s="86" t="s">
        <v>293</v>
      </c>
      <c r="O12" s="12" t="s">
        <v>132</v>
      </c>
      <c r="P12" s="92" cm="1">
        <f t="array" ref="P12">SUM(_xlfn.XLOOKUP(tblS[[#This Row],[Color1]:[Color9]],$S$3:$S$9,$U$3:$U$9)) + 200</f>
        <v>268</v>
      </c>
      <c r="Q12" s="92">
        <f>15 + 100 * SQRT(POWER(startX - tblS[[#This Row],[X-Coordinates]], 2) + POWER(startY - tblS[[#This Row],[Y-Coordinates]], 2))</f>
        <v>715</v>
      </c>
      <c r="W12"/>
      <c r="AB12" s="8">
        <f>COUNTIFS(tblS[[#This Row],[Color1]:[Color9]],"r")</f>
        <v>5</v>
      </c>
      <c r="AF12" s="8" t="str">
        <v>Bremen</v>
      </c>
      <c r="AG12" s="8" cm="1">
        <f t="array" ref="AG12">LEN(_xlfn.CONCAT(_xlfn._xlws.FILTER(tblS[Scarf Code],tblS[City]=AF12))) - LEN(SUBSTITUTE(_xlfn.CONCAT(_xlfn._xlws.FILTER(tblS[Scarf Code],tblS[City]=AF12)), "R",""))</f>
        <v>0</v>
      </c>
    </row>
    <row r="13" spans="2:33" s="8" customFormat="1" ht="20.100000000000001" customHeight="1">
      <c r="B13" s="12">
        <v>11</v>
      </c>
      <c r="C13" s="12" t="s">
        <v>297</v>
      </c>
      <c r="D13" s="12">
        <v>51</v>
      </c>
      <c r="E13" s="12">
        <v>16</v>
      </c>
      <c r="F13" s="81" t="s">
        <v>287</v>
      </c>
      <c r="G13" s="82" t="s">
        <v>288</v>
      </c>
      <c r="H13" s="84" t="s">
        <v>291</v>
      </c>
      <c r="I13" s="81" t="s">
        <v>287</v>
      </c>
      <c r="J13" s="82" t="s">
        <v>288</v>
      </c>
      <c r="K13" s="84" t="s">
        <v>291</v>
      </c>
      <c r="L13" s="81" t="s">
        <v>287</v>
      </c>
      <c r="M13" s="82" t="s">
        <v>288</v>
      </c>
      <c r="N13" s="84" t="s">
        <v>291</v>
      </c>
      <c r="O13" s="12" t="s">
        <v>185</v>
      </c>
      <c r="P13" s="92" cm="1">
        <f t="array" ref="P13">SUM(_xlfn.XLOOKUP(tblS[[#This Row],[Color1]:[Color9]],$S$3:$S$9,$U$3:$U$9)) + 200</f>
        <v>224</v>
      </c>
      <c r="Q13" s="92">
        <f>15 + 100 * SQRT(POWER(startX - tblS[[#This Row],[X-Coordinates]], 2) + POWER(startY - tblS[[#This Row],[Y-Coordinates]], 2))</f>
        <v>1155.175425099138</v>
      </c>
      <c r="W13"/>
      <c r="AB13" s="8">
        <f>COUNTIFS(tblS[[#This Row],[Color1]:[Color9]],"r")</f>
        <v>0</v>
      </c>
      <c r="AF13" s="8" t="str">
        <v>Gelsenkirchen</v>
      </c>
      <c r="AG13" s="8" cm="1">
        <f t="array" ref="AG13">LEN(_xlfn.CONCAT(_xlfn._xlws.FILTER(tblS[Scarf Code],tblS[City]=AF13))) - LEN(SUBSTITUTE(_xlfn.CONCAT(_xlfn._xlws.FILTER(tblS[Scarf Code],tblS[City]=AF13)), "R",""))</f>
        <v>0</v>
      </c>
    </row>
    <row r="14" spans="2:33" s="8" customFormat="1" ht="20.100000000000001" customHeight="1">
      <c r="B14" s="12">
        <v>12</v>
      </c>
      <c r="C14" s="12" t="s">
        <v>298</v>
      </c>
      <c r="D14" s="12">
        <v>53</v>
      </c>
      <c r="E14" s="12">
        <v>19</v>
      </c>
      <c r="F14" s="81" t="s">
        <v>287</v>
      </c>
      <c r="G14" s="82" t="s">
        <v>288</v>
      </c>
      <c r="H14" s="82" t="s">
        <v>288</v>
      </c>
      <c r="I14" s="81" t="s">
        <v>287</v>
      </c>
      <c r="J14" s="81" t="s">
        <v>287</v>
      </c>
      <c r="K14" s="81" t="s">
        <v>287</v>
      </c>
      <c r="L14" s="82" t="s">
        <v>288</v>
      </c>
      <c r="M14" s="82" t="s">
        <v>288</v>
      </c>
      <c r="N14" s="81" t="s">
        <v>287</v>
      </c>
      <c r="O14" s="12" t="s">
        <v>177</v>
      </c>
      <c r="P14" s="92" cm="1">
        <f t="array" ref="P14">SUM(_xlfn.XLOOKUP(tblS[[#This Row],[Color1]:[Color9]],$S$3:$S$9,$U$3:$U$9)) + 200</f>
        <v>228</v>
      </c>
      <c r="Q14" s="92">
        <f>15 + 100 * SQRT(POWER(startX - tblS[[#This Row],[X-Coordinates]], 2) + POWER(startY - tblS[[#This Row],[Y-Coordinates]], 2))</f>
        <v>958.39811320566037</v>
      </c>
      <c r="W14"/>
      <c r="AB14" s="8">
        <f>COUNTIFS(tblS[[#This Row],[Color1]:[Color9]],"r")</f>
        <v>0</v>
      </c>
      <c r="AF14" s="8" t="str">
        <v>Dusseldorf</v>
      </c>
      <c r="AG14" s="8" cm="1">
        <f t="array" ref="AG14">LEN(_xlfn.CONCAT(_xlfn._xlws.FILTER(tblS[Scarf Code],tblS[City]=AF14))) - LEN(SUBSTITUTE(_xlfn.CONCAT(_xlfn._xlws.FILTER(tblS[Scarf Code],tblS[City]=AF14)), "R",""))</f>
        <v>5</v>
      </c>
    </row>
    <row r="15" spans="2:33" s="8" customFormat="1" ht="20.100000000000001" customHeight="1">
      <c r="B15" s="12">
        <v>13</v>
      </c>
      <c r="C15" s="12" t="s">
        <v>299</v>
      </c>
      <c r="D15" s="12">
        <v>51</v>
      </c>
      <c r="E15" s="12">
        <v>19</v>
      </c>
      <c r="F15" s="85" t="s">
        <v>289</v>
      </c>
      <c r="G15" s="82" t="s">
        <v>288</v>
      </c>
      <c r="H15" s="85" t="s">
        <v>289</v>
      </c>
      <c r="I15" s="85" t="s">
        <v>289</v>
      </c>
      <c r="J15" s="82" t="s">
        <v>288</v>
      </c>
      <c r="K15" s="85" t="s">
        <v>289</v>
      </c>
      <c r="L15" s="85" t="s">
        <v>289</v>
      </c>
      <c r="M15" s="82" t="s">
        <v>288</v>
      </c>
      <c r="N15" s="85" t="s">
        <v>289</v>
      </c>
      <c r="O15" s="12" t="s">
        <v>172</v>
      </c>
      <c r="P15" s="92" cm="1">
        <f t="array" ref="P15">SUM(_xlfn.XLOOKUP(tblS[[#This Row],[Color1]:[Color9]],$S$3:$S$9,$U$3:$U$9)) + 200</f>
        <v>230</v>
      </c>
      <c r="Q15" s="92">
        <f>15 + 100 * SQRT(POWER(startX - tblS[[#This Row],[X-Coordinates]], 2) + POWER(startY - tblS[[#This Row],[Y-Coordinates]], 2))</f>
        <v>869.40037453175307</v>
      </c>
      <c r="W15"/>
      <c r="AB15" s="8">
        <f>COUNTIFS(tblS[[#This Row],[Color1]:[Color9]],"r")</f>
        <v>0</v>
      </c>
      <c r="AF15" s="8" t="str">
        <v>Hannover</v>
      </c>
      <c r="AG15" s="8" cm="1">
        <f t="array" ref="AG15">LEN(_xlfn.CONCAT(_xlfn._xlws.FILTER(tblS[Scarf Code],tblS[City]=AF15))) - LEN(SUBSTITUTE(_xlfn.CONCAT(_xlfn._xlws.FILTER(tblS[Scarf Code],tblS[City]=AF15)), "R",""))</f>
        <v>0</v>
      </c>
    </row>
    <row r="16" spans="2:33" s="8" customFormat="1" ht="20.100000000000001" customHeight="1">
      <c r="B16" s="12">
        <v>14</v>
      </c>
      <c r="C16" s="12" t="s">
        <v>300</v>
      </c>
      <c r="D16" s="12">
        <v>51</v>
      </c>
      <c r="E16" s="12">
        <v>14</v>
      </c>
      <c r="F16" s="86" t="s">
        <v>293</v>
      </c>
      <c r="G16" s="86" t="s">
        <v>293</v>
      </c>
      <c r="H16" s="82" t="s">
        <v>288</v>
      </c>
      <c r="I16" s="82" t="s">
        <v>288</v>
      </c>
      <c r="J16" s="86" t="s">
        <v>293</v>
      </c>
      <c r="K16" s="82" t="s">
        <v>288</v>
      </c>
      <c r="L16" s="82" t="s">
        <v>288</v>
      </c>
      <c r="M16" s="86" t="s">
        <v>293</v>
      </c>
      <c r="N16" s="86" t="s">
        <v>293</v>
      </c>
      <c r="O16" s="12" t="s">
        <v>149</v>
      </c>
      <c r="P16" s="92" cm="1">
        <f t="array" ref="P16">SUM(_xlfn.XLOOKUP(tblS[[#This Row],[Color1]:[Color9]],$S$3:$S$9,$U$3:$U$9)) + 200</f>
        <v>268</v>
      </c>
      <c r="Q16" s="92">
        <f>15 + 100 * SQRT(POWER(startX - tblS[[#This Row],[X-Coordinates]], 2) + POWER(startY - tblS[[#This Row],[Y-Coordinates]], 2))</f>
        <v>1349.1664064126335</v>
      </c>
      <c r="W16"/>
      <c r="AB16" s="8">
        <f>COUNTIFS(tblS[[#This Row],[Color1]:[Color9]],"r")</f>
        <v>5</v>
      </c>
      <c r="AF16" s="8" t="str">
        <v>Magdeburg</v>
      </c>
      <c r="AG16" s="8" cm="1">
        <f t="array" ref="AG16">LEN(_xlfn.CONCAT(_xlfn._xlws.FILTER(tblS[Scarf Code],tblS[City]=AF16))) - LEN(SUBSTITUTE(_xlfn.CONCAT(_xlfn._xlws.FILTER(tblS[Scarf Code],tblS[City]=AF16)), "R",""))</f>
        <v>0</v>
      </c>
    </row>
    <row r="17" spans="2:33" s="8" customFormat="1" ht="20.100000000000001" customHeight="1">
      <c r="B17" s="12">
        <v>15</v>
      </c>
      <c r="C17" s="12" t="s">
        <v>301</v>
      </c>
      <c r="D17" s="12">
        <v>52</v>
      </c>
      <c r="E17" s="12">
        <v>20</v>
      </c>
      <c r="F17" s="84" t="s">
        <v>291</v>
      </c>
      <c r="G17" s="82" t="s">
        <v>288</v>
      </c>
      <c r="H17" s="81" t="s">
        <v>287</v>
      </c>
      <c r="I17" s="84" t="s">
        <v>291</v>
      </c>
      <c r="J17" s="82" t="s">
        <v>288</v>
      </c>
      <c r="K17" s="81" t="s">
        <v>287</v>
      </c>
      <c r="L17" s="84" t="s">
        <v>291</v>
      </c>
      <c r="M17" s="82" t="s">
        <v>288</v>
      </c>
      <c r="N17" s="81" t="s">
        <v>287</v>
      </c>
      <c r="O17" s="12" t="s">
        <v>252</v>
      </c>
      <c r="P17" s="92" cm="1">
        <f t="array" ref="P17">SUM(_xlfn.XLOOKUP(tblS[[#This Row],[Color1]:[Color9]],$S$3:$S$9,$U$3:$U$9)) + 200</f>
        <v>224</v>
      </c>
      <c r="Q17" s="92">
        <f>15 + 100 * SQRT(POWER(startX - tblS[[#This Row],[X-Coordinates]], 2) + POWER(startY - tblS[[#This Row],[Y-Coordinates]], 2))</f>
        <v>821.22577482985491</v>
      </c>
      <c r="W17"/>
      <c r="AB17" s="8">
        <f>COUNTIFS(tblS[[#This Row],[Color1]:[Color9]],"r")</f>
        <v>0</v>
      </c>
      <c r="AF17" s="8" t="str">
        <v>Nueremberg</v>
      </c>
      <c r="AG17" s="8" cm="1">
        <f t="array" ref="AG17">LEN(_xlfn.CONCAT(_xlfn._xlws.FILTER(tblS[Scarf Code],tblS[City]=AF17))) - LEN(SUBSTITUTE(_xlfn.CONCAT(_xlfn._xlws.FILTER(tblS[Scarf Code],tblS[City]=AF17)), "R",""))</f>
        <v>5</v>
      </c>
    </row>
    <row r="18" spans="2:33" s="8" customFormat="1" ht="20.100000000000001" customHeight="1">
      <c r="B18" s="12">
        <v>16</v>
      </c>
      <c r="C18" s="12" t="s">
        <v>302</v>
      </c>
      <c r="D18" s="12">
        <v>52</v>
      </c>
      <c r="E18" s="12">
        <v>22</v>
      </c>
      <c r="F18" s="85" t="s">
        <v>289</v>
      </c>
      <c r="G18" s="85" t="s">
        <v>289</v>
      </c>
      <c r="H18" s="82" t="s">
        <v>288</v>
      </c>
      <c r="I18" s="82" t="s">
        <v>288</v>
      </c>
      <c r="J18" s="85" t="s">
        <v>289</v>
      </c>
      <c r="K18" s="82" t="s">
        <v>288</v>
      </c>
      <c r="L18" s="82" t="s">
        <v>288</v>
      </c>
      <c r="M18" s="85" t="s">
        <v>289</v>
      </c>
      <c r="N18" s="85" t="s">
        <v>289</v>
      </c>
      <c r="O18" s="12" t="s">
        <v>247</v>
      </c>
      <c r="P18" s="92" cm="1">
        <f t="array" ref="P18">SUM(_xlfn.XLOOKUP(tblS[[#This Row],[Color1]:[Color9]],$S$3:$S$9,$U$3:$U$9)) + 200</f>
        <v>228</v>
      </c>
      <c r="Q18" s="92">
        <f>15 + 100 * SQRT(POWER(startX - tblS[[#This Row],[X-Coordinates]], 2) + POWER(startY - tblS[[#This Row],[Y-Coordinates]], 2))</f>
        <v>655.31242374328485</v>
      </c>
      <c r="W18"/>
      <c r="AB18" s="8">
        <f>COUNTIFS(tblS[[#This Row],[Color1]:[Color9]],"r")</f>
        <v>0</v>
      </c>
      <c r="AF18" s="8" t="str">
        <v>Cologne</v>
      </c>
      <c r="AG18" s="8" cm="1">
        <f t="array" ref="AG18">LEN(_xlfn.CONCAT(_xlfn._xlws.FILTER(tblS[Scarf Code],tblS[City]=AF18))) - LEN(SUBSTITUTE(_xlfn.CONCAT(_xlfn._xlws.FILTER(tblS[Scarf Code],tblS[City]=AF18)), "R",""))</f>
        <v>4</v>
      </c>
    </row>
    <row r="19" spans="2:33" s="8" customFormat="1" ht="20.100000000000001" customHeight="1">
      <c r="B19" s="12">
        <v>17</v>
      </c>
      <c r="C19" s="12" t="s">
        <v>303</v>
      </c>
      <c r="D19" s="12">
        <v>49</v>
      </c>
      <c r="E19" s="12">
        <v>23</v>
      </c>
      <c r="F19" s="86" t="s">
        <v>293</v>
      </c>
      <c r="G19" s="86" t="s">
        <v>293</v>
      </c>
      <c r="H19" s="84" t="s">
        <v>291</v>
      </c>
      <c r="I19" s="84" t="s">
        <v>291</v>
      </c>
      <c r="J19" s="86" t="s">
        <v>293</v>
      </c>
      <c r="K19" s="84" t="s">
        <v>291</v>
      </c>
      <c r="L19" s="84" t="s">
        <v>291</v>
      </c>
      <c r="M19" s="86" t="s">
        <v>293</v>
      </c>
      <c r="N19" s="86" t="s">
        <v>293</v>
      </c>
      <c r="O19" s="12" t="s">
        <v>53</v>
      </c>
      <c r="P19" s="92" cm="1">
        <f t="array" ref="P19">SUM(_xlfn.XLOOKUP(tblS[[#This Row],[Color1]:[Color9]],$S$3:$S$9,$U$3:$U$9)) + 200</f>
        <v>268</v>
      </c>
      <c r="Q19" s="92">
        <f>15 + 100 * SQRT(POWER(startX - tblS[[#This Row],[X-Coordinates]], 2) + POWER(startY - tblS[[#This Row],[Y-Coordinates]], 2))</f>
        <v>427.31056256176606</v>
      </c>
      <c r="W19"/>
      <c r="AB19" s="8">
        <f>COUNTIFS(tblS[[#This Row],[Color1]:[Color9]],"r")</f>
        <v>5</v>
      </c>
      <c r="AF19" s="8" t="str">
        <v>Kaiserslautern</v>
      </c>
      <c r="AG19" s="8" cm="1">
        <f t="array" ref="AG19">LEN(_xlfn.CONCAT(_xlfn._xlws.FILTER(tblS[Scarf Code],tblS[City]=AF19))) - LEN(SUBSTITUTE(_xlfn.CONCAT(_xlfn._xlws.FILTER(tblS[Scarf Code],tblS[City]=AF19)), "R",""))</f>
        <v>4</v>
      </c>
    </row>
    <row r="20" spans="2:33" s="8" customFormat="1" ht="20.100000000000001" customHeight="1">
      <c r="B20" s="12">
        <v>18</v>
      </c>
      <c r="C20" s="12" t="s">
        <v>304</v>
      </c>
      <c r="D20" s="12">
        <v>50</v>
      </c>
      <c r="E20" s="12">
        <v>17</v>
      </c>
      <c r="F20" s="86" t="s">
        <v>293</v>
      </c>
      <c r="G20" s="82" t="s">
        <v>288</v>
      </c>
      <c r="H20" s="86" t="s">
        <v>293</v>
      </c>
      <c r="I20" s="82" t="s">
        <v>288</v>
      </c>
      <c r="J20" s="82" t="s">
        <v>288</v>
      </c>
      <c r="K20" s="82" t="s">
        <v>288</v>
      </c>
      <c r="L20" s="86" t="s">
        <v>293</v>
      </c>
      <c r="M20" s="82" t="s">
        <v>288</v>
      </c>
      <c r="N20" s="86" t="s">
        <v>293</v>
      </c>
      <c r="O20" s="12" t="s">
        <v>280</v>
      </c>
      <c r="P20" s="92" cm="1">
        <f t="array" ref="P20">SUM(_xlfn.XLOOKUP(tblS[[#This Row],[Color1]:[Color9]],$S$3:$S$9,$U$3:$U$9)) + 200</f>
        <v>258</v>
      </c>
      <c r="Q20" s="92">
        <f>15 + 100 * SQRT(POWER(startX - tblS[[#This Row],[X-Coordinates]], 2) + POWER(startY - tblS[[#This Row],[Y-Coordinates]], 2))</f>
        <v>1034.8039027185569</v>
      </c>
      <c r="W20"/>
      <c r="AB20" s="8">
        <f>COUNTIFS(tblS[[#This Row],[Color1]:[Color9]],"r")</f>
        <v>4</v>
      </c>
      <c r="AF20" s="8" t="str">
        <v>Rostock</v>
      </c>
      <c r="AG20" s="8" cm="1">
        <f t="array" ref="AG20">LEN(_xlfn.CONCAT(_xlfn._xlws.FILTER(tblS[Scarf Code],tblS[City]=AF20))) - LEN(SUBSTITUTE(_xlfn.CONCAT(_xlfn._xlws.FILTER(tblS[Scarf Code],tblS[City]=AF20)), "R",""))</f>
        <v>2</v>
      </c>
    </row>
    <row r="21" spans="2:33" s="8" customFormat="1" ht="20.100000000000001" customHeight="1">
      <c r="B21" s="12">
        <v>19</v>
      </c>
      <c r="C21" s="12" t="s">
        <v>305</v>
      </c>
      <c r="D21" s="12">
        <v>49</v>
      </c>
      <c r="E21" s="12">
        <v>17</v>
      </c>
      <c r="F21" s="82" t="s">
        <v>288</v>
      </c>
      <c r="G21" s="82" t="s">
        <v>288</v>
      </c>
      <c r="H21" s="86" t="s">
        <v>293</v>
      </c>
      <c r="I21" s="86" t="s">
        <v>293</v>
      </c>
      <c r="J21" s="82" t="s">
        <v>288</v>
      </c>
      <c r="K21" s="86" t="s">
        <v>293</v>
      </c>
      <c r="L21" s="86" t="s">
        <v>293</v>
      </c>
      <c r="M21" s="82" t="s">
        <v>288</v>
      </c>
      <c r="N21" s="82" t="s">
        <v>288</v>
      </c>
      <c r="O21" s="12" t="s">
        <v>150</v>
      </c>
      <c r="P21" s="92" cm="1">
        <f t="array" ref="P21">SUM(_xlfn.XLOOKUP(tblS[[#This Row],[Color1]:[Color9]],$S$3:$S$9,$U$3:$U$9)) + 200</f>
        <v>258</v>
      </c>
      <c r="Q21" s="92">
        <f>15 + 100 * SQRT(POWER(startX - tblS[[#This Row],[X-Coordinates]], 2) + POWER(startY - tblS[[#This Row],[Y-Coordinates]], 2))</f>
        <v>1019.987562112089</v>
      </c>
      <c r="W21"/>
      <c r="AB21" s="8">
        <f>COUNTIFS(tblS[[#This Row],[Color1]:[Color9]],"r")</f>
        <v>4</v>
      </c>
      <c r="AF21" s="8" t="str">
        <v>Meuselwitz</v>
      </c>
      <c r="AG21" s="8" cm="1">
        <f t="array" ref="AG21">LEN(_xlfn.CONCAT(_xlfn._xlws.FILTER(tblS[Scarf Code],tblS[City]=AF21))) - LEN(SUBSTITUTE(_xlfn.CONCAT(_xlfn._xlws.FILTER(tblS[Scarf Code],tblS[City]=AF21)), "R",""))</f>
        <v>6</v>
      </c>
    </row>
    <row r="22" spans="2:33" s="8" customFormat="1" ht="20.100000000000001" customHeight="1">
      <c r="B22" s="12">
        <v>20</v>
      </c>
      <c r="C22" s="12" t="s">
        <v>306</v>
      </c>
      <c r="D22" s="12">
        <v>54</v>
      </c>
      <c r="E22" s="12">
        <v>23</v>
      </c>
      <c r="F22" s="85" t="s">
        <v>289</v>
      </c>
      <c r="G22" s="85" t="s">
        <v>289</v>
      </c>
      <c r="H22" s="82" t="s">
        <v>288</v>
      </c>
      <c r="I22" s="86" t="s">
        <v>293</v>
      </c>
      <c r="J22" s="82" t="s">
        <v>288</v>
      </c>
      <c r="K22" s="86" t="s">
        <v>293</v>
      </c>
      <c r="L22" s="82" t="s">
        <v>288</v>
      </c>
      <c r="M22" s="85" t="s">
        <v>289</v>
      </c>
      <c r="N22" s="85" t="s">
        <v>289</v>
      </c>
      <c r="O22" s="12" t="s">
        <v>51</v>
      </c>
      <c r="P22" s="92" cm="1">
        <f t="array" ref="P22">SUM(_xlfn.XLOOKUP(tblS[[#This Row],[Color1]:[Color9]],$S$3:$S$9,$U$3:$U$9)) + 200</f>
        <v>246</v>
      </c>
      <c r="Q22" s="92">
        <f>15 + 100 * SQRT(POWER(startX - tblS[[#This Row],[X-Coordinates]], 2) + POWER(startY - tblS[[#This Row],[Y-Coordinates]], 2))</f>
        <v>736.11025509279784</v>
      </c>
      <c r="W22"/>
      <c r="AB22" s="8">
        <f>COUNTIFS(tblS[[#This Row],[Color1]:[Color9]],"r")</f>
        <v>2</v>
      </c>
      <c r="AF22" s="8" t="str">
        <v>Braunschweig</v>
      </c>
      <c r="AG22" s="8" cm="1">
        <f t="array" ref="AG22">LEN(_xlfn.CONCAT(_xlfn._xlws.FILTER(tblS[Scarf Code],tblS[City]=AF22))) - LEN(SUBSTITUTE(_xlfn.CONCAT(_xlfn._xlws.FILTER(tblS[Scarf Code],tblS[City]=AF22)), "R",""))</f>
        <v>0</v>
      </c>
    </row>
    <row r="23" spans="2:33" s="8" customFormat="1" ht="20.100000000000001" customHeight="1">
      <c r="B23" s="12">
        <v>21</v>
      </c>
      <c r="C23" s="12" t="s">
        <v>307</v>
      </c>
      <c r="D23" s="12">
        <v>51</v>
      </c>
      <c r="E23" s="12">
        <v>23</v>
      </c>
      <c r="F23" s="86" t="s">
        <v>293</v>
      </c>
      <c r="G23" s="86" t="s">
        <v>293</v>
      </c>
      <c r="H23" s="86" t="s">
        <v>293</v>
      </c>
      <c r="I23" s="82" t="s">
        <v>288</v>
      </c>
      <c r="J23" s="86" t="s">
        <v>293</v>
      </c>
      <c r="K23" s="86" t="s">
        <v>293</v>
      </c>
      <c r="L23" s="82" t="s">
        <v>288</v>
      </c>
      <c r="M23" s="82" t="s">
        <v>288</v>
      </c>
      <c r="N23" s="86" t="s">
        <v>293</v>
      </c>
      <c r="O23" s="12" t="s">
        <v>186</v>
      </c>
      <c r="P23" s="92" cm="1">
        <f t="array" ref="P23">SUM(_xlfn.XLOOKUP(tblS[[#This Row],[Color1]:[Color9]],$S$3:$S$9,$U$3:$U$9)) + 200</f>
        <v>278</v>
      </c>
      <c r="Q23" s="92">
        <f>15 + 100 * SQRT(POWER(startX - tblS[[#This Row],[X-Coordinates]], 2) + POWER(startY - tblS[[#This Row],[Y-Coordinates]], 2))</f>
        <v>515</v>
      </c>
      <c r="W23"/>
      <c r="AB23" s="8">
        <f>COUNTIFS(tblS[[#This Row],[Color1]:[Color9]],"r")</f>
        <v>6</v>
      </c>
      <c r="AF23" s="8" t="str">
        <v>St. Gallen</v>
      </c>
      <c r="AG23" s="8" cm="1">
        <f t="array" ref="AG23">LEN(_xlfn.CONCAT(_xlfn._xlws.FILTER(tblS[Scarf Code],tblS[City]=AF23))) - LEN(SUBSTITUTE(_xlfn.CONCAT(_xlfn._xlws.FILTER(tblS[Scarf Code],tblS[City]=AF23)), "R",""))</f>
        <v>0</v>
      </c>
    </row>
    <row r="24" spans="2:33" s="8" customFormat="1" ht="20.100000000000001" customHeight="1">
      <c r="B24" s="12">
        <v>22</v>
      </c>
      <c r="C24" s="12" t="s">
        <v>308</v>
      </c>
      <c r="D24" s="12">
        <v>52</v>
      </c>
      <c r="E24" s="12">
        <v>21</v>
      </c>
      <c r="F24" s="85" t="s">
        <v>289</v>
      </c>
      <c r="G24" s="85" t="s">
        <v>289</v>
      </c>
      <c r="H24" s="85" t="s">
        <v>289</v>
      </c>
      <c r="I24" s="87" t="s">
        <v>294</v>
      </c>
      <c r="J24" s="87" t="s">
        <v>294</v>
      </c>
      <c r="K24" s="87" t="s">
        <v>294</v>
      </c>
      <c r="L24" s="85" t="s">
        <v>289</v>
      </c>
      <c r="M24" s="85" t="s">
        <v>289</v>
      </c>
      <c r="N24" s="85" t="s">
        <v>289</v>
      </c>
      <c r="O24" s="12" t="s">
        <v>90</v>
      </c>
      <c r="P24" s="92" cm="1">
        <f t="array" ref="P24">SUM(_xlfn.XLOOKUP(tblS[[#This Row],[Color1]:[Color9]],$S$3:$S$9,$U$3:$U$9)) + 200</f>
        <v>251</v>
      </c>
      <c r="Q24" s="92">
        <f>15 + 100 * SQRT(POWER(startX - tblS[[#This Row],[X-Coordinates]], 2) + POWER(startY - tblS[[#This Row],[Y-Coordinates]], 2))</f>
        <v>736.11025509279784</v>
      </c>
      <c r="W24"/>
      <c r="AB24" s="8">
        <f>COUNTIFS(tblS[[#This Row],[Color1]:[Color9]],"r")</f>
        <v>0</v>
      </c>
      <c r="AF24" s="8" t="str">
        <v>Basel</v>
      </c>
      <c r="AG24" s="8" cm="1">
        <f t="array" ref="AG24">LEN(_xlfn.CONCAT(_xlfn._xlws.FILTER(tblS[Scarf Code],tblS[City]=AF24))) - LEN(SUBSTITUTE(_xlfn.CONCAT(_xlfn._xlws.FILTER(tblS[Scarf Code],tblS[City]=AF24)), "R",""))</f>
        <v>6</v>
      </c>
    </row>
    <row r="25" spans="2:33" s="8" customFormat="1" ht="20.100000000000001" customHeight="1">
      <c r="B25" s="12">
        <v>23</v>
      </c>
      <c r="C25" s="12" t="s">
        <v>309</v>
      </c>
      <c r="D25" s="12">
        <v>47</v>
      </c>
      <c r="E25" s="12">
        <v>20</v>
      </c>
      <c r="F25" s="81" t="s">
        <v>287</v>
      </c>
      <c r="G25" s="82" t="s">
        <v>288</v>
      </c>
      <c r="H25" s="81" t="s">
        <v>287</v>
      </c>
      <c r="I25" s="82" t="s">
        <v>288</v>
      </c>
      <c r="J25" s="81" t="s">
        <v>287</v>
      </c>
      <c r="K25" s="82" t="s">
        <v>288</v>
      </c>
      <c r="L25" s="81" t="s">
        <v>287</v>
      </c>
      <c r="M25" s="82" t="s">
        <v>288</v>
      </c>
      <c r="N25" s="81" t="s">
        <v>287</v>
      </c>
      <c r="O25" s="12" t="s">
        <v>52</v>
      </c>
      <c r="P25" s="92" cm="1">
        <f t="array" ref="P25">SUM(_xlfn.XLOOKUP(tblS[[#This Row],[Color1]:[Color9]],$S$3:$S$9,$U$3:$U$9)) + 200</f>
        <v>228</v>
      </c>
      <c r="Q25" s="92">
        <f>15 + 100 * SQRT(POWER(startX - tblS[[#This Row],[X-Coordinates]], 2) + POWER(startY - tblS[[#This Row],[Y-Coordinates]], 2))</f>
        <v>722.10678118654755</v>
      </c>
      <c r="W25"/>
      <c r="AB25" s="8">
        <f>COUNTIFS(tblS[[#This Row],[Color1]:[Color9]],"r")</f>
        <v>0</v>
      </c>
      <c r="AF25" s="8" t="str">
        <v>Bern</v>
      </c>
      <c r="AG25" s="8" cm="1">
        <f t="array" ref="AG25">LEN(_xlfn.CONCAT(_xlfn._xlws.FILTER(tblS[Scarf Code],tblS[City]=AF25))) - LEN(SUBSTITUTE(_xlfn.CONCAT(_xlfn._xlws.FILTER(tblS[Scarf Code],tblS[City]=AF25)), "R",""))</f>
        <v>0</v>
      </c>
    </row>
    <row r="26" spans="2:33" s="8" customFormat="1" ht="20.100000000000001" customHeight="1">
      <c r="B26" s="12">
        <v>24</v>
      </c>
      <c r="C26" s="12" t="s">
        <v>310</v>
      </c>
      <c r="D26" s="12">
        <v>47</v>
      </c>
      <c r="E26" s="12">
        <v>18</v>
      </c>
      <c r="F26" s="86" t="s">
        <v>293</v>
      </c>
      <c r="G26" s="86" t="s">
        <v>293</v>
      </c>
      <c r="H26" s="86" t="s">
        <v>293</v>
      </c>
      <c r="I26" s="85" t="s">
        <v>289</v>
      </c>
      <c r="J26" s="85" t="s">
        <v>289</v>
      </c>
      <c r="K26" s="85" t="s">
        <v>289</v>
      </c>
      <c r="L26" s="86" t="s">
        <v>293</v>
      </c>
      <c r="M26" s="86" t="s">
        <v>293</v>
      </c>
      <c r="N26" s="86" t="s">
        <v>293</v>
      </c>
      <c r="O26" s="12" t="s">
        <v>49</v>
      </c>
      <c r="P26" s="92" cm="1">
        <f t="array" ref="P26">SUM(_xlfn.XLOOKUP(tblS[[#This Row],[Color1]:[Color9]],$S$3:$S$9,$U$3:$U$9)) + 200</f>
        <v>284</v>
      </c>
      <c r="Q26" s="92">
        <f>15 + 100 * SQRT(POWER(startX - tblS[[#This Row],[X-Coordinates]], 2) + POWER(startY - tblS[[#This Row],[Y-Coordinates]], 2))</f>
        <v>920.5385138137417</v>
      </c>
      <c r="W26"/>
      <c r="AB26" s="8">
        <f>COUNTIFS(tblS[[#This Row],[Color1]:[Color9]],"r")</f>
        <v>6</v>
      </c>
      <c r="AF26" s="8" t="str">
        <v>Luzern</v>
      </c>
      <c r="AG26" s="8" cm="1">
        <f t="array" ref="AG26">LEN(_xlfn.CONCAT(_xlfn._xlws.FILTER(tblS[Scarf Code],tblS[City]=AF26))) - LEN(SUBSTITUTE(_xlfn.CONCAT(_xlfn._xlws.FILTER(tblS[Scarf Code],tblS[City]=AF26)), "R",""))</f>
        <v>0</v>
      </c>
    </row>
    <row r="27" spans="2:33" s="8" customFormat="1" ht="20.100000000000001" customHeight="1">
      <c r="B27" s="12">
        <v>25</v>
      </c>
      <c r="C27" s="12" t="s">
        <v>311</v>
      </c>
      <c r="D27" s="12">
        <v>46</v>
      </c>
      <c r="E27" s="12">
        <v>18</v>
      </c>
      <c r="F27" s="87" t="s">
        <v>294</v>
      </c>
      <c r="G27" s="87" t="s">
        <v>294</v>
      </c>
      <c r="H27" s="87" t="s">
        <v>294</v>
      </c>
      <c r="I27" s="84" t="s">
        <v>291</v>
      </c>
      <c r="J27" s="84" t="s">
        <v>291</v>
      </c>
      <c r="K27" s="84" t="s">
        <v>291</v>
      </c>
      <c r="L27" s="87" t="s">
        <v>294</v>
      </c>
      <c r="M27" s="87" t="s">
        <v>294</v>
      </c>
      <c r="N27" s="87" t="s">
        <v>294</v>
      </c>
      <c r="O27" s="12" t="s">
        <v>97</v>
      </c>
      <c r="P27" s="92" cm="1">
        <f t="array" ref="P27">SUM(_xlfn.XLOOKUP(tblS[[#This Row],[Color1]:[Color9]],$S$3:$S$9,$U$3:$U$9)) + 200</f>
        <v>260</v>
      </c>
      <c r="Q27" s="92">
        <f>15 + 100 * SQRT(POWER(startX - tblS[[#This Row],[X-Coordinates]], 2) + POWER(startY - tblS[[#This Row],[Y-Coordinates]], 2))</f>
        <v>936.95444572928875</v>
      </c>
      <c r="W27"/>
      <c r="AB27" s="8">
        <f>COUNTIFS(tblS[[#This Row],[Color1]:[Color9]],"r")</f>
        <v>0</v>
      </c>
      <c r="AF27" s="8" t="str">
        <v>Zurich</v>
      </c>
      <c r="AG27" s="8" cm="1">
        <f t="array" ref="AG27">LEN(_xlfn.CONCAT(_xlfn._xlws.FILTER(tblS[Scarf Code],tblS[City]=AF27))) - LEN(SUBSTITUTE(_xlfn.CONCAT(_xlfn._xlws.FILTER(tblS[Scarf Code],tblS[City]=AF27)), "R",""))</f>
        <v>0</v>
      </c>
    </row>
    <row r="28" spans="2:33" s="8" customFormat="1" ht="20.100000000000001" customHeight="1">
      <c r="B28" s="12">
        <v>26</v>
      </c>
      <c r="C28" s="12" t="s">
        <v>312</v>
      </c>
      <c r="D28" s="12">
        <v>47</v>
      </c>
      <c r="E28" s="12">
        <v>17</v>
      </c>
      <c r="F28" s="85" t="s">
        <v>289</v>
      </c>
      <c r="G28" s="82" t="s">
        <v>288</v>
      </c>
      <c r="H28" s="85" t="s">
        <v>289</v>
      </c>
      <c r="I28" s="85" t="s">
        <v>289</v>
      </c>
      <c r="J28" s="85" t="s">
        <v>289</v>
      </c>
      <c r="K28" s="85" t="s">
        <v>289</v>
      </c>
      <c r="L28" s="85" t="s">
        <v>289</v>
      </c>
      <c r="M28" s="82" t="s">
        <v>288</v>
      </c>
      <c r="N28" s="85" t="s">
        <v>289</v>
      </c>
      <c r="O28" s="12" t="s">
        <v>173</v>
      </c>
      <c r="P28" s="92" cm="1">
        <f t="array" ref="P28">SUM(_xlfn.XLOOKUP(tblS[[#This Row],[Color1]:[Color9]],$S$3:$S$9,$U$3:$U$9)) + 200</f>
        <v>232</v>
      </c>
      <c r="Q28" s="92">
        <f>15 + 100 * SQRT(POWER(startX - tblS[[#This Row],[X-Coordinates]], 2) + POWER(startY - tblS[[#This Row],[Y-Coordinates]], 2))</f>
        <v>1019.987562112089</v>
      </c>
      <c r="W28"/>
      <c r="AB28" s="8">
        <f>COUNTIFS(tblS[[#This Row],[Color1]:[Color9]],"r")</f>
        <v>0</v>
      </c>
      <c r="AF28" s="8" t="str">
        <v>Marseille</v>
      </c>
      <c r="AG28" s="8" cm="1">
        <f t="array" ref="AG28">LEN(_xlfn.CONCAT(_xlfn._xlws.FILTER(tblS[Scarf Code],tblS[City]=AF28))) - LEN(SUBSTITUTE(_xlfn.CONCAT(_xlfn._xlws.FILTER(tblS[Scarf Code],tblS[City]=AF28)), "R",""))</f>
        <v>0</v>
      </c>
    </row>
    <row r="29" spans="2:33" s="8" customFormat="1" ht="20.100000000000001" customHeight="1">
      <c r="B29" s="12">
        <v>27</v>
      </c>
      <c r="C29" s="12" t="s">
        <v>313</v>
      </c>
      <c r="D29" s="12">
        <v>47</v>
      </c>
      <c r="E29" s="12">
        <v>19</v>
      </c>
      <c r="F29" s="82" t="s">
        <v>288</v>
      </c>
      <c r="G29" s="82" t="s">
        <v>288</v>
      </c>
      <c r="H29" s="85" t="s">
        <v>289</v>
      </c>
      <c r="I29" s="85" t="s">
        <v>289</v>
      </c>
      <c r="J29" s="85" t="s">
        <v>289</v>
      </c>
      <c r="K29" s="85" t="s">
        <v>289</v>
      </c>
      <c r="L29" s="85" t="s">
        <v>289</v>
      </c>
      <c r="M29" s="82" t="s">
        <v>288</v>
      </c>
      <c r="N29" s="82" t="s">
        <v>288</v>
      </c>
      <c r="O29" s="12" t="s">
        <v>248</v>
      </c>
      <c r="P29" s="92" cm="1">
        <f t="array" ref="P29">SUM(_xlfn.XLOOKUP(tblS[[#This Row],[Color1]:[Color9]],$S$3:$S$9,$U$3:$U$9)) + 200</f>
        <v>228</v>
      </c>
      <c r="Q29" s="92">
        <f>15 + 100 * SQRT(POWER(startX - tblS[[#This Row],[X-Coordinates]], 2) + POWER(startY - tblS[[#This Row],[Y-Coordinates]], 2))</f>
        <v>821.22577482985491</v>
      </c>
      <c r="W29"/>
      <c r="AB29" s="8">
        <f>COUNTIFS(tblS[[#This Row],[Color1]:[Color9]],"r")</f>
        <v>0</v>
      </c>
      <c r="AF29" s="8" t="str">
        <v>Lyon</v>
      </c>
      <c r="AG29" s="8" cm="1">
        <f t="array" ref="AG29">LEN(_xlfn.CONCAT(_xlfn._xlws.FILTER(tblS[Scarf Code],tblS[City]=AF29))) - LEN(SUBSTITUTE(_xlfn.CONCAT(_xlfn._xlws.FILTER(tblS[Scarf Code],tblS[City]=AF29)), "R",""))</f>
        <v>2</v>
      </c>
    </row>
    <row r="30" spans="2:33" s="8" customFormat="1" ht="20.100000000000001" customHeight="1">
      <c r="B30" s="12">
        <v>28</v>
      </c>
      <c r="C30" s="12" t="s">
        <v>314</v>
      </c>
      <c r="D30" s="12">
        <v>43</v>
      </c>
      <c r="E30" s="12">
        <v>16</v>
      </c>
      <c r="F30" s="82" t="s">
        <v>288</v>
      </c>
      <c r="G30" s="87" t="s">
        <v>294</v>
      </c>
      <c r="H30" s="85" t="s">
        <v>289</v>
      </c>
      <c r="I30" s="82" t="s">
        <v>288</v>
      </c>
      <c r="J30" s="82" t="s">
        <v>288</v>
      </c>
      <c r="K30" s="82" t="s">
        <v>288</v>
      </c>
      <c r="L30" s="85" t="s">
        <v>289</v>
      </c>
      <c r="M30" s="87" t="s">
        <v>294</v>
      </c>
      <c r="N30" s="82" t="s">
        <v>288</v>
      </c>
      <c r="O30" s="12" t="s">
        <v>245</v>
      </c>
      <c r="P30" s="92" cm="1">
        <f t="array" ref="P30">SUM(_xlfn.XLOOKUP(tblS[[#This Row],[Color1]:[Color9]],$S$3:$S$9,$U$3:$U$9)) + 200</f>
        <v>236</v>
      </c>
      <c r="Q30" s="92">
        <f>15 + 100 * SQRT(POWER(startX - tblS[[#This Row],[X-Coordinates]], 2) + POWER(startY - tblS[[#This Row],[Y-Coordinates]], 2))</f>
        <v>1223.3045973594571</v>
      </c>
      <c r="W30"/>
      <c r="AB30" s="8">
        <f>COUNTIFS(tblS[[#This Row],[Color1]:[Color9]],"r")</f>
        <v>0</v>
      </c>
      <c r="AF30" s="8" t="str">
        <v>Nice</v>
      </c>
      <c r="AG30" s="8" cm="1">
        <f t="array" ref="AG30">LEN(_xlfn.CONCAT(_xlfn._xlws.FILTER(tblS[Scarf Code],tblS[City]=AF30))) - LEN(SUBSTITUTE(_xlfn.CONCAT(_xlfn._xlws.FILTER(tblS[Scarf Code],tblS[City]=AF30)), "R",""))</f>
        <v>4</v>
      </c>
    </row>
    <row r="31" spans="2:33" s="8" customFormat="1" ht="20.100000000000001" customHeight="1">
      <c r="B31" s="12">
        <v>29</v>
      </c>
      <c r="C31" s="12" t="s">
        <v>315</v>
      </c>
      <c r="D31" s="12">
        <v>45</v>
      </c>
      <c r="E31" s="12">
        <v>16</v>
      </c>
      <c r="F31" s="86" t="s">
        <v>293</v>
      </c>
      <c r="G31" s="82" t="s">
        <v>288</v>
      </c>
      <c r="H31" s="85" t="s">
        <v>289</v>
      </c>
      <c r="I31" s="85" t="s">
        <v>289</v>
      </c>
      <c r="J31" s="85" t="s">
        <v>289</v>
      </c>
      <c r="K31" s="85" t="s">
        <v>289</v>
      </c>
      <c r="L31" s="85" t="s">
        <v>289</v>
      </c>
      <c r="M31" s="82" t="s">
        <v>288</v>
      </c>
      <c r="N31" s="86" t="s">
        <v>293</v>
      </c>
      <c r="O31" s="12" t="s">
        <v>178</v>
      </c>
      <c r="P31" s="92" cm="1">
        <f t="array" ref="P31">SUM(_xlfn.XLOOKUP(tblS[[#This Row],[Color1]:[Color9]],$S$3:$S$9,$U$3:$U$9)) + 200</f>
        <v>248</v>
      </c>
      <c r="Q31" s="92">
        <f>15 + 100 * SQRT(POWER(startX - tblS[[#This Row],[X-Coordinates]], 2) + POWER(startY - tblS[[#This Row],[Y-Coordinates]], 2))</f>
        <v>1155.175425099138</v>
      </c>
      <c r="W31"/>
      <c r="AB31" s="8">
        <f>COUNTIFS(tblS[[#This Row],[Color1]:[Color9]],"r")</f>
        <v>2</v>
      </c>
      <c r="AF31" s="8" t="str">
        <v>St. Etienne</v>
      </c>
      <c r="AG31" s="8" cm="1">
        <f t="array" ref="AG31">LEN(_xlfn.CONCAT(_xlfn._xlws.FILTER(tblS[Scarf Code],tblS[City]=AF31))) - LEN(SUBSTITUTE(_xlfn.CONCAT(_xlfn._xlws.FILTER(tblS[Scarf Code],tblS[City]=AF31)), "R",""))</f>
        <v>0</v>
      </c>
    </row>
    <row r="32" spans="2:33" s="8" customFormat="1" ht="20.100000000000001" customHeight="1">
      <c r="B32" s="12">
        <v>30</v>
      </c>
      <c r="C32" s="12" t="s">
        <v>316</v>
      </c>
      <c r="D32" s="12">
        <v>43</v>
      </c>
      <c r="E32" s="12">
        <v>18</v>
      </c>
      <c r="F32" s="84" t="s">
        <v>291</v>
      </c>
      <c r="G32" s="86" t="s">
        <v>293</v>
      </c>
      <c r="H32" s="84" t="s">
        <v>291</v>
      </c>
      <c r="I32" s="86" t="s">
        <v>293</v>
      </c>
      <c r="J32" s="84" t="s">
        <v>291</v>
      </c>
      <c r="K32" s="86" t="s">
        <v>293</v>
      </c>
      <c r="L32" s="84" t="s">
        <v>291</v>
      </c>
      <c r="M32" s="86" t="s">
        <v>293</v>
      </c>
      <c r="N32" s="84" t="s">
        <v>291</v>
      </c>
      <c r="O32" s="12" t="s">
        <v>317</v>
      </c>
      <c r="P32" s="92" cm="1">
        <f t="array" ref="P32">SUM(_xlfn.XLOOKUP(tblS[[#This Row],[Color1]:[Color9]],$S$3:$S$9,$U$3:$U$9)) + 200</f>
        <v>258</v>
      </c>
      <c r="Q32" s="92">
        <f>15 + 100 * SQRT(POWER(startX - tblS[[#This Row],[X-Coordinates]], 2) + POWER(startY - tblS[[#This Row],[Y-Coordinates]], 2))</f>
        <v>1044.5630140987</v>
      </c>
      <c r="W32"/>
      <c r="AB32" s="8">
        <f>COUNTIFS(tblS[[#This Row],[Color1]:[Color9]],"r")</f>
        <v>4</v>
      </c>
      <c r="AF32" s="8" t="str">
        <v>Bordeaux</v>
      </c>
      <c r="AG32" s="8" cm="1">
        <f t="array" ref="AG32">LEN(_xlfn.CONCAT(_xlfn._xlws.FILTER(tblS[Scarf Code],tblS[City]=AF32))) - LEN(SUBSTITUTE(_xlfn.CONCAT(_xlfn._xlws.FILTER(tblS[Scarf Code],tblS[City]=AF32)), "R",""))</f>
        <v>0</v>
      </c>
    </row>
    <row r="33" spans="2:33" s="8" customFormat="1" ht="20.100000000000001" customHeight="1">
      <c r="B33" s="12">
        <v>31</v>
      </c>
      <c r="C33" s="12" t="s">
        <v>318</v>
      </c>
      <c r="D33" s="12">
        <v>45</v>
      </c>
      <c r="E33" s="12">
        <v>15</v>
      </c>
      <c r="F33" s="82" t="s">
        <v>288</v>
      </c>
      <c r="G33" s="81" t="s">
        <v>287</v>
      </c>
      <c r="H33" s="81" t="s">
        <v>287</v>
      </c>
      <c r="I33" s="81" t="s">
        <v>287</v>
      </c>
      <c r="J33" s="81" t="s">
        <v>287</v>
      </c>
      <c r="K33" s="81" t="s">
        <v>287</v>
      </c>
      <c r="L33" s="81" t="s">
        <v>287</v>
      </c>
      <c r="M33" s="81" t="s">
        <v>287</v>
      </c>
      <c r="N33" s="82" t="s">
        <v>288</v>
      </c>
      <c r="O33" s="12" t="s">
        <v>249</v>
      </c>
      <c r="P33" s="92" cm="1">
        <f t="array" ref="P33">SUM(_xlfn.XLOOKUP(tblS[[#This Row],[Color1]:[Color9]],$S$3:$S$9,$U$3:$U$9)) + 200</f>
        <v>232</v>
      </c>
      <c r="Q33" s="92">
        <f>15 + 100 * SQRT(POWER(startX - tblS[[#This Row],[X-Coordinates]], 2) + POWER(startY - tblS[[#This Row],[Y-Coordinates]], 2))</f>
        <v>1251.9316876852981</v>
      </c>
      <c r="W33"/>
      <c r="AB33" s="8">
        <f>COUNTIFS(tblS[[#This Row],[Color1]:[Color9]],"r")</f>
        <v>0</v>
      </c>
      <c r="AF33" s="8" t="str">
        <v>Lens</v>
      </c>
      <c r="AG33" s="8" cm="1">
        <f t="array" ref="AG33">LEN(_xlfn.CONCAT(_xlfn._xlws.FILTER(tblS[Scarf Code],tblS[City]=AF33))) - LEN(SUBSTITUTE(_xlfn.CONCAT(_xlfn._xlws.FILTER(tblS[Scarf Code],tblS[City]=AF33)), "R",""))</f>
        <v>7</v>
      </c>
    </row>
    <row r="34" spans="2:33" s="8" customFormat="1" ht="20.100000000000001" customHeight="1">
      <c r="B34" s="12">
        <v>32</v>
      </c>
      <c r="C34" s="12" t="s">
        <v>319</v>
      </c>
      <c r="D34" s="12">
        <v>44</v>
      </c>
      <c r="E34" s="12">
        <v>10</v>
      </c>
      <c r="F34" s="85" t="s">
        <v>289</v>
      </c>
      <c r="G34" s="82" t="s">
        <v>288</v>
      </c>
      <c r="H34" s="82" t="s">
        <v>288</v>
      </c>
      <c r="I34" s="85" t="s">
        <v>289</v>
      </c>
      <c r="J34" s="85" t="s">
        <v>289</v>
      </c>
      <c r="K34" s="85" t="s">
        <v>289</v>
      </c>
      <c r="L34" s="82" t="s">
        <v>288</v>
      </c>
      <c r="M34" s="82" t="s">
        <v>288</v>
      </c>
      <c r="N34" s="85" t="s">
        <v>289</v>
      </c>
      <c r="O34" s="12" t="s">
        <v>255</v>
      </c>
      <c r="P34" s="92" cm="1">
        <f t="array" ref="P34">SUM(_xlfn.XLOOKUP(tblS[[#This Row],[Color1]:[Color9]],$S$3:$S$9,$U$3:$U$9)) + 200</f>
        <v>228</v>
      </c>
      <c r="Q34" s="92">
        <f>15 + 100 * SQRT(POWER(startX - tblS[[#This Row],[X-Coordinates]], 2) + POWER(startY - tblS[[#This Row],[Y-Coordinates]], 2))</f>
        <v>1761.4249196572978</v>
      </c>
      <c r="W34"/>
      <c r="AB34" s="8">
        <f>COUNTIFS(tblS[[#This Row],[Color1]:[Color9]],"r")</f>
        <v>0</v>
      </c>
      <c r="AF34" s="8" t="str">
        <v>Rennes</v>
      </c>
      <c r="AG34" s="8" cm="1">
        <f t="array" ref="AG34">LEN(_xlfn.CONCAT(_xlfn._xlws.FILTER(tblS[Scarf Code],tblS[City]=AF34))) - LEN(SUBSTITUTE(_xlfn.CONCAT(_xlfn._xlws.FILTER(tblS[Scarf Code],tblS[City]=AF34)), "R",""))</f>
        <v>5</v>
      </c>
    </row>
    <row r="35" spans="2:33" s="8" customFormat="1" ht="20.100000000000001" customHeight="1">
      <c r="B35" s="12">
        <v>33</v>
      </c>
      <c r="C35" s="12" t="s">
        <v>320</v>
      </c>
      <c r="D35" s="12">
        <v>50</v>
      </c>
      <c r="E35" s="12">
        <v>13</v>
      </c>
      <c r="F35" s="86" t="s">
        <v>293</v>
      </c>
      <c r="G35" s="87" t="s">
        <v>294</v>
      </c>
      <c r="H35" s="86" t="s">
        <v>293</v>
      </c>
      <c r="I35" s="86" t="s">
        <v>293</v>
      </c>
      <c r="J35" s="86" t="s">
        <v>293</v>
      </c>
      <c r="K35" s="86" t="s">
        <v>293</v>
      </c>
      <c r="L35" s="86" t="s">
        <v>293</v>
      </c>
      <c r="M35" s="87" t="s">
        <v>294</v>
      </c>
      <c r="N35" s="86" t="s">
        <v>293</v>
      </c>
      <c r="O35" s="12" t="s">
        <v>54</v>
      </c>
      <c r="P35" s="92" cm="1">
        <f t="array" ref="P35">SUM(_xlfn.XLOOKUP(tblS[[#This Row],[Color1]:[Color9]],$S$3:$S$9,$U$3:$U$9)) + 200</f>
        <v>302</v>
      </c>
      <c r="Q35" s="92">
        <f>15 + 100 * SQRT(POWER(startX - tblS[[#This Row],[X-Coordinates]], 2) + POWER(startY - tblS[[#This Row],[Y-Coordinates]], 2))</f>
        <v>1429.2135623730951</v>
      </c>
      <c r="W35"/>
      <c r="AB35" s="8">
        <f>COUNTIFS(tblS[[#This Row],[Color1]:[Color9]],"r")</f>
        <v>7</v>
      </c>
      <c r="AF35" s="8" t="str">
        <v>Nantes</v>
      </c>
      <c r="AG35" s="8" cm="1">
        <f t="array" ref="AG35">LEN(_xlfn.CONCAT(_xlfn._xlws.FILTER(tblS[Scarf Code],tblS[City]=AF35))) - LEN(SUBSTITUTE(_xlfn.CONCAT(_xlfn._xlws.FILTER(tblS[Scarf Code],tblS[City]=AF35)), "R",""))</f>
        <v>0</v>
      </c>
    </row>
    <row r="36" spans="2:33" s="8" customFormat="1" ht="20.100000000000001" customHeight="1">
      <c r="B36" s="12">
        <v>34</v>
      </c>
      <c r="C36" s="12" t="s">
        <v>321</v>
      </c>
      <c r="D36" s="12">
        <v>48</v>
      </c>
      <c r="E36" s="12">
        <v>9</v>
      </c>
      <c r="F36" s="86" t="s">
        <v>293</v>
      </c>
      <c r="G36" s="84" t="s">
        <v>291</v>
      </c>
      <c r="H36" s="84" t="s">
        <v>291</v>
      </c>
      <c r="I36" s="86" t="s">
        <v>293</v>
      </c>
      <c r="J36" s="86" t="s">
        <v>293</v>
      </c>
      <c r="K36" s="86" t="s">
        <v>293</v>
      </c>
      <c r="L36" s="84" t="s">
        <v>291</v>
      </c>
      <c r="M36" s="84" t="s">
        <v>291</v>
      </c>
      <c r="N36" s="86" t="s">
        <v>293</v>
      </c>
      <c r="O36" s="12" t="s">
        <v>94</v>
      </c>
      <c r="P36" s="92" cm="1">
        <f t="array" ref="P36">SUM(_xlfn.XLOOKUP(tblS[[#This Row],[Color1]:[Color9]],$S$3:$S$9,$U$3:$U$9)) + 200</f>
        <v>268</v>
      </c>
      <c r="Q36" s="92">
        <f>15 + 100 * SQRT(POWER(startX - tblS[[#This Row],[X-Coordinates]], 2) + POWER(startY - tblS[[#This Row],[Y-Coordinates]], 2))</f>
        <v>1815</v>
      </c>
      <c r="W36"/>
      <c r="AB36" s="8">
        <f>COUNTIFS(tblS[[#This Row],[Color1]:[Color9]],"r")</f>
        <v>5</v>
      </c>
      <c r="AF36" s="8" t="str">
        <v>Barcelona</v>
      </c>
      <c r="AG36" s="8" cm="1">
        <f t="array" ref="AG36">LEN(_xlfn.CONCAT(_xlfn._xlws.FILTER(tblS[Scarf Code],tblS[City]=AF36))) - LEN(SUBSTITUTE(_xlfn.CONCAT(_xlfn._xlws.FILTER(tblS[Scarf Code],tblS[City]=AF36)), "R",""))</f>
        <v>5</v>
      </c>
    </row>
    <row r="37" spans="2:33" s="8" customFormat="1" ht="20.100000000000001" customHeight="1">
      <c r="B37" s="12">
        <v>35</v>
      </c>
      <c r="C37" s="12" t="s">
        <v>322</v>
      </c>
      <c r="D37" s="12">
        <v>47</v>
      </c>
      <c r="E37" s="12">
        <v>9</v>
      </c>
      <c r="F37" s="87" t="s">
        <v>294</v>
      </c>
      <c r="G37" s="81" t="s">
        <v>287</v>
      </c>
      <c r="H37" s="87" t="s">
        <v>294</v>
      </c>
      <c r="I37" s="87" t="s">
        <v>294</v>
      </c>
      <c r="J37" s="81" t="s">
        <v>287</v>
      </c>
      <c r="K37" s="87" t="s">
        <v>294</v>
      </c>
      <c r="L37" s="87" t="s">
        <v>294</v>
      </c>
      <c r="M37" s="81" t="s">
        <v>287</v>
      </c>
      <c r="N37" s="87" t="s">
        <v>294</v>
      </c>
      <c r="O37" s="12" t="s">
        <v>323</v>
      </c>
      <c r="P37" s="92" cm="1">
        <f t="array" ref="P37">SUM(_xlfn.XLOOKUP(tblS[[#This Row],[Color1]:[Color9]],$S$3:$S$9,$U$3:$U$9)) + 200</f>
        <v>266</v>
      </c>
      <c r="Q37" s="92">
        <f>15 + 100 * SQRT(POWER(startX - tblS[[#This Row],[X-Coordinates]], 2) + POWER(startY - tblS[[#This Row],[Y-Coordinates]], 2))</f>
        <v>1817.7756377319947</v>
      </c>
      <c r="W37"/>
      <c r="AB37" s="8">
        <f>COUNTIFS(tblS[[#This Row],[Color1]:[Color9]],"r")</f>
        <v>0</v>
      </c>
      <c r="AF37" s="8" t="str">
        <v>Madrid</v>
      </c>
      <c r="AG37" s="8" cm="1">
        <f t="array" ref="AG37">LEN(_xlfn.CONCAT(_xlfn._xlws.FILTER(tblS[Scarf Code],tblS[City]=AF37))) - LEN(SUBSTITUTE(_xlfn.CONCAT(_xlfn._xlws.FILTER(tblS[Scarf Code],tblS[City]=AF37)), "R",""))</f>
        <v>3</v>
      </c>
    </row>
    <row r="38" spans="2:33" s="8" customFormat="1" ht="20.100000000000001" customHeight="1">
      <c r="B38" s="12">
        <v>36</v>
      </c>
      <c r="C38" s="12" t="s">
        <v>324</v>
      </c>
      <c r="D38" s="12">
        <v>41</v>
      </c>
      <c r="E38" s="12">
        <v>13</v>
      </c>
      <c r="F38" s="86" t="s">
        <v>293</v>
      </c>
      <c r="G38" s="85" t="s">
        <v>289</v>
      </c>
      <c r="H38" s="86" t="s">
        <v>293</v>
      </c>
      <c r="I38" s="85" t="s">
        <v>289</v>
      </c>
      <c r="J38" s="86" t="s">
        <v>293</v>
      </c>
      <c r="K38" s="85" t="s">
        <v>289</v>
      </c>
      <c r="L38" s="86" t="s">
        <v>293</v>
      </c>
      <c r="M38" s="85" t="s">
        <v>289</v>
      </c>
      <c r="N38" s="86" t="s">
        <v>293</v>
      </c>
      <c r="O38" s="12" t="s">
        <v>325</v>
      </c>
      <c r="P38" s="92" cm="1">
        <f t="array" ref="P38">SUM(_xlfn.XLOOKUP(tblS[[#This Row],[Color1]:[Color9]],$S$3:$S$9,$U$3:$U$9)) + 200</f>
        <v>276</v>
      </c>
      <c r="Q38" s="92">
        <f>15 + 100 * SQRT(POWER(startX - tblS[[#This Row],[X-Coordinates]], 2) + POWER(startY - tblS[[#This Row],[Y-Coordinates]], 2))</f>
        <v>1580.2475842498529</v>
      </c>
      <c r="W38"/>
      <c r="AB38" s="8">
        <f>COUNTIFS(tblS[[#This Row],[Color1]:[Color9]],"r")</f>
        <v>5</v>
      </c>
      <c r="AF38" s="8" t="str">
        <v>Bilbao</v>
      </c>
      <c r="AG38" s="8" cm="1">
        <f t="array" ref="AG38">LEN(_xlfn.CONCAT(_xlfn._xlws.FILTER(tblS[Scarf Code],tblS[City]=AF38))) - LEN(SUBSTITUTE(_xlfn.CONCAT(_xlfn._xlws.FILTER(tblS[Scarf Code],tblS[City]=AF38)), "R",""))</f>
        <v>7</v>
      </c>
    </row>
    <row r="39" spans="2:33" s="8" customFormat="1" ht="20.100000000000001" customHeight="1">
      <c r="B39" s="12">
        <v>37</v>
      </c>
      <c r="C39" s="12" t="s">
        <v>215</v>
      </c>
      <c r="D39" s="12">
        <v>40</v>
      </c>
      <c r="E39" s="12">
        <v>7</v>
      </c>
      <c r="F39" s="84" t="s">
        <v>291</v>
      </c>
      <c r="G39" s="87" t="s">
        <v>294</v>
      </c>
      <c r="H39" s="82" t="s">
        <v>288</v>
      </c>
      <c r="I39" s="82" t="s">
        <v>288</v>
      </c>
      <c r="J39" s="82" t="s">
        <v>288</v>
      </c>
      <c r="K39" s="82" t="s">
        <v>288</v>
      </c>
      <c r="L39" s="82" t="s">
        <v>288</v>
      </c>
      <c r="M39" s="87" t="s">
        <v>294</v>
      </c>
      <c r="N39" s="84" t="s">
        <v>291</v>
      </c>
      <c r="O39" s="12" t="s">
        <v>136</v>
      </c>
      <c r="P39" s="92" cm="1">
        <f t="array" ref="P39">SUM(_xlfn.XLOOKUP(tblS[[#This Row],[Color1]:[Color9]],$S$3:$S$9,$U$3:$U$9)) + 200</f>
        <v>232</v>
      </c>
      <c r="Q39" s="92">
        <f>15 + 100 * SQRT(POWER(startX - tblS[[#This Row],[X-Coordinates]], 2) + POWER(startY - tblS[[#This Row],[Y-Coordinates]], 2))</f>
        <v>2169.0659228538016</v>
      </c>
      <c r="W39"/>
      <c r="AB39" s="8">
        <f>COUNTIFS(tblS[[#This Row],[Color1]:[Color9]],"r")</f>
        <v>0</v>
      </c>
      <c r="AF39" s="8" t="str">
        <v>Sociedad</v>
      </c>
      <c r="AG39" s="8" cm="1">
        <f t="array" ref="AG39">LEN(_xlfn.CONCAT(_xlfn._xlws.FILTER(tblS[Scarf Code],tblS[City]=AF39))) - LEN(SUBSTITUTE(_xlfn.CONCAT(_xlfn._xlws.FILTER(tblS[Scarf Code],tblS[City]=AF39)), "R",""))</f>
        <v>0</v>
      </c>
    </row>
    <row r="40" spans="2:33" s="8" customFormat="1" ht="20.100000000000001" customHeight="1">
      <c r="B40" s="12">
        <v>38</v>
      </c>
      <c r="C40" s="12" t="s">
        <v>215</v>
      </c>
      <c r="D40" s="12">
        <v>40</v>
      </c>
      <c r="E40" s="12">
        <v>7</v>
      </c>
      <c r="F40" s="86" t="s">
        <v>293</v>
      </c>
      <c r="G40" s="85" t="s">
        <v>289</v>
      </c>
      <c r="H40" s="82" t="s">
        <v>288</v>
      </c>
      <c r="I40" s="86" t="s">
        <v>293</v>
      </c>
      <c r="J40" s="85" t="s">
        <v>289</v>
      </c>
      <c r="K40" s="82" t="s">
        <v>288</v>
      </c>
      <c r="L40" s="86" t="s">
        <v>293</v>
      </c>
      <c r="M40" s="85" t="s">
        <v>289</v>
      </c>
      <c r="N40" s="82" t="s">
        <v>288</v>
      </c>
      <c r="O40" s="12" t="s">
        <v>62</v>
      </c>
      <c r="P40" s="92" cm="1">
        <f t="array" ref="P40">SUM(_xlfn.XLOOKUP(tblS[[#This Row],[Color1]:[Color9]],$S$3:$S$9,$U$3:$U$9)) + 200</f>
        <v>254</v>
      </c>
      <c r="Q40" s="92">
        <f>15 + 100 * SQRT(POWER(startX - tblS[[#This Row],[X-Coordinates]], 2) + POWER(startY - tblS[[#This Row],[Y-Coordinates]], 2))</f>
        <v>2169.0659228538016</v>
      </c>
      <c r="W40"/>
      <c r="AB40" s="8">
        <f>COUNTIFS(tblS[[#This Row],[Color1]:[Color9]],"r")</f>
        <v>3</v>
      </c>
      <c r="AF40" s="8" t="str">
        <v>Sevilla</v>
      </c>
      <c r="AG40" s="8" cm="1">
        <f t="array" ref="AG40">LEN(_xlfn.CONCAT(_xlfn._xlws.FILTER(tblS[Scarf Code],tblS[City]=AF40))) - LEN(SUBSTITUTE(_xlfn.CONCAT(_xlfn._xlws.FILTER(tblS[Scarf Code],tblS[City]=AF40)), "R",""))</f>
        <v>5</v>
      </c>
    </row>
    <row r="41" spans="2:33" s="8" customFormat="1" ht="20.100000000000001" customHeight="1">
      <c r="B41" s="12">
        <v>39</v>
      </c>
      <c r="C41" s="12" t="s">
        <v>326</v>
      </c>
      <c r="D41" s="12">
        <v>43</v>
      </c>
      <c r="E41" s="12">
        <v>8</v>
      </c>
      <c r="F41" s="86" t="s">
        <v>293</v>
      </c>
      <c r="G41" s="82" t="s">
        <v>288</v>
      </c>
      <c r="H41" s="86" t="s">
        <v>293</v>
      </c>
      <c r="I41" s="86" t="s">
        <v>293</v>
      </c>
      <c r="J41" s="86" t="s">
        <v>293</v>
      </c>
      <c r="K41" s="86" t="s">
        <v>293</v>
      </c>
      <c r="L41" s="86" t="s">
        <v>293</v>
      </c>
      <c r="M41" s="82" t="s">
        <v>288</v>
      </c>
      <c r="N41" s="86" t="s">
        <v>293</v>
      </c>
      <c r="O41" s="12" t="s">
        <v>57</v>
      </c>
      <c r="P41" s="92" cm="1">
        <f t="array" ref="P41">SUM(_xlfn.XLOOKUP(tblS[[#This Row],[Color1]:[Color9]],$S$3:$S$9,$U$3:$U$9)) + 200</f>
        <v>288</v>
      </c>
      <c r="Q41" s="92">
        <f>15 + 100 * SQRT(POWER(startX - tblS[[#This Row],[X-Coordinates]], 2) + POWER(startY - tblS[[#This Row],[Y-Coordinates]], 2))</f>
        <v>1979.6882704388499</v>
      </c>
      <c r="W41"/>
      <c r="AB41" s="8">
        <f>COUNTIFS(tblS[[#This Row],[Color1]:[Color9]],"r")</f>
        <v>7</v>
      </c>
      <c r="AF41" s="8" t="str">
        <v>Valencia</v>
      </c>
      <c r="AG41" s="8" cm="1">
        <f t="array" ref="AG41">LEN(_xlfn.CONCAT(_xlfn._xlws.FILTER(tblS[Scarf Code],tblS[City]=AF41))) - LEN(SUBSTITUTE(_xlfn.CONCAT(_xlfn._xlws.FILTER(tblS[Scarf Code],tblS[City]=AF41)), "R",""))</f>
        <v>0</v>
      </c>
    </row>
    <row r="42" spans="2:33" s="8" customFormat="1" ht="20.100000000000001" customHeight="1">
      <c r="B42" s="12">
        <v>40</v>
      </c>
      <c r="C42" s="12" t="s">
        <v>327</v>
      </c>
      <c r="D42" s="12">
        <v>43</v>
      </c>
      <c r="E42" s="12">
        <v>9</v>
      </c>
      <c r="F42" s="85" t="s">
        <v>289</v>
      </c>
      <c r="G42" s="82" t="s">
        <v>288</v>
      </c>
      <c r="H42" s="82" t="s">
        <v>288</v>
      </c>
      <c r="I42" s="82" t="s">
        <v>288</v>
      </c>
      <c r="J42" s="82" t="s">
        <v>288</v>
      </c>
      <c r="K42" s="82" t="s">
        <v>288</v>
      </c>
      <c r="L42" s="82" t="s">
        <v>288</v>
      </c>
      <c r="M42" s="82" t="s">
        <v>288</v>
      </c>
      <c r="N42" s="85" t="s">
        <v>289</v>
      </c>
      <c r="O42" s="12" t="s">
        <v>99</v>
      </c>
      <c r="P42" s="92" cm="1">
        <f t="array" ref="P42">SUM(_xlfn.XLOOKUP(tblS[[#This Row],[Color1]:[Color9]],$S$3:$S$9,$U$3:$U$9)) + 200</f>
        <v>222</v>
      </c>
      <c r="Q42" s="92">
        <f>15 + 100 * SQRT(POWER(startX - tblS[[#This Row],[X-Coordinates]], 2) + POWER(startY - tblS[[#This Row],[Y-Coordinates]], 2))</f>
        <v>1883.1541692269407</v>
      </c>
      <c r="W42"/>
      <c r="AB42" s="8">
        <f>COUNTIFS(tblS[[#This Row],[Color1]:[Color9]],"r")</f>
        <v>0</v>
      </c>
      <c r="AF42" s="8" t="str">
        <v>Lisbon</v>
      </c>
      <c r="AG42" s="8" cm="1">
        <f t="array" ref="AG42">LEN(_xlfn.CONCAT(_xlfn._xlws.FILTER(tblS[Scarf Code],tblS[City]=AF42))) - LEN(SUBSTITUTE(_xlfn.CONCAT(_xlfn._xlws.FILTER(tblS[Scarf Code],tblS[City]=AF42)), "R",""))</f>
        <v>4</v>
      </c>
    </row>
    <row r="43" spans="2:33" s="8" customFormat="1" ht="20.100000000000001" customHeight="1">
      <c r="B43" s="12">
        <v>41</v>
      </c>
      <c r="C43" s="12" t="s">
        <v>218</v>
      </c>
      <c r="D43" s="12">
        <v>37</v>
      </c>
      <c r="E43" s="12">
        <v>3</v>
      </c>
      <c r="F43" s="82" t="s">
        <v>288</v>
      </c>
      <c r="G43" s="82" t="s">
        <v>288</v>
      </c>
      <c r="H43" s="86" t="s">
        <v>293</v>
      </c>
      <c r="I43" s="82" t="s">
        <v>288</v>
      </c>
      <c r="J43" s="86" t="s">
        <v>293</v>
      </c>
      <c r="K43" s="86" t="s">
        <v>293</v>
      </c>
      <c r="L43" s="82" t="s">
        <v>288</v>
      </c>
      <c r="M43" s="86" t="s">
        <v>293</v>
      </c>
      <c r="N43" s="86" t="s">
        <v>293</v>
      </c>
      <c r="O43" s="12" t="s">
        <v>59</v>
      </c>
      <c r="P43" s="92" cm="1">
        <f t="array" ref="P43">SUM(_xlfn.XLOOKUP(tblS[[#This Row],[Color1]:[Color9]],$S$3:$S$9,$U$3:$U$9)) + 200</f>
        <v>268</v>
      </c>
      <c r="Q43" s="92">
        <f>15 + 100 * SQRT(POWER(startX - tblS[[#This Row],[X-Coordinates]], 2) + POWER(startY - tblS[[#This Row],[Y-Coordinates]], 2))</f>
        <v>2655.0757564888172</v>
      </c>
      <c r="W43"/>
      <c r="AB43" s="8">
        <f>COUNTIFS(tblS[[#This Row],[Color1]:[Color9]],"r")</f>
        <v>5</v>
      </c>
      <c r="AF43" s="8" t="str">
        <v>Porto</v>
      </c>
      <c r="AG43" s="8" cm="1">
        <f t="array" ref="AG43">LEN(_xlfn.CONCAT(_xlfn._xlws.FILTER(tblS[Scarf Code],tblS[City]=AF43))) - LEN(SUBSTITUTE(_xlfn.CONCAT(_xlfn._xlws.FILTER(tblS[Scarf Code],tblS[City]=AF43)), "R",""))</f>
        <v>0</v>
      </c>
    </row>
    <row r="44" spans="2:33" s="8" customFormat="1" ht="20.100000000000001" customHeight="1">
      <c r="B44" s="12">
        <v>42</v>
      </c>
      <c r="C44" s="12" t="s">
        <v>218</v>
      </c>
      <c r="D44" s="12">
        <v>37</v>
      </c>
      <c r="E44" s="12">
        <v>3</v>
      </c>
      <c r="F44" s="81" t="s">
        <v>287</v>
      </c>
      <c r="G44" s="81" t="s">
        <v>287</v>
      </c>
      <c r="H44" s="81" t="s">
        <v>287</v>
      </c>
      <c r="I44" s="84" t="s">
        <v>291</v>
      </c>
      <c r="J44" s="82" t="s">
        <v>288</v>
      </c>
      <c r="K44" s="84" t="s">
        <v>291</v>
      </c>
      <c r="L44" s="81" t="s">
        <v>287</v>
      </c>
      <c r="M44" s="81" t="s">
        <v>287</v>
      </c>
      <c r="N44" s="81" t="s">
        <v>287</v>
      </c>
      <c r="O44" s="12" t="s">
        <v>182</v>
      </c>
      <c r="P44" s="92" cm="1">
        <f t="array" ref="P44">SUM(_xlfn.XLOOKUP(tblS[[#This Row],[Color1]:[Color9]],$S$3:$S$9,$U$3:$U$9)) + 200</f>
        <v>230</v>
      </c>
      <c r="Q44" s="92">
        <f>15 + 100 * SQRT(POWER(startX - tblS[[#This Row],[X-Coordinates]], 2) + POWER(startY - tblS[[#This Row],[Y-Coordinates]], 2))</f>
        <v>2655.0757564888172</v>
      </c>
      <c r="W44"/>
      <c r="AB44" s="8">
        <f>COUNTIFS(tblS[[#This Row],[Color1]:[Color9]],"r")</f>
        <v>0</v>
      </c>
      <c r="AF44" s="8" t="str">
        <v>Budapest</v>
      </c>
      <c r="AG44" s="8" cm="1">
        <f t="array" ref="AG44">LEN(_xlfn.CONCAT(_xlfn._xlws.FILTER(tblS[Scarf Code],tblS[City]=AF44))) - LEN(SUBSTITUTE(_xlfn.CONCAT(_xlfn._xlws.FILTER(tblS[Scarf Code],tblS[City]=AF44)), "R",""))</f>
        <v>5</v>
      </c>
    </row>
    <row r="45" spans="2:33" s="8" customFormat="1" ht="20.100000000000001" customHeight="1">
      <c r="B45" s="12">
        <v>43</v>
      </c>
      <c r="C45" s="12" t="s">
        <v>328</v>
      </c>
      <c r="D45" s="12">
        <v>39</v>
      </c>
      <c r="E45" s="12">
        <v>10</v>
      </c>
      <c r="F45" s="87" t="s">
        <v>294</v>
      </c>
      <c r="G45" s="87" t="s">
        <v>294</v>
      </c>
      <c r="H45" s="84" t="s">
        <v>291</v>
      </c>
      <c r="I45" s="84" t="s">
        <v>291</v>
      </c>
      <c r="J45" s="87" t="s">
        <v>294</v>
      </c>
      <c r="K45" s="84" t="s">
        <v>291</v>
      </c>
      <c r="L45" s="84" t="s">
        <v>291</v>
      </c>
      <c r="M45" s="87" t="s">
        <v>294</v>
      </c>
      <c r="N45" s="87" t="s">
        <v>294</v>
      </c>
      <c r="O45" s="12" t="s">
        <v>329</v>
      </c>
      <c r="P45" s="92" cm="1">
        <f t="array" ref="P45">SUM(_xlfn.XLOOKUP(tblS[[#This Row],[Color1]:[Color9]],$S$3:$S$9,$U$3:$U$9)) + 200</f>
        <v>253</v>
      </c>
      <c r="Q45" s="92">
        <f>15 + 100 * SQRT(POWER(startX - tblS[[#This Row],[X-Coordinates]], 2) + POWER(startY - tblS[[#This Row],[Y-Coordinates]], 2))</f>
        <v>1938.5384061671343</v>
      </c>
      <c r="W45"/>
      <c r="AB45" s="8">
        <f>COUNTIFS(tblS[[#This Row],[Color1]:[Color9]],"r")</f>
        <v>0</v>
      </c>
      <c r="AF45" s="8" t="str">
        <v>Milan</v>
      </c>
      <c r="AG45" s="8" cm="1">
        <f t="array" ref="AG45">LEN(_xlfn.CONCAT(_xlfn._xlws.FILTER(tblS[Scarf Code],tblS[City]=AF45))) - LEN(SUBSTITUTE(_xlfn.CONCAT(_xlfn._xlws.FILTER(tblS[Scarf Code],tblS[City]=AF45)), "R",""))</f>
        <v>5</v>
      </c>
    </row>
    <row r="46" spans="2:33" s="8" customFormat="1" ht="20.100000000000001" customHeight="1">
      <c r="B46" s="12">
        <v>44</v>
      </c>
      <c r="C46" s="12" t="s">
        <v>219</v>
      </c>
      <c r="D46" s="12">
        <v>38</v>
      </c>
      <c r="E46" s="12">
        <v>1</v>
      </c>
      <c r="F46" s="81" t="s">
        <v>287</v>
      </c>
      <c r="G46" s="81" t="s">
        <v>287</v>
      </c>
      <c r="H46" s="82" t="s">
        <v>288</v>
      </c>
      <c r="I46" s="82" t="s">
        <v>288</v>
      </c>
      <c r="J46" s="87" t="s">
        <v>294</v>
      </c>
      <c r="K46" s="82" t="s">
        <v>288</v>
      </c>
      <c r="L46" s="82" t="s">
        <v>288</v>
      </c>
      <c r="M46" s="81" t="s">
        <v>287</v>
      </c>
      <c r="N46" s="81" t="s">
        <v>287</v>
      </c>
      <c r="O46" s="12" t="s">
        <v>91</v>
      </c>
      <c r="P46" s="92" cm="1">
        <f t="array" ref="P46">SUM(_xlfn.XLOOKUP(tblS[[#This Row],[Color1]:[Color9]],$S$3:$S$9,$U$3:$U$9)) + 200</f>
        <v>233</v>
      </c>
      <c r="Q46" s="92">
        <f>15 + 100 * SQRT(POWER(startX - tblS[[#This Row],[X-Coordinates]], 2) + POWER(startY - tblS[[#This Row],[Y-Coordinates]], 2))</f>
        <v>2800.6776554368239</v>
      </c>
      <c r="W46"/>
      <c r="AB46" s="8">
        <f>COUNTIFS(tblS[[#This Row],[Color1]:[Color9]],"r")</f>
        <v>0</v>
      </c>
      <c r="AF46" s="8" t="str">
        <v>Turin</v>
      </c>
      <c r="AG46" s="8" cm="1">
        <f t="array" ref="AG46">LEN(_xlfn.CONCAT(_xlfn._xlws.FILTER(tblS[Scarf Code],tblS[City]=AF46))) - LEN(SUBSTITUTE(_xlfn.CONCAT(_xlfn._xlws.FILTER(tblS[Scarf Code],tblS[City]=AF46)), "R",""))</f>
        <v>0</v>
      </c>
    </row>
    <row r="47" spans="2:33" s="8" customFormat="1" ht="20.100000000000001" customHeight="1">
      <c r="B47" s="12">
        <v>45</v>
      </c>
      <c r="C47" s="12" t="s">
        <v>219</v>
      </c>
      <c r="D47" s="12">
        <v>38</v>
      </c>
      <c r="E47" s="12">
        <v>1</v>
      </c>
      <c r="F47" s="82" t="s">
        <v>288</v>
      </c>
      <c r="G47" s="86" t="s">
        <v>293</v>
      </c>
      <c r="H47" s="86" t="s">
        <v>293</v>
      </c>
      <c r="I47" s="82" t="s">
        <v>288</v>
      </c>
      <c r="J47" s="82" t="s">
        <v>288</v>
      </c>
      <c r="K47" s="82" t="s">
        <v>288</v>
      </c>
      <c r="L47" s="86" t="s">
        <v>293</v>
      </c>
      <c r="M47" s="86" t="s">
        <v>293</v>
      </c>
      <c r="N47" s="82" t="s">
        <v>288</v>
      </c>
      <c r="O47" s="12" t="s">
        <v>124</v>
      </c>
      <c r="P47" s="92" cm="1">
        <f t="array" ref="P47">SUM(_xlfn.XLOOKUP(tblS[[#This Row],[Color1]:[Color9]],$S$3:$S$9,$U$3:$U$9)) + 200</f>
        <v>258</v>
      </c>
      <c r="Q47" s="92">
        <f>15 + 100 * SQRT(POWER(startX - tblS[[#This Row],[X-Coordinates]], 2) + POWER(startY - tblS[[#This Row],[Y-Coordinates]], 2))</f>
        <v>2800.6776554368239</v>
      </c>
      <c r="W47"/>
      <c r="AB47" s="8">
        <f>COUNTIFS(tblS[[#This Row],[Color1]:[Color9]],"r")</f>
        <v>4</v>
      </c>
      <c r="AF47" s="8" t="str">
        <v>Amsterdam</v>
      </c>
      <c r="AG47" s="8" cm="1">
        <f t="array" ref="AG47">LEN(_xlfn.CONCAT(_xlfn._xlws.FILTER(tblS[Scarf Code],tblS[City]=AF47))) - LEN(SUBSTITUTE(_xlfn.CONCAT(_xlfn._xlws.FILTER(tblS[Scarf Code],tblS[City]=AF47)), "R",""))</f>
        <v>3</v>
      </c>
    </row>
    <row r="48" spans="2:33" s="8" customFormat="1" ht="20.100000000000001" customHeight="1">
      <c r="B48" s="12">
        <v>46</v>
      </c>
      <c r="C48" s="12" t="s">
        <v>330</v>
      </c>
      <c r="D48" s="12">
        <v>41</v>
      </c>
      <c r="E48" s="12">
        <v>20</v>
      </c>
      <c r="F48" s="82" t="s">
        <v>288</v>
      </c>
      <c r="G48" s="82" t="s">
        <v>288</v>
      </c>
      <c r="H48" s="82" t="s">
        <v>288</v>
      </c>
      <c r="I48" s="85" t="s">
        <v>289</v>
      </c>
      <c r="J48" s="85" t="s">
        <v>289</v>
      </c>
      <c r="K48" s="85" t="s">
        <v>289</v>
      </c>
      <c r="L48" s="82" t="s">
        <v>288</v>
      </c>
      <c r="M48" s="82" t="s">
        <v>288</v>
      </c>
      <c r="N48" s="82" t="s">
        <v>288</v>
      </c>
      <c r="O48" s="12" t="s">
        <v>96</v>
      </c>
      <c r="P48" s="92" cm="1">
        <f t="array" ref="P48">SUM(_xlfn.XLOOKUP(tblS[[#This Row],[Color1]:[Color9]],$S$3:$S$9,$U$3:$U$9)) + 200</f>
        <v>224</v>
      </c>
      <c r="Q48" s="92">
        <f>15 + 100 * SQRT(POWER(startX - tblS[[#This Row],[X-Coordinates]], 2) + POWER(startY - tblS[[#This Row],[Y-Coordinates]], 2))</f>
        <v>1004.9494936611666</v>
      </c>
      <c r="W48"/>
      <c r="AB48" s="8">
        <f>COUNTIFS(tblS[[#This Row],[Color1]:[Color9]],"r")</f>
        <v>0</v>
      </c>
      <c r="AF48" s="8" t="str">
        <v>Rotterdam</v>
      </c>
      <c r="AG48" s="8" cm="1">
        <f t="array" ref="AG48">LEN(_xlfn.CONCAT(_xlfn._xlws.FILTER(tblS[Scarf Code],tblS[City]=AF48))) - LEN(SUBSTITUTE(_xlfn.CONCAT(_xlfn._xlws.FILTER(tblS[Scarf Code],tblS[City]=AF48)), "R",""))</f>
        <v>3</v>
      </c>
    </row>
    <row r="49" spans="2:33" s="8" customFormat="1" ht="20.100000000000001" customHeight="1">
      <c r="B49" s="12">
        <v>47</v>
      </c>
      <c r="C49" s="12" t="s">
        <v>205</v>
      </c>
      <c r="D49" s="12">
        <v>47</v>
      </c>
      <c r="E49" s="12">
        <v>30</v>
      </c>
      <c r="F49" s="84" t="s">
        <v>291</v>
      </c>
      <c r="G49" s="86" t="s">
        <v>293</v>
      </c>
      <c r="H49" s="86" t="s">
        <v>293</v>
      </c>
      <c r="I49" s="84" t="s">
        <v>291</v>
      </c>
      <c r="J49" s="86" t="s">
        <v>293</v>
      </c>
      <c r="K49" s="84" t="s">
        <v>291</v>
      </c>
      <c r="L49" s="86" t="s">
        <v>293</v>
      </c>
      <c r="M49" s="86" t="s">
        <v>293</v>
      </c>
      <c r="N49" s="84" t="s">
        <v>291</v>
      </c>
      <c r="O49" s="12" t="s">
        <v>170</v>
      </c>
      <c r="P49" s="92" cm="1">
        <f t="array" ref="P49">SUM(_xlfn.XLOOKUP(tblS[[#This Row],[Color1]:[Color9]],$S$3:$S$9,$U$3:$U$9)) + 200</f>
        <v>268</v>
      </c>
      <c r="Q49" s="92">
        <f>15 + 100 * SQRT(POWER(startX - tblS[[#This Row],[X-Coordinates]], 2) + POWER(startY - tblS[[#This Row],[Y-Coordinates]], 2))</f>
        <v>331.22776601683796</v>
      </c>
      <c r="W49"/>
      <c r="AB49" s="8">
        <f>COUNTIFS(tblS[[#This Row],[Color1]:[Color9]],"r")</f>
        <v>5</v>
      </c>
      <c r="AF49" s="8" t="str">
        <v>Enschede</v>
      </c>
      <c r="AG49" s="8" cm="1">
        <f t="array" ref="AG49">LEN(_xlfn.CONCAT(_xlfn._xlws.FILTER(tblS[Scarf Code],tblS[City]=AF49))) - LEN(SUBSTITUTE(_xlfn.CONCAT(_xlfn._xlws.FILTER(tblS[Scarf Code],tblS[City]=AF49)), "R",""))</f>
        <v>6</v>
      </c>
    </row>
    <row r="50" spans="2:33" s="8" customFormat="1" ht="20.100000000000001" customHeight="1">
      <c r="B50" s="12">
        <v>48</v>
      </c>
      <c r="C50" s="12" t="s">
        <v>205</v>
      </c>
      <c r="D50" s="12">
        <v>47</v>
      </c>
      <c r="E50" s="12">
        <v>30</v>
      </c>
      <c r="F50" s="83" t="s">
        <v>290</v>
      </c>
      <c r="G50" s="82" t="s">
        <v>288</v>
      </c>
      <c r="H50" s="83" t="s">
        <v>290</v>
      </c>
      <c r="I50" s="82" t="s">
        <v>288</v>
      </c>
      <c r="J50" s="83" t="s">
        <v>290</v>
      </c>
      <c r="K50" s="82" t="s">
        <v>288</v>
      </c>
      <c r="L50" s="83" t="s">
        <v>290</v>
      </c>
      <c r="M50" s="82" t="s">
        <v>288</v>
      </c>
      <c r="N50" s="83" t="s">
        <v>290</v>
      </c>
      <c r="O50" s="12" t="s">
        <v>50</v>
      </c>
      <c r="P50" s="92" cm="1">
        <f t="array" ref="P50">SUM(_xlfn.XLOOKUP(tblS[[#This Row],[Color1]:[Color9]],$S$3:$S$9,$U$3:$U$9)) + 200</f>
        <v>308</v>
      </c>
      <c r="Q50" s="92">
        <f>15 + 100 * SQRT(POWER(startX - tblS[[#This Row],[X-Coordinates]], 2) + POWER(startY - tblS[[#This Row],[Y-Coordinates]], 2))</f>
        <v>331.22776601683796</v>
      </c>
      <c r="W50"/>
      <c r="AB50" s="8">
        <f>COUNTIFS(tblS[[#This Row],[Color1]:[Color9]],"r")</f>
        <v>0</v>
      </c>
      <c r="AF50" s="8" t="str">
        <v>London</v>
      </c>
      <c r="AG50" s="8" cm="1">
        <f t="array" ref="AG50">LEN(_xlfn.CONCAT(_xlfn._xlws.FILTER(tblS[Scarf Code],tblS[City]=AF50))) - LEN(SUBSTITUTE(_xlfn.CONCAT(_xlfn._xlws.FILTER(tblS[Scarf Code],tblS[City]=AF50)), "R",""))</f>
        <v>7</v>
      </c>
    </row>
    <row r="51" spans="2:33" s="8" customFormat="1" ht="20.100000000000001" customHeight="1">
      <c r="B51" s="12">
        <v>49</v>
      </c>
      <c r="C51" s="12" t="s">
        <v>205</v>
      </c>
      <c r="D51" s="12">
        <v>47</v>
      </c>
      <c r="E51" s="12">
        <v>30</v>
      </c>
      <c r="F51" s="81" t="s">
        <v>287</v>
      </c>
      <c r="G51" s="81" t="s">
        <v>287</v>
      </c>
      <c r="H51" s="82" t="s">
        <v>288</v>
      </c>
      <c r="I51" s="81" t="s">
        <v>287</v>
      </c>
      <c r="J51" s="82" t="s">
        <v>288</v>
      </c>
      <c r="K51" s="81" t="s">
        <v>287</v>
      </c>
      <c r="L51" s="82" t="s">
        <v>288</v>
      </c>
      <c r="M51" s="81" t="s">
        <v>287</v>
      </c>
      <c r="N51" s="81" t="s">
        <v>287</v>
      </c>
      <c r="O51" s="12" t="s">
        <v>183</v>
      </c>
      <c r="P51" s="92" cm="1">
        <f t="array" ref="P51">SUM(_xlfn.XLOOKUP(tblS[[#This Row],[Color1]:[Color9]],$S$3:$S$9,$U$3:$U$9)) + 200</f>
        <v>230</v>
      </c>
      <c r="Q51" s="92">
        <f>15 + 100 * SQRT(POWER(startX - tblS[[#This Row],[X-Coordinates]], 2) + POWER(startY - tblS[[#This Row],[Y-Coordinates]], 2))</f>
        <v>331.22776601683796</v>
      </c>
      <c r="W51"/>
      <c r="AB51" s="8">
        <f>COUNTIFS(tblS[[#This Row],[Color1]:[Color9]],"r")</f>
        <v>0</v>
      </c>
      <c r="AF51" s="8" t="str">
        <v>Manchester</v>
      </c>
      <c r="AG51" s="8" cm="1">
        <f t="array" ref="AG51">LEN(_xlfn.CONCAT(_xlfn._xlws.FILTER(tblS[Scarf Code],tblS[City]=AF51))) - LEN(SUBSTITUTE(_xlfn.CONCAT(_xlfn._xlws.FILTER(tblS[Scarf Code],tblS[City]=AF51)), "R",""))</f>
        <v>4</v>
      </c>
    </row>
    <row r="52" spans="2:33" s="8" customFormat="1" ht="20.100000000000001" customHeight="1">
      <c r="B52" s="12">
        <v>50</v>
      </c>
      <c r="C52" s="12" t="s">
        <v>224</v>
      </c>
      <c r="D52" s="12">
        <v>45</v>
      </c>
      <c r="E52" s="12">
        <v>20</v>
      </c>
      <c r="F52" s="85" t="s">
        <v>289</v>
      </c>
      <c r="G52" s="84" t="s">
        <v>291</v>
      </c>
      <c r="H52" s="85" t="s">
        <v>289</v>
      </c>
      <c r="I52" s="84" t="s">
        <v>291</v>
      </c>
      <c r="J52" s="85" t="s">
        <v>289</v>
      </c>
      <c r="K52" s="84" t="s">
        <v>291</v>
      </c>
      <c r="L52" s="85" t="s">
        <v>289</v>
      </c>
      <c r="M52" s="84" t="s">
        <v>291</v>
      </c>
      <c r="N52" s="85" t="s">
        <v>289</v>
      </c>
      <c r="O52" s="12" t="s">
        <v>55</v>
      </c>
      <c r="P52" s="92" cm="1">
        <f t="array" ref="P52">SUM(_xlfn.XLOOKUP(tblS[[#This Row],[Color1]:[Color9]],$S$3:$S$9,$U$3:$U$9)) + 200</f>
        <v>228</v>
      </c>
      <c r="Q52" s="92">
        <f>15 + 100 * SQRT(POWER(startX - tblS[[#This Row],[X-Coordinates]], 2) + POWER(startY - tblS[[#This Row],[Y-Coordinates]], 2))</f>
        <v>776.57731058639092</v>
      </c>
      <c r="W52"/>
      <c r="AB52" s="8">
        <f>COUNTIFS(tblS[[#This Row],[Color1]:[Color9]],"r")</f>
        <v>0</v>
      </c>
      <c r="AF52" s="8" t="str">
        <v>Glasgow</v>
      </c>
      <c r="AG52" s="8" cm="1">
        <f t="array" ref="AG52">LEN(_xlfn.CONCAT(_xlfn._xlws.FILTER(tblS[Scarf Code],tblS[City]=AF52))) - LEN(SUBSTITUTE(_xlfn.CONCAT(_xlfn._xlws.FILTER(tblS[Scarf Code],tblS[City]=AF52)), "R",""))</f>
        <v>0</v>
      </c>
    </row>
    <row r="53" spans="2:33" s="8" customFormat="1" ht="20.100000000000001" customHeight="1">
      <c r="B53" s="12">
        <v>51</v>
      </c>
      <c r="C53" s="12" t="s">
        <v>224</v>
      </c>
      <c r="D53" s="12">
        <v>45</v>
      </c>
      <c r="E53" s="12">
        <v>20</v>
      </c>
      <c r="F53" s="86" t="s">
        <v>293</v>
      </c>
      <c r="G53" s="84" t="s">
        <v>291</v>
      </c>
      <c r="H53" s="86" t="s">
        <v>293</v>
      </c>
      <c r="I53" s="84" t="s">
        <v>291</v>
      </c>
      <c r="J53" s="86" t="s">
        <v>293</v>
      </c>
      <c r="K53" s="84" t="s">
        <v>291</v>
      </c>
      <c r="L53" s="86" t="s">
        <v>293</v>
      </c>
      <c r="M53" s="84" t="s">
        <v>291</v>
      </c>
      <c r="N53" s="86" t="s">
        <v>293</v>
      </c>
      <c r="O53" s="12" t="s">
        <v>137</v>
      </c>
      <c r="P53" s="92" cm="1">
        <f t="array" ref="P53">SUM(_xlfn.XLOOKUP(tblS[[#This Row],[Color1]:[Color9]],$S$3:$S$9,$U$3:$U$9)) + 200</f>
        <v>268</v>
      </c>
      <c r="Q53" s="92">
        <f>15 + 100 * SQRT(POWER(startX - tblS[[#This Row],[X-Coordinates]], 2) + POWER(startY - tblS[[#This Row],[Y-Coordinates]], 2))</f>
        <v>776.57731058639092</v>
      </c>
      <c r="W53"/>
      <c r="AB53" s="8">
        <f>COUNTIFS(tblS[[#This Row],[Color1]:[Color9]],"r")</f>
        <v>5</v>
      </c>
      <c r="AF53" s="8" t="str">
        <v>Gothenborg</v>
      </c>
      <c r="AG53" s="8" cm="1">
        <f t="array" ref="AG53">LEN(_xlfn.CONCAT(_xlfn._xlws.FILTER(tblS[Scarf Code],tblS[City]=AF53))) - LEN(SUBSTITUTE(_xlfn.CONCAT(_xlfn._xlws.FILTER(tblS[Scarf Code],tblS[City]=AF53)), "R",""))</f>
        <v>0</v>
      </c>
    </row>
    <row r="54" spans="2:33" s="8" customFormat="1" ht="20.100000000000001" customHeight="1">
      <c r="B54" s="12">
        <v>52</v>
      </c>
      <c r="C54" s="12" t="s">
        <v>331</v>
      </c>
      <c r="D54" s="12">
        <v>45</v>
      </c>
      <c r="E54" s="12">
        <v>18</v>
      </c>
      <c r="F54" s="84" t="s">
        <v>291</v>
      </c>
      <c r="G54" s="84" t="s">
        <v>291</v>
      </c>
      <c r="H54" s="84" t="s">
        <v>291</v>
      </c>
      <c r="I54" s="82" t="s">
        <v>288</v>
      </c>
      <c r="J54" s="82" t="s">
        <v>288</v>
      </c>
      <c r="K54" s="82" t="s">
        <v>288</v>
      </c>
      <c r="L54" s="84" t="s">
        <v>291</v>
      </c>
      <c r="M54" s="84" t="s">
        <v>291</v>
      </c>
      <c r="N54" s="84" t="s">
        <v>291</v>
      </c>
      <c r="O54" s="12" t="s">
        <v>277</v>
      </c>
      <c r="P54" s="92" cm="1">
        <f t="array" ref="P54">SUM(_xlfn.XLOOKUP(tblS[[#This Row],[Color1]:[Color9]],$S$3:$S$9,$U$3:$U$9)) + 200</f>
        <v>218</v>
      </c>
      <c r="Q54" s="92">
        <f>15 + 100 * SQRT(POWER(startX - tblS[[#This Row],[X-Coordinates]], 2) + POWER(startY - tblS[[#This Row],[Y-Coordinates]], 2))</f>
        <v>963.68329805051383</v>
      </c>
      <c r="W54"/>
      <c r="AB54" s="8">
        <f>COUNTIFS(tblS[[#This Row],[Color1]:[Color9]],"r")</f>
        <v>0</v>
      </c>
      <c r="AF54" s="8" t="str">
        <v>Genk</v>
      </c>
      <c r="AG54" s="8" cm="1">
        <f t="array" ref="AG54">LEN(_xlfn.CONCAT(_xlfn._xlws.FILTER(tblS[Scarf Code],tblS[City]=AF54))) - LEN(SUBSTITUTE(_xlfn.CONCAT(_xlfn._xlws.FILTER(tblS[Scarf Code],tblS[City]=AF54)), "R",""))</f>
        <v>0</v>
      </c>
    </row>
    <row r="55" spans="2:33" s="8" customFormat="1" ht="20.100000000000001" customHeight="1">
      <c r="B55" s="12">
        <v>53</v>
      </c>
      <c r="C55" s="12" t="s">
        <v>209</v>
      </c>
      <c r="D55" s="12">
        <v>52</v>
      </c>
      <c r="E55" s="12">
        <v>15</v>
      </c>
      <c r="F55" s="82" t="s">
        <v>288</v>
      </c>
      <c r="G55" s="82" t="s">
        <v>288</v>
      </c>
      <c r="H55" s="82" t="s">
        <v>288</v>
      </c>
      <c r="I55" s="86" t="s">
        <v>293</v>
      </c>
      <c r="J55" s="86" t="s">
        <v>293</v>
      </c>
      <c r="K55" s="86" t="s">
        <v>293</v>
      </c>
      <c r="L55" s="82" t="s">
        <v>288</v>
      </c>
      <c r="M55" s="82" t="s">
        <v>288</v>
      </c>
      <c r="N55" s="82" t="s">
        <v>288</v>
      </c>
      <c r="O55" s="12" t="s">
        <v>86</v>
      </c>
      <c r="P55" s="92" cm="1">
        <f t="array" ref="P55">SUM(_xlfn.XLOOKUP(tblS[[#This Row],[Color1]:[Color9]],$S$3:$S$9,$U$3:$U$9)) + 200</f>
        <v>248</v>
      </c>
      <c r="Q55" s="92">
        <f>15 + 100 * SQRT(POWER(startX - tblS[[#This Row],[X-Coordinates]], 2) + POWER(startY - tblS[[#This Row],[Y-Coordinates]], 2))</f>
        <v>1279.9110640673518</v>
      </c>
      <c r="W55"/>
      <c r="AB55" s="8">
        <f>COUNTIFS(tblS[[#This Row],[Color1]:[Color9]],"r")</f>
        <v>3</v>
      </c>
      <c r="AF55" s="8" t="str">
        <v>Linz</v>
      </c>
      <c r="AG55" s="8" cm="1">
        <f t="array" ref="AG55">LEN(_xlfn.CONCAT(_xlfn._xlws.FILTER(tblS[Scarf Code],tblS[City]=AF55))) - LEN(SUBSTITUTE(_xlfn.CONCAT(_xlfn._xlws.FILTER(tblS[Scarf Code],tblS[City]=AF55)), "R",""))</f>
        <v>0</v>
      </c>
    </row>
    <row r="56" spans="2:33" s="8" customFormat="1" ht="20.100000000000001" customHeight="1">
      <c r="B56" s="12">
        <v>54</v>
      </c>
      <c r="C56" s="12" t="s">
        <v>332</v>
      </c>
      <c r="D56" s="12">
        <v>51</v>
      </c>
      <c r="E56" s="12">
        <v>15</v>
      </c>
      <c r="F56" s="86" t="s">
        <v>293</v>
      </c>
      <c r="G56" s="82" t="s">
        <v>288</v>
      </c>
      <c r="H56" s="82" t="s">
        <v>288</v>
      </c>
      <c r="I56" s="82" t="s">
        <v>288</v>
      </c>
      <c r="J56" s="86" t="s">
        <v>293</v>
      </c>
      <c r="K56" s="82" t="s">
        <v>288</v>
      </c>
      <c r="L56" s="82" t="s">
        <v>288</v>
      </c>
      <c r="M56" s="82" t="s">
        <v>288</v>
      </c>
      <c r="N56" s="86" t="s">
        <v>293</v>
      </c>
      <c r="O56" s="12" t="s">
        <v>333</v>
      </c>
      <c r="P56" s="92" cm="1">
        <f t="array" ref="P56">SUM(_xlfn.XLOOKUP(tblS[[#This Row],[Color1]:[Color9]],$S$3:$S$9,$U$3:$U$9)) + 200</f>
        <v>248</v>
      </c>
      <c r="Q56" s="92">
        <f>15 + 100 * SQRT(POWER(startX - tblS[[#This Row],[X-Coordinates]], 2) + POWER(startY - tblS[[#This Row],[Y-Coordinates]], 2))</f>
        <v>1251.9316876852981</v>
      </c>
      <c r="W56"/>
      <c r="AB56" s="8">
        <f>COUNTIFS(tblS[[#This Row],[Color1]:[Color9]],"r")</f>
        <v>3</v>
      </c>
      <c r="AF56" s="8" t="str">
        <v>Innsbruck</v>
      </c>
      <c r="AG56" s="8" cm="1">
        <f t="array" ref="AG56">LEN(_xlfn.CONCAT(_xlfn._xlws.FILTER(tblS[Scarf Code],tblS[City]=AF56))) - LEN(SUBSTITUTE(_xlfn.CONCAT(_xlfn._xlws.FILTER(tblS[Scarf Code],tblS[City]=AF56)), "R",""))</f>
        <v>0</v>
      </c>
    </row>
    <row r="57" spans="2:33" s="8" customFormat="1" ht="20.100000000000001" customHeight="1">
      <c r="B57" s="12">
        <v>55</v>
      </c>
      <c r="C57" s="12" t="s">
        <v>334</v>
      </c>
      <c r="D57" s="12">
        <v>52</v>
      </c>
      <c r="E57" s="12">
        <v>17</v>
      </c>
      <c r="F57" s="86" t="s">
        <v>293</v>
      </c>
      <c r="G57" s="82" t="s">
        <v>288</v>
      </c>
      <c r="H57" s="86" t="s">
        <v>293</v>
      </c>
      <c r="I57" s="86" t="s">
        <v>293</v>
      </c>
      <c r="J57" s="82" t="s">
        <v>288</v>
      </c>
      <c r="K57" s="86" t="s">
        <v>293</v>
      </c>
      <c r="L57" s="86" t="s">
        <v>293</v>
      </c>
      <c r="M57" s="82" t="s">
        <v>288</v>
      </c>
      <c r="N57" s="86" t="s">
        <v>293</v>
      </c>
      <c r="O57" s="12" t="s">
        <v>335</v>
      </c>
      <c r="P57" s="92" cm="1">
        <f t="array" ref="P57">SUM(_xlfn.XLOOKUP(tblS[[#This Row],[Color1]:[Color9]],$S$3:$S$9,$U$3:$U$9)) + 200</f>
        <v>278</v>
      </c>
      <c r="Q57" s="92">
        <f>15 + 100 * SQRT(POWER(startX - tblS[[#This Row],[X-Coordinates]], 2) + POWER(startY - tblS[[#This Row],[Y-Coordinates]], 2))</f>
        <v>1092.0329614269008</v>
      </c>
      <c r="W57"/>
      <c r="AB57" s="8">
        <f>COUNTIFS(tblS[[#This Row],[Color1]:[Color9]],"r")</f>
        <v>6</v>
      </c>
      <c r="AF57" s="8" t="str">
        <v>Salzburg</v>
      </c>
      <c r="AG57" s="8" cm="1">
        <f t="array" ref="AG57">LEN(_xlfn.CONCAT(_xlfn._xlws.FILTER(tblS[Scarf Code],tblS[City]=AF57))) - LEN(SUBSTITUTE(_xlfn.CONCAT(_xlfn._xlws.FILTER(tblS[Scarf Code],tblS[City]=AF57)), "R",""))</f>
        <v>0</v>
      </c>
    </row>
    <row r="58" spans="2:33" s="8" customFormat="1" ht="20.100000000000001" customHeight="1">
      <c r="B58" s="12">
        <v>56</v>
      </c>
      <c r="C58" s="12" t="s">
        <v>213</v>
      </c>
      <c r="D58" s="12">
        <v>51</v>
      </c>
      <c r="E58" s="12">
        <v>10</v>
      </c>
      <c r="F58" s="85" t="s">
        <v>289</v>
      </c>
      <c r="G58" s="85" t="s">
        <v>289</v>
      </c>
      <c r="H58" s="82" t="s">
        <v>288</v>
      </c>
      <c r="I58" s="85" t="s">
        <v>289</v>
      </c>
      <c r="J58" s="82" t="s">
        <v>288</v>
      </c>
      <c r="K58" s="85" t="s">
        <v>289</v>
      </c>
      <c r="L58" s="82" t="s">
        <v>288</v>
      </c>
      <c r="M58" s="85" t="s">
        <v>289</v>
      </c>
      <c r="N58" s="85" t="s">
        <v>289</v>
      </c>
      <c r="O58" s="12" t="s">
        <v>56</v>
      </c>
      <c r="P58" s="92" cm="1">
        <f t="array" ref="P58">SUM(_xlfn.XLOOKUP(tblS[[#This Row],[Color1]:[Color9]],$S$3:$S$9,$U$3:$U$9)) + 200</f>
        <v>230</v>
      </c>
      <c r="Q58" s="92">
        <f>15 + 100 * SQRT(POWER(startX - tblS[[#This Row],[X-Coordinates]], 2) + POWER(startY - tblS[[#This Row],[Y-Coordinates]], 2))</f>
        <v>1741.2676501632068</v>
      </c>
      <c r="W58"/>
      <c r="AB58" s="8">
        <f>COUNTIFS(tblS[[#This Row],[Color1]:[Color9]],"r")</f>
        <v>0</v>
      </c>
      <c r="AF58" s="8" t="str">
        <v>Prague</v>
      </c>
      <c r="AG58" s="8" cm="1">
        <f t="array" ref="AG58">LEN(_xlfn.CONCAT(_xlfn._xlws.FILTER(tblS[Scarf Code],tblS[City]=AF58))) - LEN(SUBSTITUTE(_xlfn.CONCAT(_xlfn._xlws.FILTER(tblS[Scarf Code],tblS[City]=AF58)), "R",""))</f>
        <v>10</v>
      </c>
    </row>
    <row r="59" spans="2:33" s="8" customFormat="1" ht="20.100000000000001" customHeight="1">
      <c r="B59" s="12">
        <v>57</v>
      </c>
      <c r="C59" s="12" t="s">
        <v>213</v>
      </c>
      <c r="D59" s="12">
        <v>51</v>
      </c>
      <c r="E59" s="12">
        <v>10</v>
      </c>
      <c r="F59" s="86" t="s">
        <v>293</v>
      </c>
      <c r="G59" s="86" t="s">
        <v>293</v>
      </c>
      <c r="H59" s="82" t="s">
        <v>288</v>
      </c>
      <c r="I59" s="86" t="s">
        <v>293</v>
      </c>
      <c r="J59" s="86" t="s">
        <v>293</v>
      </c>
      <c r="K59" s="86" t="s">
        <v>293</v>
      </c>
      <c r="L59" s="82" t="s">
        <v>288</v>
      </c>
      <c r="M59" s="86" t="s">
        <v>293</v>
      </c>
      <c r="N59" s="86" t="s">
        <v>293</v>
      </c>
      <c r="O59" s="12" t="s">
        <v>253</v>
      </c>
      <c r="P59" s="92" cm="1">
        <f t="array" ref="P59">SUM(_xlfn.XLOOKUP(tblS[[#This Row],[Color1]:[Color9]],$S$3:$S$9,$U$3:$U$9)) + 200</f>
        <v>288</v>
      </c>
      <c r="Q59" s="92">
        <f>15 + 100 * SQRT(POWER(startX - tblS[[#This Row],[X-Coordinates]], 2) + POWER(startY - tblS[[#This Row],[Y-Coordinates]], 2))</f>
        <v>1741.2676501632068</v>
      </c>
      <c r="W59"/>
      <c r="AB59" s="8">
        <f>COUNTIFS(tblS[[#This Row],[Color1]:[Color9]],"r")</f>
        <v>7</v>
      </c>
      <c r="AF59" s="8" t="str">
        <v>Athens</v>
      </c>
      <c r="AG59" s="8" cm="1">
        <f t="array" ref="AG59">LEN(_xlfn.CONCAT(_xlfn._xlws.FILTER(tblS[Scarf Code],tblS[City]=AF59))) - LEN(SUBSTITUTE(_xlfn.CONCAT(_xlfn._xlws.FILTER(tblS[Scarf Code],tblS[City]=AF59)), "R",""))</f>
        <v>0</v>
      </c>
    </row>
    <row r="60" spans="2:33" s="8" customFormat="1" ht="20.100000000000001" customHeight="1">
      <c r="B60" s="12">
        <v>58</v>
      </c>
      <c r="C60" s="12" t="s">
        <v>336</v>
      </c>
      <c r="D60" s="12">
        <v>53</v>
      </c>
      <c r="E60" s="12">
        <v>8</v>
      </c>
      <c r="F60" s="82" t="s">
        <v>288</v>
      </c>
      <c r="G60" s="86" t="s">
        <v>293</v>
      </c>
      <c r="H60" s="82" t="s">
        <v>288</v>
      </c>
      <c r="I60" s="86" t="s">
        <v>293</v>
      </c>
      <c r="J60" s="82" t="s">
        <v>288</v>
      </c>
      <c r="K60" s="86" t="s">
        <v>293</v>
      </c>
      <c r="L60" s="82" t="s">
        <v>288</v>
      </c>
      <c r="M60" s="86" t="s">
        <v>293</v>
      </c>
      <c r="N60" s="82" t="s">
        <v>288</v>
      </c>
      <c r="O60" s="12" t="s">
        <v>337</v>
      </c>
      <c r="P60" s="92" cm="1">
        <f t="array" ref="P60">SUM(_xlfn.XLOOKUP(tblS[[#This Row],[Color1]:[Color9]],$S$3:$S$9,$U$3:$U$9)) + 200</f>
        <v>258</v>
      </c>
      <c r="Q60" s="92">
        <f>15 + 100 * SQRT(POWER(startX - tblS[[#This Row],[X-Coordinates]], 2) + POWER(startY - tblS[[#This Row],[Y-Coordinates]], 2))</f>
        <v>1979.6882704388499</v>
      </c>
      <c r="W60"/>
      <c r="AB60" s="8">
        <f>COUNTIFS(tblS[[#This Row],[Color1]:[Color9]],"r")</f>
        <v>4</v>
      </c>
      <c r="AF60" s="8" t="str">
        <v>Banja Luka</v>
      </c>
      <c r="AG60" s="8" cm="1">
        <f t="array" ref="AG60">LEN(_xlfn.CONCAT(_xlfn._xlws.FILTER(tblS[Scarf Code],tblS[City]=AF60))) - LEN(SUBSTITUTE(_xlfn.CONCAT(_xlfn._xlws.FILTER(tblS[Scarf Code],tblS[City]=AF60)), "R",""))</f>
        <v>4</v>
      </c>
    </row>
    <row r="61" spans="2:33" s="8" customFormat="1" ht="20.100000000000001" customHeight="1">
      <c r="B61" s="12">
        <v>59</v>
      </c>
      <c r="C61" s="12" t="s">
        <v>220</v>
      </c>
      <c r="D61" s="12">
        <v>55</v>
      </c>
      <c r="E61" s="12">
        <v>6</v>
      </c>
      <c r="F61" s="82" t="s">
        <v>288</v>
      </c>
      <c r="G61" s="81" t="s">
        <v>287</v>
      </c>
      <c r="H61" s="82" t="s">
        <v>288</v>
      </c>
      <c r="I61" s="81" t="s">
        <v>287</v>
      </c>
      <c r="J61" s="82" t="s">
        <v>288</v>
      </c>
      <c r="K61" s="81" t="s">
        <v>287</v>
      </c>
      <c r="L61" s="82" t="s">
        <v>288</v>
      </c>
      <c r="M61" s="81" t="s">
        <v>287</v>
      </c>
      <c r="N61" s="82" t="s">
        <v>288</v>
      </c>
      <c r="O61" s="12" t="s">
        <v>246</v>
      </c>
      <c r="P61" s="92" cm="1">
        <f t="array" ref="P61">SUM(_xlfn.XLOOKUP(tblS[[#This Row],[Color1]:[Color9]],$S$3:$S$9,$U$3:$U$9)) + 200</f>
        <v>226</v>
      </c>
      <c r="Q61" s="92">
        <f>15 + 100 * SQRT(POWER(startX - tblS[[#This Row],[X-Coordinates]], 2) + POWER(startY - tblS[[#This Row],[Y-Coordinates]], 2))</f>
        <v>2228.5943621178653</v>
      </c>
      <c r="W61"/>
      <c r="AB61" s="8">
        <f>COUNTIFS(tblS[[#This Row],[Color1]:[Color9]],"r")</f>
        <v>0</v>
      </c>
      <c r="AF61" s="8" t="str">
        <v>Maribor</v>
      </c>
      <c r="AG61" s="8" cm="1">
        <f t="array" ref="AG61">LEN(_xlfn.CONCAT(_xlfn._xlws.FILTER(tblS[Scarf Code],tblS[City]=AF61))) - LEN(SUBSTITUTE(_xlfn.CONCAT(_xlfn._xlws.FILTER(tblS[Scarf Code],tblS[City]=AF61)), "R",""))</f>
        <v>0</v>
      </c>
    </row>
    <row r="62" spans="2:33" s="8" customFormat="1" ht="20.100000000000001" customHeight="1">
      <c r="B62" s="12">
        <v>60</v>
      </c>
      <c r="C62" s="12" t="s">
        <v>220</v>
      </c>
      <c r="D62" s="12">
        <v>55</v>
      </c>
      <c r="E62" s="12">
        <v>6</v>
      </c>
      <c r="F62" s="85" t="s">
        <v>289</v>
      </c>
      <c r="G62" s="84" t="s">
        <v>291</v>
      </c>
      <c r="H62" s="85" t="s">
        <v>289</v>
      </c>
      <c r="I62" s="85" t="s">
        <v>289</v>
      </c>
      <c r="J62" s="85" t="s">
        <v>289</v>
      </c>
      <c r="K62" s="85" t="s">
        <v>289</v>
      </c>
      <c r="L62" s="85" t="s">
        <v>289</v>
      </c>
      <c r="M62" s="82" t="s">
        <v>288</v>
      </c>
      <c r="N62" s="85" t="s">
        <v>289</v>
      </c>
      <c r="O62" s="12" t="s">
        <v>60</v>
      </c>
      <c r="P62" s="92" cm="1">
        <f t="array" ref="P62">SUM(_xlfn.XLOOKUP(tblS[[#This Row],[Color1]:[Color9]],$S$3:$S$9,$U$3:$U$9)) + 200</f>
        <v>232</v>
      </c>
      <c r="Q62" s="92">
        <f>15 + 100 * SQRT(POWER(startX - tblS[[#This Row],[X-Coordinates]], 2) + POWER(startY - tblS[[#This Row],[Y-Coordinates]], 2))</f>
        <v>2228.5943621178653</v>
      </c>
      <c r="W62"/>
      <c r="AB62" s="8">
        <f>COUNTIFS(tblS[[#This Row],[Color1]:[Color9]],"r")</f>
        <v>0</v>
      </c>
      <c r="AF62" s="8" t="str">
        <v>Helsinki</v>
      </c>
      <c r="AG62" s="8" cm="1">
        <f t="array" ref="AG62">LEN(_xlfn.CONCAT(_xlfn._xlws.FILTER(tblS[Scarf Code],tblS[City]=AF62))) - LEN(SUBSTITUTE(_xlfn.CONCAT(_xlfn._xlws.FILTER(tblS[Scarf Code],tblS[City]=AF62)), "R",""))</f>
        <v>0</v>
      </c>
    </row>
    <row r="63" spans="2:33" s="8" customFormat="1" ht="20.100000000000001" customHeight="1">
      <c r="B63" s="12">
        <v>61</v>
      </c>
      <c r="C63" s="12" t="s">
        <v>338</v>
      </c>
      <c r="D63" s="12">
        <v>57</v>
      </c>
      <c r="E63" s="12">
        <v>22</v>
      </c>
      <c r="F63" s="85" t="s">
        <v>289</v>
      </c>
      <c r="G63" s="87" t="s">
        <v>294</v>
      </c>
      <c r="H63" s="85" t="s">
        <v>289</v>
      </c>
      <c r="I63" s="82" t="s">
        <v>288</v>
      </c>
      <c r="J63" s="85" t="s">
        <v>289</v>
      </c>
      <c r="K63" s="82" t="s">
        <v>288</v>
      </c>
      <c r="L63" s="85" t="s">
        <v>289</v>
      </c>
      <c r="M63" s="87" t="s">
        <v>294</v>
      </c>
      <c r="N63" s="85" t="s">
        <v>289</v>
      </c>
      <c r="O63" s="12" t="s">
        <v>134</v>
      </c>
      <c r="P63" s="92" cm="1">
        <f t="array" ref="P63">SUM(_xlfn.XLOOKUP(tblS[[#This Row],[Color1]:[Color9]],$S$3:$S$9,$U$3:$U$9)) + 200</f>
        <v>242</v>
      </c>
      <c r="Q63" s="92">
        <f>15 + 100 * SQRT(POWER(startX - tblS[[#This Row],[X-Coordinates]], 2) + POWER(startY - tblS[[#This Row],[Y-Coordinates]], 2))</f>
        <v>1044.5630140987</v>
      </c>
      <c r="W63"/>
      <c r="AB63" s="8">
        <f>COUNTIFS(tblS[[#This Row],[Color1]:[Color9]],"r")</f>
        <v>0</v>
      </c>
      <c r="AF63" s="8" t="str">
        <v>Bratislava</v>
      </c>
      <c r="AG63" s="8" cm="1">
        <f t="array" ref="AG63">LEN(_xlfn.CONCAT(_xlfn._xlws.FILTER(tblS[Scarf Code],tblS[City]=AF63))) - LEN(SUBSTITUTE(_xlfn.CONCAT(_xlfn._xlws.FILTER(tblS[Scarf Code],tblS[City]=AF63)), "R",""))</f>
        <v>1</v>
      </c>
    </row>
    <row r="64" spans="2:33" s="8" customFormat="1" ht="20.100000000000001" customHeight="1">
      <c r="B64" s="12">
        <v>62</v>
      </c>
      <c r="C64" s="12" t="s">
        <v>221</v>
      </c>
      <c r="D64" s="12">
        <v>53</v>
      </c>
      <c r="E64" s="12">
        <v>21</v>
      </c>
      <c r="F64" s="86" t="s">
        <v>293</v>
      </c>
      <c r="G64" s="86" t="s">
        <v>293</v>
      </c>
      <c r="H64" s="87" t="s">
        <v>294</v>
      </c>
      <c r="I64" s="87" t="s">
        <v>294</v>
      </c>
      <c r="J64" s="81" t="s">
        <v>287</v>
      </c>
      <c r="K64" s="81" t="s">
        <v>287</v>
      </c>
      <c r="L64" s="85" t="s">
        <v>289</v>
      </c>
      <c r="M64" s="85" t="s">
        <v>289</v>
      </c>
      <c r="N64" s="83" t="s">
        <v>290</v>
      </c>
      <c r="O64" s="12" t="s">
        <v>139</v>
      </c>
      <c r="P64" s="92" cm="1">
        <f t="array" ref="P64">SUM(_xlfn.XLOOKUP(tblS[[#This Row],[Color1]:[Color9]],$S$3:$S$9,$U$3:$U$9)) + 200</f>
        <v>278</v>
      </c>
      <c r="Q64" s="92">
        <f>15 + 100 * SQRT(POWER(startX - tblS[[#This Row],[X-Coordinates]], 2) + POWER(startY - tblS[[#This Row],[Y-Coordinates]], 2))</f>
        <v>796.02496759066537</v>
      </c>
      <c r="W64"/>
      <c r="AB64" s="8">
        <f>COUNTIFS(tblS[[#This Row],[Color1]:[Color9]],"r")</f>
        <v>2</v>
      </c>
      <c r="AF64" s="8" t="str">
        <v>Bochum</v>
      </c>
      <c r="AG64" s="8" cm="1">
        <f t="array" ref="AG64">LEN(_xlfn.CONCAT(_xlfn._xlws.FILTER(tblS[Scarf Code],tblS[City]=AF64))) - LEN(SUBSTITUTE(_xlfn.CONCAT(_xlfn._xlws.FILTER(tblS[Scarf Code],tblS[City]=AF64)), "R",""))</f>
        <v>0</v>
      </c>
    </row>
    <row r="65" spans="2:33" s="8" customFormat="1" ht="20.100000000000001" customHeight="1">
      <c r="B65" s="12">
        <v>63</v>
      </c>
      <c r="C65" s="12" t="s">
        <v>339</v>
      </c>
      <c r="D65" s="12">
        <v>50</v>
      </c>
      <c r="E65" s="12">
        <v>16</v>
      </c>
      <c r="F65" s="85" t="s">
        <v>289</v>
      </c>
      <c r="G65" s="85" t="s">
        <v>289</v>
      </c>
      <c r="H65" s="85" t="s">
        <v>289</v>
      </c>
      <c r="I65" s="82" t="s">
        <v>288</v>
      </c>
      <c r="J65" s="85" t="s">
        <v>289</v>
      </c>
      <c r="K65" s="82" t="s">
        <v>288</v>
      </c>
      <c r="L65" s="85" t="s">
        <v>289</v>
      </c>
      <c r="M65" s="85" t="s">
        <v>289</v>
      </c>
      <c r="N65" s="85" t="s">
        <v>289</v>
      </c>
      <c r="O65" s="12" t="s">
        <v>131</v>
      </c>
      <c r="P65" s="92" cm="1">
        <f t="array" ref="P65">SUM(_xlfn.XLOOKUP(tblS[[#This Row],[Color1]:[Color9]],$S$3:$S$9,$U$3:$U$9)) + 200</f>
        <v>232</v>
      </c>
      <c r="Q65" s="92">
        <f>15 + 100 * SQRT(POWER(startX - tblS[[#This Row],[X-Coordinates]], 2) + POWER(startY - tblS[[#This Row],[Y-Coordinates]], 2))</f>
        <v>1133.0339887498949</v>
      </c>
      <c r="W65"/>
      <c r="AB65" s="8">
        <f>COUNTIFS(tblS[[#This Row],[Color1]:[Color9]],"r")</f>
        <v>0</v>
      </c>
      <c r="AF65" s="8" t="str">
        <v>Karlsruhe</v>
      </c>
      <c r="AG65" s="8" cm="1">
        <f t="array" ref="AG65">LEN(_xlfn.CONCAT(_xlfn._xlws.FILTER(tblS[Scarf Code],tblS[City]=AF65))) - LEN(SUBSTITUTE(_xlfn.CONCAT(_xlfn._xlws.FILTER(tblS[Scarf Code],tblS[City]=AF65)), "R",""))</f>
        <v>0</v>
      </c>
    </row>
    <row r="66" spans="2:33" s="8" customFormat="1" ht="20.100000000000001" customHeight="1">
      <c r="B66" s="12">
        <v>64</v>
      </c>
      <c r="C66" s="12" t="s">
        <v>207</v>
      </c>
      <c r="D66" s="12">
        <v>48</v>
      </c>
      <c r="E66" s="12">
        <v>25</v>
      </c>
      <c r="F66" s="84" t="s">
        <v>291</v>
      </c>
      <c r="G66" s="84" t="s">
        <v>291</v>
      </c>
      <c r="H66" s="82" t="s">
        <v>288</v>
      </c>
      <c r="I66" s="84" t="s">
        <v>291</v>
      </c>
      <c r="J66" s="84" t="s">
        <v>291</v>
      </c>
      <c r="K66" s="84" t="s">
        <v>291</v>
      </c>
      <c r="L66" s="82" t="s">
        <v>288</v>
      </c>
      <c r="M66" s="84" t="s">
        <v>291</v>
      </c>
      <c r="N66" s="84" t="s">
        <v>291</v>
      </c>
      <c r="O66" s="12" t="s">
        <v>250</v>
      </c>
      <c r="P66" s="92" cm="1">
        <f t="array" ref="P66">SUM(_xlfn.XLOOKUP(tblS[[#This Row],[Color1]:[Color9]],$S$3:$S$9,$U$3:$U$9)) + 200</f>
        <v>218</v>
      </c>
      <c r="Q66" s="92">
        <f>15 + 100 * SQRT(POWER(startX - tblS[[#This Row],[X-Coordinates]], 2) + POWER(startY - tblS[[#This Row],[Y-Coordinates]], 2))</f>
        <v>215</v>
      </c>
      <c r="W66"/>
      <c r="AB66" s="8">
        <f>COUNTIFS(tblS[[#This Row],[Color1]:[Color9]],"r")</f>
        <v>0</v>
      </c>
      <c r="AF66" s="8" t="str">
        <v>Furth</v>
      </c>
      <c r="AG66" s="8" cm="1">
        <f t="array" ref="AG66">LEN(_xlfn.CONCAT(_xlfn._xlws.FILTER(tblS[Scarf Code],tblS[City]=AF66))) - LEN(SUBSTITUTE(_xlfn.CONCAT(_xlfn._xlws.FILTER(tblS[Scarf Code],tblS[City]=AF66)), "R",""))</f>
        <v>0</v>
      </c>
    </row>
    <row r="67" spans="2:33" s="8" customFormat="1" ht="20.100000000000001" customHeight="1">
      <c r="B67" s="12">
        <v>65</v>
      </c>
      <c r="C67" s="12" t="s">
        <v>207</v>
      </c>
      <c r="D67" s="12">
        <v>48</v>
      </c>
      <c r="E67" s="12">
        <v>25</v>
      </c>
      <c r="F67" s="82" t="s">
        <v>288</v>
      </c>
      <c r="G67" s="85" t="s">
        <v>289</v>
      </c>
      <c r="H67" s="82" t="s">
        <v>288</v>
      </c>
      <c r="I67" s="85" t="s">
        <v>289</v>
      </c>
      <c r="J67" s="82" t="s">
        <v>288</v>
      </c>
      <c r="K67" s="85" t="s">
        <v>289</v>
      </c>
      <c r="L67" s="82" t="s">
        <v>288</v>
      </c>
      <c r="M67" s="85" t="s">
        <v>289</v>
      </c>
      <c r="N67" s="82" t="s">
        <v>288</v>
      </c>
      <c r="O67" s="12" t="s">
        <v>279</v>
      </c>
      <c r="P67" s="92" cm="1">
        <f t="array" ref="P67">SUM(_xlfn.XLOOKUP(tblS[[#This Row],[Color1]:[Color9]],$S$3:$S$9,$U$3:$U$9)) + 200</f>
        <v>226</v>
      </c>
      <c r="Q67" s="92">
        <f>15 + 100 * SQRT(POWER(startX - tblS[[#This Row],[X-Coordinates]], 2) + POWER(startY - tblS[[#This Row],[Y-Coordinates]], 2))</f>
        <v>215</v>
      </c>
      <c r="W67"/>
      <c r="AB67" s="8">
        <f>COUNTIFS(tblS[[#This Row],[Color1]:[Color9]],"r")</f>
        <v>0</v>
      </c>
      <c r="AF67" s="8" t="str">
        <v>Mattersburg</v>
      </c>
      <c r="AG67" s="8" cm="1">
        <f t="array" ref="AG67">LEN(_xlfn.CONCAT(_xlfn._xlws.FILTER(tblS[Scarf Code],tblS[City]=AF67))) - LEN(SUBSTITUTE(_xlfn.CONCAT(_xlfn._xlws.FILTER(tblS[Scarf Code],tblS[City]=AF67)), "R",""))</f>
        <v>0</v>
      </c>
    </row>
    <row r="68" spans="2:33" s="8" customFormat="1" ht="20.100000000000001" customHeight="1">
      <c r="B68" s="12">
        <v>66</v>
      </c>
      <c r="C68" s="12" t="s">
        <v>340</v>
      </c>
      <c r="D68" s="12">
        <v>47</v>
      </c>
      <c r="E68" s="12">
        <v>22</v>
      </c>
      <c r="F68" s="81" t="s">
        <v>287</v>
      </c>
      <c r="G68" s="84" t="s">
        <v>291</v>
      </c>
      <c r="H68" s="81" t="s">
        <v>287</v>
      </c>
      <c r="I68" s="84" t="s">
        <v>291</v>
      </c>
      <c r="J68" s="81" t="s">
        <v>287</v>
      </c>
      <c r="K68" s="84" t="s">
        <v>291</v>
      </c>
      <c r="L68" s="81" t="s">
        <v>287</v>
      </c>
      <c r="M68" s="84" t="s">
        <v>291</v>
      </c>
      <c r="N68" s="81" t="s">
        <v>287</v>
      </c>
      <c r="O68" s="12" t="s">
        <v>187</v>
      </c>
      <c r="P68" s="92" cm="1">
        <f t="array" ref="P68">SUM(_xlfn.XLOOKUP(tblS[[#This Row],[Color1]:[Color9]],$S$3:$S$9,$U$3:$U$9)) + 200</f>
        <v>228</v>
      </c>
      <c r="Q68" s="92">
        <f>15 + 100 * SQRT(POWER(startX - tblS[[#This Row],[X-Coordinates]], 2) + POWER(startY - tblS[[#This Row],[Y-Coordinates]], 2))</f>
        <v>524.90195135927843</v>
      </c>
      <c r="W68"/>
      <c r="AB68" s="8">
        <f>COUNTIFS(tblS[[#This Row],[Color1]:[Color9]],"r")</f>
        <v>0</v>
      </c>
      <c r="AF68" s="8" t="str">
        <v>Antau</v>
      </c>
      <c r="AG68" s="8" cm="1">
        <f t="array" ref="AG68">LEN(_xlfn.CONCAT(_xlfn._xlws.FILTER(tblS[Scarf Code],tblS[City]=AF68))) - LEN(SUBSTITUTE(_xlfn.CONCAT(_xlfn._xlws.FILTER(tblS[Scarf Code],tblS[City]=AF68)), "R",""))</f>
        <v>0</v>
      </c>
    </row>
    <row r="69" spans="2:33" s="8" customFormat="1" ht="20.100000000000001" customHeight="1">
      <c r="B69" s="12">
        <v>67</v>
      </c>
      <c r="C69" s="12" t="s">
        <v>341</v>
      </c>
      <c r="D69" s="12">
        <v>47</v>
      </c>
      <c r="E69" s="12">
        <v>24</v>
      </c>
      <c r="F69" s="82" t="s">
        <v>288</v>
      </c>
      <c r="G69" s="83" t="s">
        <v>290</v>
      </c>
      <c r="H69" s="82" t="s">
        <v>288</v>
      </c>
      <c r="I69" s="83" t="s">
        <v>290</v>
      </c>
      <c r="J69" s="82" t="s">
        <v>288</v>
      </c>
      <c r="K69" s="83" t="s">
        <v>290</v>
      </c>
      <c r="L69" s="82" t="s">
        <v>288</v>
      </c>
      <c r="M69" s="83" t="s">
        <v>290</v>
      </c>
      <c r="N69" s="82" t="s">
        <v>288</v>
      </c>
      <c r="O69" s="12" t="s">
        <v>88</v>
      </c>
      <c r="P69" s="92" cm="1">
        <f t="array" ref="P69">SUM(_xlfn.XLOOKUP(tblS[[#This Row],[Color1]:[Color9]],$S$3:$S$9,$U$3:$U$9)) + 200</f>
        <v>290</v>
      </c>
      <c r="Q69" s="92">
        <f>15 + 100 * SQRT(POWER(startX - tblS[[#This Row],[X-Coordinates]], 2) + POWER(startY - tblS[[#This Row],[Y-Coordinates]], 2))</f>
        <v>331.22776601683796</v>
      </c>
      <c r="W69"/>
      <c r="AB69" s="8">
        <f>COUNTIFS(tblS[[#This Row],[Color1]:[Color9]],"r")</f>
        <v>0</v>
      </c>
      <c r="AF69" s="8" t="str">
        <v>Zagreb</v>
      </c>
      <c r="AG69" s="8" cm="1">
        <f t="array" ref="AG69">LEN(_xlfn.CONCAT(_xlfn._xlws.FILTER(tblS[Scarf Code],tblS[City]=AF69))) - LEN(SUBSTITUTE(_xlfn.CONCAT(_xlfn._xlws.FILTER(tblS[Scarf Code],tblS[City]=AF69)), "R",""))</f>
        <v>3</v>
      </c>
    </row>
    <row r="70" spans="2:33" s="8" customFormat="1" ht="20.100000000000001" customHeight="1">
      <c r="B70" s="12">
        <v>68</v>
      </c>
      <c r="C70" s="12" t="s">
        <v>225</v>
      </c>
      <c r="D70" s="12">
        <v>50</v>
      </c>
      <c r="E70" s="12">
        <v>25</v>
      </c>
      <c r="F70" s="82" t="s">
        <v>288</v>
      </c>
      <c r="G70" s="86" t="s">
        <v>293</v>
      </c>
      <c r="H70" s="86" t="s">
        <v>293</v>
      </c>
      <c r="I70" s="82" t="s">
        <v>288</v>
      </c>
      <c r="J70" s="86" t="s">
        <v>293</v>
      </c>
      <c r="K70" s="82" t="s">
        <v>288</v>
      </c>
      <c r="L70" s="86" t="s">
        <v>293</v>
      </c>
      <c r="M70" s="86" t="s">
        <v>293</v>
      </c>
      <c r="N70" s="82" t="s">
        <v>288</v>
      </c>
      <c r="O70" s="12" t="s">
        <v>61</v>
      </c>
      <c r="P70" s="92" cm="1">
        <f t="array" ref="P70">SUM(_xlfn.XLOOKUP(tblS[[#This Row],[Color1]:[Color9]],$S$3:$S$9,$U$3:$U$9)) + 200</f>
        <v>268</v>
      </c>
      <c r="Q70" s="92">
        <f>15 + 100 * SQRT(POWER(startX - tblS[[#This Row],[X-Coordinates]], 2) + POWER(startY - tblS[[#This Row],[Y-Coordinates]], 2))</f>
        <v>297.84271247461902</v>
      </c>
      <c r="W70"/>
      <c r="AB70" s="8">
        <f>COUNTIFS(tblS[[#This Row],[Color1]:[Color9]],"r")</f>
        <v>5</v>
      </c>
      <c r="AF70" s="8" t="str">
        <v>Warsaw</v>
      </c>
      <c r="AG70" s="8" cm="1">
        <f t="array" ref="AG70">LEN(_xlfn.CONCAT(_xlfn._xlws.FILTER(tblS[Scarf Code],tblS[City]=AF70))) - LEN(SUBSTITUTE(_xlfn.CONCAT(_xlfn._xlws.FILTER(tblS[Scarf Code],tblS[City]=AF70)), "R",""))</f>
        <v>1</v>
      </c>
    </row>
    <row r="71" spans="2:33" s="8" customFormat="1" ht="20.100000000000001" customHeight="1">
      <c r="B71" s="12">
        <v>69</v>
      </c>
      <c r="C71" s="12" t="s">
        <v>225</v>
      </c>
      <c r="D71" s="12">
        <v>50</v>
      </c>
      <c r="E71" s="12">
        <v>25</v>
      </c>
      <c r="F71" s="85" t="s">
        <v>289</v>
      </c>
      <c r="G71" s="87" t="s">
        <v>294</v>
      </c>
      <c r="H71" s="86" t="s">
        <v>293</v>
      </c>
      <c r="I71" s="86" t="s">
        <v>293</v>
      </c>
      <c r="J71" s="86" t="s">
        <v>293</v>
      </c>
      <c r="K71" s="86" t="s">
        <v>293</v>
      </c>
      <c r="L71" s="86" t="s">
        <v>293</v>
      </c>
      <c r="M71" s="87" t="s">
        <v>294</v>
      </c>
      <c r="N71" s="85" t="s">
        <v>289</v>
      </c>
      <c r="O71" s="12" t="s">
        <v>125</v>
      </c>
      <c r="P71" s="92" cm="1">
        <f t="array" ref="P71">SUM(_xlfn.XLOOKUP(tblS[[#This Row],[Color1]:[Color9]],$S$3:$S$9,$U$3:$U$9)) + 200</f>
        <v>286</v>
      </c>
      <c r="Q71" s="92">
        <f>15 + 100 * SQRT(POWER(startX - tblS[[#This Row],[X-Coordinates]], 2) + POWER(startY - tblS[[#This Row],[Y-Coordinates]], 2))</f>
        <v>297.84271247461902</v>
      </c>
      <c r="W71"/>
      <c r="AB71" s="8">
        <f>COUNTIFS(tblS[[#This Row],[Color1]:[Color9]],"r")</f>
        <v>5</v>
      </c>
      <c r="AF71" s="8" t="str">
        <v>Edinburgh</v>
      </c>
      <c r="AG71" s="8" cm="1">
        <f t="array" ref="AG71">LEN(_xlfn.CONCAT(_xlfn._xlws.FILTER(tblS[Scarf Code],tblS[City]=AF71))) - LEN(SUBSTITUTE(_xlfn.CONCAT(_xlfn._xlws.FILTER(tblS[Scarf Code],tblS[City]=AF71)), "R",""))</f>
        <v>4</v>
      </c>
    </row>
    <row r="72" spans="2:33" s="8" customFormat="1" ht="20.100000000000001" customHeight="1">
      <c r="B72" s="12">
        <v>70</v>
      </c>
      <c r="C72" s="12" t="s">
        <v>208</v>
      </c>
      <c r="D72" s="12">
        <v>37</v>
      </c>
      <c r="E72" s="12">
        <v>34</v>
      </c>
      <c r="F72" s="82" t="s">
        <v>288</v>
      </c>
      <c r="G72" s="81" t="s">
        <v>287</v>
      </c>
      <c r="H72" s="81" t="s">
        <v>287</v>
      </c>
      <c r="I72" s="82" t="s">
        <v>288</v>
      </c>
      <c r="J72" s="81" t="s">
        <v>287</v>
      </c>
      <c r="K72" s="82" t="s">
        <v>288</v>
      </c>
      <c r="L72" s="81" t="s">
        <v>287</v>
      </c>
      <c r="M72" s="81" t="s">
        <v>287</v>
      </c>
      <c r="N72" s="82" t="s">
        <v>288</v>
      </c>
      <c r="O72" s="12" t="s">
        <v>98</v>
      </c>
      <c r="P72" s="92" cm="1">
        <f t="array" ref="P72">SUM(_xlfn.XLOOKUP(tblS[[#This Row],[Color1]:[Color9]],$S$3:$S$9,$U$3:$U$9)) + 200</f>
        <v>228</v>
      </c>
      <c r="Q72" s="92">
        <f>15 + 100 * SQRT(POWER(startX - tblS[[#This Row],[X-Coordinates]], 2) + POWER(startY - tblS[[#This Row],[Y-Coordinates]], 2))</f>
        <v>1318.8404810405298</v>
      </c>
      <c r="W72"/>
      <c r="AB72" s="8">
        <f>COUNTIFS(tblS[[#This Row],[Color1]:[Color9]],"r")</f>
        <v>0</v>
      </c>
      <c r="AF72" s="8" t="str">
        <v>Aberdeen</v>
      </c>
      <c r="AG72" s="8" cm="1">
        <f t="array" ref="AG72">LEN(_xlfn.CONCAT(_xlfn._xlws.FILTER(tblS[Scarf Code],tblS[City]=AF72))) - LEN(SUBSTITUTE(_xlfn.CONCAT(_xlfn._xlws.FILTER(tblS[Scarf Code],tblS[City]=AF72)), "R",""))</f>
        <v>6</v>
      </c>
    </row>
    <row r="73" spans="2:33" s="8" customFormat="1" ht="20.100000000000001" customHeight="1">
      <c r="B73" s="12">
        <v>71</v>
      </c>
      <c r="C73" s="12" t="s">
        <v>342</v>
      </c>
      <c r="D73" s="12">
        <v>44</v>
      </c>
      <c r="E73" s="12">
        <v>28</v>
      </c>
      <c r="F73" s="85" t="s">
        <v>289</v>
      </c>
      <c r="G73" s="86" t="s">
        <v>293</v>
      </c>
      <c r="H73" s="85" t="s">
        <v>289</v>
      </c>
      <c r="I73" s="86" t="s">
        <v>293</v>
      </c>
      <c r="J73" s="85" t="s">
        <v>289</v>
      </c>
      <c r="K73" s="86" t="s">
        <v>293</v>
      </c>
      <c r="L73" s="85" t="s">
        <v>289</v>
      </c>
      <c r="M73" s="86" t="s">
        <v>293</v>
      </c>
      <c r="N73" s="85" t="s">
        <v>289</v>
      </c>
      <c r="O73" s="12" t="s">
        <v>184</v>
      </c>
      <c r="P73" s="92" cm="1">
        <f t="array" ref="P73">SUM(_xlfn.XLOOKUP(tblS[[#This Row],[Color1]:[Color9]],$S$3:$S$9,$U$3:$U$9)) + 200</f>
        <v>268</v>
      </c>
      <c r="Q73" s="92">
        <f>15 + 100 * SQRT(POWER(startX - tblS[[#This Row],[X-Coordinates]], 2) + POWER(startY - tblS[[#This Row],[Y-Coordinates]], 2))</f>
        <v>427.31056256176606</v>
      </c>
      <c r="W73"/>
      <c r="AB73" s="8">
        <f>COUNTIFS(tblS[[#This Row],[Color1]:[Color9]],"r")</f>
        <v>4</v>
      </c>
      <c r="AF73" s="8" t="str">
        <v>Vilnius</v>
      </c>
      <c r="AG73" s="8" cm="1">
        <f t="array" ref="AG73">LEN(_xlfn.CONCAT(_xlfn._xlws.FILTER(tblS[Scarf Code],tblS[City]=AF73))) - LEN(SUBSTITUTE(_xlfn.CONCAT(_xlfn._xlws.FILTER(tblS[Scarf Code],tblS[City]=AF73)), "R",""))</f>
        <v>0</v>
      </c>
    </row>
    <row r="74" spans="2:33" s="8" customFormat="1" ht="20.100000000000001" customHeight="1">
      <c r="B74" s="12">
        <v>72</v>
      </c>
      <c r="C74" s="12" t="s">
        <v>343</v>
      </c>
      <c r="D74" s="12">
        <v>46</v>
      </c>
      <c r="E74" s="12">
        <v>26</v>
      </c>
      <c r="F74" s="83" t="s">
        <v>290</v>
      </c>
      <c r="G74" s="83" t="s">
        <v>290</v>
      </c>
      <c r="H74" s="87" t="s">
        <v>294</v>
      </c>
      <c r="I74" s="83" t="s">
        <v>290</v>
      </c>
      <c r="J74" s="87" t="s">
        <v>294</v>
      </c>
      <c r="K74" s="83" t="s">
        <v>290</v>
      </c>
      <c r="L74" s="87" t="s">
        <v>294</v>
      </c>
      <c r="M74" s="83" t="s">
        <v>290</v>
      </c>
      <c r="N74" s="83" t="s">
        <v>290</v>
      </c>
      <c r="O74" s="12" t="s">
        <v>254</v>
      </c>
      <c r="P74" s="92" cm="1">
        <f t="array" ref="P74">SUM(_xlfn.XLOOKUP(tblS[[#This Row],[Color1]:[Color9]],$S$3:$S$9,$U$3:$U$9)) + 200</f>
        <v>347</v>
      </c>
      <c r="Q74" s="92">
        <f>15 + 100 * SQRT(POWER(startX - tblS[[#This Row],[X-Coordinates]], 2) + POWER(startY - tblS[[#This Row],[Y-Coordinates]], 2))</f>
        <v>238.60679774997897</v>
      </c>
      <c r="W74"/>
      <c r="AB74" s="8">
        <f>COUNTIFS(tblS[[#This Row],[Color1]:[Color9]],"r")</f>
        <v>0</v>
      </c>
      <c r="AF74" s="8" t="str">
        <v>Riga</v>
      </c>
      <c r="AG74" s="8" cm="1">
        <f t="array" ref="AG74">LEN(_xlfn.CONCAT(_xlfn._xlws.FILTER(tblS[Scarf Code],tblS[City]=AF74))) - LEN(SUBSTITUTE(_xlfn.CONCAT(_xlfn._xlws.FILTER(tblS[Scarf Code],tblS[City]=AF74)), "R",""))</f>
        <v>0</v>
      </c>
    </row>
    <row r="75" spans="2:33" s="8" customFormat="1" ht="20.100000000000001" customHeight="1">
      <c r="B75" s="12">
        <v>73</v>
      </c>
      <c r="C75" s="12" t="s">
        <v>344</v>
      </c>
      <c r="D75" s="12">
        <v>60</v>
      </c>
      <c r="E75" s="12">
        <v>35</v>
      </c>
      <c r="F75" s="85" t="s">
        <v>289</v>
      </c>
      <c r="G75" s="85" t="s">
        <v>289</v>
      </c>
      <c r="H75" s="82" t="s">
        <v>288</v>
      </c>
      <c r="I75" s="82" t="s">
        <v>288</v>
      </c>
      <c r="J75" s="82" t="s">
        <v>288</v>
      </c>
      <c r="K75" s="82" t="s">
        <v>288</v>
      </c>
      <c r="L75" s="82" t="s">
        <v>288</v>
      </c>
      <c r="M75" s="85" t="s">
        <v>289</v>
      </c>
      <c r="N75" s="85" t="s">
        <v>289</v>
      </c>
      <c r="O75" s="12" t="s">
        <v>89</v>
      </c>
      <c r="P75" s="92" cm="1">
        <f t="array" ref="P75">SUM(_xlfn.XLOOKUP(tblS[[#This Row],[Color1]:[Color9]],$S$3:$S$9,$U$3:$U$9)) + 200</f>
        <v>226</v>
      </c>
      <c r="Q75" s="92">
        <f>15 + 100 * SQRT(POWER(startX - tblS[[#This Row],[X-Coordinates]], 2) + POWER(startY - tblS[[#This Row],[Y-Coordinates]], 2))</f>
        <v>1457.2205101855957</v>
      </c>
      <c r="W75"/>
      <c r="AB75" s="8">
        <f>COUNTIFS(tblS[[#This Row],[Color1]:[Color9]],"r")</f>
        <v>0</v>
      </c>
      <c r="AF75" s="8" t="str">
        <v>Tallinn</v>
      </c>
      <c r="AG75" s="8" cm="1">
        <f t="array" ref="AG75">LEN(_xlfn.CONCAT(_xlfn._xlws.FILTER(tblS[Scarf Code],tblS[City]=AF75))) - LEN(SUBSTITUTE(_xlfn.CONCAT(_xlfn._xlws.FILTER(tblS[Scarf Code],tblS[City]=AF75)), "R",""))</f>
        <v>0</v>
      </c>
    </row>
    <row r="76" spans="2:33" s="8" customFormat="1" ht="20.100000000000001" customHeight="1">
      <c r="B76" s="12">
        <v>74</v>
      </c>
      <c r="C76" s="12" t="s">
        <v>345</v>
      </c>
      <c r="D76" s="12">
        <v>48</v>
      </c>
      <c r="E76" s="12">
        <v>28</v>
      </c>
      <c r="F76" s="85" t="s">
        <v>289</v>
      </c>
      <c r="G76" s="85" t="s">
        <v>289</v>
      </c>
      <c r="H76" s="85" t="s">
        <v>289</v>
      </c>
      <c r="I76" s="82" t="s">
        <v>288</v>
      </c>
      <c r="J76" s="86" t="s">
        <v>293</v>
      </c>
      <c r="K76" s="82" t="s">
        <v>288</v>
      </c>
      <c r="L76" s="85" t="s">
        <v>289</v>
      </c>
      <c r="M76" s="85" t="s">
        <v>289</v>
      </c>
      <c r="N76" s="85" t="s">
        <v>289</v>
      </c>
      <c r="O76" s="12" t="s">
        <v>171</v>
      </c>
      <c r="P76" s="92" cm="1">
        <f t="array" ref="P76">SUM(_xlfn.XLOOKUP(tblS[[#This Row],[Color1]:[Color9]],$S$3:$S$9,$U$3:$U$9)) + 200</f>
        <v>240</v>
      </c>
      <c r="Q76" s="92">
        <f>15 + 100 * SQRT(POWER(startX - tblS[[#This Row],[X-Coordinates]], 2) + POWER(startY - tblS[[#This Row],[Y-Coordinates]], 2))</f>
        <v>115</v>
      </c>
      <c r="W76"/>
      <c r="AB76" s="8">
        <f>COUNTIFS(tblS[[#This Row],[Color1]:[Color9]],"r")</f>
        <v>1</v>
      </c>
      <c r="AF76" s="8" t="str">
        <v>Dresden</v>
      </c>
      <c r="AG76" s="8" cm="1">
        <f t="array" ref="AG76">LEN(_xlfn.CONCAT(_xlfn._xlws.FILTER(tblS[Scarf Code],tblS[City]=AF76))) - LEN(SUBSTITUTE(_xlfn.CONCAT(_xlfn._xlws.FILTER(tblS[Scarf Code],tblS[City]=AF76)), "R",""))</f>
        <v>0</v>
      </c>
    </row>
    <row r="77" spans="2:33" s="8" customFormat="1" ht="20.100000000000001" customHeight="1">
      <c r="B77" s="12">
        <v>75</v>
      </c>
      <c r="C77" s="12" t="s">
        <v>346</v>
      </c>
      <c r="D77" s="12">
        <v>51</v>
      </c>
      <c r="E77" s="12">
        <v>20</v>
      </c>
      <c r="F77" s="82" t="s">
        <v>288</v>
      </c>
      <c r="G77" s="85" t="s">
        <v>289</v>
      </c>
      <c r="H77" s="85" t="s">
        <v>289</v>
      </c>
      <c r="I77" s="82" t="s">
        <v>288</v>
      </c>
      <c r="J77" s="82" t="s">
        <v>288</v>
      </c>
      <c r="K77" s="82" t="s">
        <v>288</v>
      </c>
      <c r="L77" s="85" t="s">
        <v>289</v>
      </c>
      <c r="M77" s="85" t="s">
        <v>289</v>
      </c>
      <c r="N77" s="82" t="s">
        <v>288</v>
      </c>
      <c r="O77" s="12" t="s">
        <v>135</v>
      </c>
      <c r="P77" s="92" cm="1">
        <f t="array" ref="P77">SUM(_xlfn.XLOOKUP(tblS[[#This Row],[Color1]:[Color9]],$S$3:$S$9,$U$3:$U$9)) + 200</f>
        <v>226</v>
      </c>
      <c r="Q77" s="92">
        <f>15 + 100 * SQRT(POWER(startX - tblS[[#This Row],[X-Coordinates]], 2) + POWER(startY - tblS[[#This Row],[Y-Coordinates]], 2))</f>
        <v>776.57731058639092</v>
      </c>
      <c r="W77"/>
      <c r="AB77" s="8">
        <f>COUNTIFS(tblS[[#This Row],[Color1]:[Color9]],"r")</f>
        <v>0</v>
      </c>
      <c r="AF77" s="8" t="str">
        <v>Aue</v>
      </c>
      <c r="AG77" s="8" cm="1">
        <f t="array" ref="AG77">LEN(_xlfn.CONCAT(_xlfn._xlws.FILTER(tblS[Scarf Code],tblS[City]=AF77))) - LEN(SUBSTITUTE(_xlfn.CONCAT(_xlfn._xlws.FILTER(tblS[Scarf Code],tblS[City]=AF77)), "R",""))</f>
        <v>0</v>
      </c>
    </row>
    <row r="78" spans="2:33" s="8" customFormat="1" ht="20.100000000000001" customHeight="1">
      <c r="B78" s="12">
        <v>76</v>
      </c>
      <c r="C78" s="12" t="s">
        <v>347</v>
      </c>
      <c r="D78" s="12">
        <v>49</v>
      </c>
      <c r="E78" s="12">
        <v>19</v>
      </c>
      <c r="F78" s="85" t="s">
        <v>289</v>
      </c>
      <c r="G78" s="82" t="s">
        <v>288</v>
      </c>
      <c r="H78" s="82" t="s">
        <v>288</v>
      </c>
      <c r="I78" s="82" t="s">
        <v>288</v>
      </c>
      <c r="J78" s="85" t="s">
        <v>289</v>
      </c>
      <c r="K78" s="82" t="s">
        <v>288</v>
      </c>
      <c r="L78" s="82" t="s">
        <v>288</v>
      </c>
      <c r="M78" s="82" t="s">
        <v>288</v>
      </c>
      <c r="N78" s="85" t="s">
        <v>289</v>
      </c>
      <c r="O78" s="12" t="s">
        <v>148</v>
      </c>
      <c r="P78" s="92" cm="1">
        <f t="array" ref="P78">SUM(_xlfn.XLOOKUP(tblS[[#This Row],[Color1]:[Color9]],$S$3:$S$9,$U$3:$U$9)) + 200</f>
        <v>224</v>
      </c>
      <c r="Q78" s="92">
        <f>15 + 100 * SQRT(POWER(startX - tblS[[#This Row],[X-Coordinates]], 2) + POWER(startY - tblS[[#This Row],[Y-Coordinates]], 2))</f>
        <v>821.22577482985491</v>
      </c>
      <c r="W78"/>
      <c r="AB78" s="8">
        <f>COUNTIFS(tblS[[#This Row],[Color1]:[Color9]],"r")</f>
        <v>0</v>
      </c>
      <c r="AF78" s="8" t="str">
        <v>Zwickau</v>
      </c>
      <c r="AG78" s="8" cm="1">
        <f t="array" ref="AG78">LEN(_xlfn.CONCAT(_xlfn._xlws.FILTER(tblS[Scarf Code],tblS[City]=AF78))) - LEN(SUBSTITUTE(_xlfn.CONCAT(_xlfn._xlws.FILTER(tblS[Scarf Code],tblS[City]=AF78)), "R",""))</f>
        <v>5</v>
      </c>
    </row>
    <row r="79" spans="2:33" s="8" customFormat="1" ht="20.100000000000001" customHeight="1">
      <c r="B79" s="12">
        <v>77</v>
      </c>
      <c r="C79" s="12" t="s">
        <v>348</v>
      </c>
      <c r="D79" s="12">
        <v>49</v>
      </c>
      <c r="E79" s="12">
        <v>22</v>
      </c>
      <c r="F79" s="81" t="s">
        <v>287</v>
      </c>
      <c r="G79" s="81" t="s">
        <v>287</v>
      </c>
      <c r="H79" s="82" t="s">
        <v>288</v>
      </c>
      <c r="I79" s="82" t="s">
        <v>288</v>
      </c>
      <c r="J79" s="81" t="s">
        <v>287</v>
      </c>
      <c r="K79" s="82" t="s">
        <v>288</v>
      </c>
      <c r="L79" s="82" t="s">
        <v>288</v>
      </c>
      <c r="M79" s="81" t="s">
        <v>287</v>
      </c>
      <c r="N79" s="81" t="s">
        <v>287</v>
      </c>
      <c r="O79" s="12" t="s">
        <v>349</v>
      </c>
      <c r="P79" s="92" cm="1">
        <f t="array" ref="P79">SUM(_xlfn.XLOOKUP(tblS[[#This Row],[Color1]:[Color9]],$S$3:$S$9,$U$3:$U$9)) + 200</f>
        <v>228</v>
      </c>
      <c r="Q79" s="92">
        <f>15 + 100 * SQRT(POWER(startX - tblS[[#This Row],[X-Coordinates]], 2) + POWER(startY - tblS[[#This Row],[Y-Coordinates]], 2))</f>
        <v>524.90195135927843</v>
      </c>
      <c r="W79"/>
      <c r="AB79" s="8">
        <f>COUNTIFS(tblS[[#This Row],[Color1]:[Color9]],"r")</f>
        <v>0</v>
      </c>
      <c r="AF79" s="8" t="str">
        <v>Essen</v>
      </c>
      <c r="AG79" s="8" cm="1">
        <f t="array" ref="AG79">LEN(_xlfn.CONCAT(_xlfn._xlws.FILTER(tblS[Scarf Code],tblS[City]=AF79))) - LEN(SUBSTITUTE(_xlfn.CONCAT(_xlfn._xlws.FILTER(tblS[Scarf Code],tblS[City]=AF79)), "R",""))</f>
        <v>4</v>
      </c>
    </row>
    <row r="80" spans="2:33" s="8" customFormat="1" ht="20.100000000000001" customHeight="1">
      <c r="B80" s="12">
        <v>78</v>
      </c>
      <c r="C80" s="12" t="s">
        <v>350</v>
      </c>
      <c r="D80" s="12">
        <v>47</v>
      </c>
      <c r="E80" s="12">
        <v>25</v>
      </c>
      <c r="F80" s="81" t="s">
        <v>287</v>
      </c>
      <c r="G80" s="81" t="s">
        <v>287</v>
      </c>
      <c r="H80" s="82" t="s">
        <v>288</v>
      </c>
      <c r="I80" s="82" t="s">
        <v>288</v>
      </c>
      <c r="J80" s="82" t="s">
        <v>288</v>
      </c>
      <c r="K80" s="82" t="s">
        <v>288</v>
      </c>
      <c r="L80" s="82" t="s">
        <v>288</v>
      </c>
      <c r="M80" s="81" t="s">
        <v>287</v>
      </c>
      <c r="N80" s="81" t="s">
        <v>287</v>
      </c>
      <c r="O80" s="12" t="s">
        <v>127</v>
      </c>
      <c r="P80" s="92" cm="1">
        <f t="array" ref="P80">SUM(_xlfn.XLOOKUP(tblS[[#This Row],[Color1]:[Color9]],$S$3:$S$9,$U$3:$U$9)) + 200</f>
        <v>226</v>
      </c>
      <c r="Q80" s="92">
        <f>15 + 100 * SQRT(POWER(startX - tblS[[#This Row],[X-Coordinates]], 2) + POWER(startY - tblS[[#This Row],[Y-Coordinates]], 2))</f>
        <v>238.60679774997897</v>
      </c>
      <c r="W80"/>
      <c r="AB80" s="8">
        <f>COUNTIFS(tblS[[#This Row],[Color1]:[Color9]],"r")</f>
        <v>0</v>
      </c>
      <c r="AF80" s="8" t="str">
        <v>Duisburg</v>
      </c>
      <c r="AG80" s="8" cm="1">
        <f t="array" ref="AG80">LEN(_xlfn.CONCAT(_xlfn._xlws.FILTER(tblS[Scarf Code],tblS[City]=AF80))) - LEN(SUBSTITUTE(_xlfn.CONCAT(_xlfn._xlws.FILTER(tblS[Scarf Code],tblS[City]=AF80)), "R",""))</f>
        <v>0</v>
      </c>
    </row>
    <row r="81" spans="2:33" s="8" customFormat="1" ht="20.100000000000001" customHeight="1">
      <c r="B81" s="12">
        <v>79</v>
      </c>
      <c r="C81" s="12" t="s">
        <v>222</v>
      </c>
      <c r="D81" s="12">
        <v>47</v>
      </c>
      <c r="E81" s="12">
        <v>27</v>
      </c>
      <c r="F81" s="84" t="s">
        <v>291</v>
      </c>
      <c r="G81" s="84" t="s">
        <v>291</v>
      </c>
      <c r="H81" s="82" t="s">
        <v>288</v>
      </c>
      <c r="I81" s="82" t="s">
        <v>288</v>
      </c>
      <c r="J81" s="82" t="s">
        <v>288</v>
      </c>
      <c r="K81" s="82" t="s">
        <v>288</v>
      </c>
      <c r="L81" s="82" t="s">
        <v>288</v>
      </c>
      <c r="M81" s="84" t="s">
        <v>291</v>
      </c>
      <c r="N81" s="84" t="s">
        <v>291</v>
      </c>
      <c r="O81" s="12" t="s">
        <v>126</v>
      </c>
      <c r="P81" s="92" cm="1">
        <f t="array" ref="P81">SUM(_xlfn.XLOOKUP(tblS[[#This Row],[Color1]:[Color9]],$S$3:$S$9,$U$3:$U$9)) + 200</f>
        <v>218</v>
      </c>
      <c r="Q81" s="92">
        <f>15 + 100 * SQRT(POWER(startX - tblS[[#This Row],[X-Coordinates]], 2) + POWER(startY - tblS[[#This Row],[Y-Coordinates]], 2))</f>
        <v>115</v>
      </c>
      <c r="W81"/>
      <c r="AB81" s="8">
        <f>COUNTIFS(tblS[[#This Row],[Color1]:[Color9]],"r")</f>
        <v>0</v>
      </c>
      <c r="AF81" s="8" t="str">
        <v>Kopenhagen</v>
      </c>
      <c r="AG81" s="8" cm="1">
        <f t="array" ref="AG81">LEN(_xlfn.CONCAT(_xlfn._xlws.FILTER(tblS[Scarf Code],tblS[City]=AF81))) - LEN(SUBSTITUTE(_xlfn.CONCAT(_xlfn._xlws.FILTER(tblS[Scarf Code],tblS[City]=AF81)), "R",""))</f>
        <v>0</v>
      </c>
    </row>
    <row r="82" spans="2:33" s="8" customFormat="1" ht="20.100000000000001" customHeight="1">
      <c r="B82" s="12">
        <v>80</v>
      </c>
      <c r="C82" s="12" t="s">
        <v>351</v>
      </c>
      <c r="D82" s="12">
        <v>45</v>
      </c>
      <c r="E82" s="12">
        <v>27</v>
      </c>
      <c r="F82" s="86" t="s">
        <v>293</v>
      </c>
      <c r="G82" s="82" t="s">
        <v>288</v>
      </c>
      <c r="H82" s="85" t="s">
        <v>289</v>
      </c>
      <c r="I82" s="86" t="s">
        <v>293</v>
      </c>
      <c r="J82" s="82" t="s">
        <v>288</v>
      </c>
      <c r="K82" s="85" t="s">
        <v>289</v>
      </c>
      <c r="L82" s="86" t="s">
        <v>293</v>
      </c>
      <c r="M82" s="82" t="s">
        <v>288</v>
      </c>
      <c r="N82" s="85" t="s">
        <v>289</v>
      </c>
      <c r="O82" s="12" t="s">
        <v>133</v>
      </c>
      <c r="P82" s="92" cm="1">
        <f t="array" ref="P82">SUM(_xlfn.XLOOKUP(tblS[[#This Row],[Color1]:[Color9]],$S$3:$S$9,$U$3:$U$9)) + 200</f>
        <v>254</v>
      </c>
      <c r="Q82" s="92">
        <f>15 + 100 * SQRT(POWER(startX - tblS[[#This Row],[X-Coordinates]], 2) + POWER(startY - tblS[[#This Row],[Y-Coordinates]], 2))</f>
        <v>315</v>
      </c>
      <c r="W82"/>
      <c r="AB82" s="8">
        <f>COUNTIFS(tblS[[#This Row],[Color1]:[Color9]],"r")</f>
        <v>3</v>
      </c>
      <c r="AF82" s="8" t="str">
        <v>Birmingham</v>
      </c>
      <c r="AG82" s="8" cm="1">
        <f t="array" ref="AG82">LEN(_xlfn.CONCAT(_xlfn._xlws.FILTER(tblS[Scarf Code],tblS[City]=AF82))) - LEN(SUBSTITUTE(_xlfn.CONCAT(_xlfn._xlws.FILTER(tblS[Scarf Code],tblS[City]=AF82)), "R",""))</f>
        <v>0</v>
      </c>
    </row>
    <row r="83" spans="2:33" s="8" customFormat="1" ht="20.100000000000001" customHeight="1">
      <c r="B83" s="12">
        <v>81</v>
      </c>
      <c r="C83" s="12" t="s">
        <v>352</v>
      </c>
      <c r="D83" s="12">
        <v>52</v>
      </c>
      <c r="E83" s="12">
        <v>32</v>
      </c>
      <c r="F83" s="81" t="s">
        <v>287</v>
      </c>
      <c r="G83" s="81" t="s">
        <v>287</v>
      </c>
      <c r="H83" s="81" t="s">
        <v>287</v>
      </c>
      <c r="I83" s="81" t="s">
        <v>287</v>
      </c>
      <c r="J83" s="82" t="s">
        <v>288</v>
      </c>
      <c r="K83" s="86" t="s">
        <v>293</v>
      </c>
      <c r="L83" s="82" t="s">
        <v>288</v>
      </c>
      <c r="M83" s="82" t="s">
        <v>288</v>
      </c>
      <c r="N83" s="82" t="s">
        <v>288</v>
      </c>
      <c r="O83" s="12" t="s">
        <v>146</v>
      </c>
      <c r="P83" s="92" cm="1">
        <f t="array" ref="P83">SUM(_xlfn.XLOOKUP(tblS[[#This Row],[Color1]:[Color9]],$S$3:$S$9,$U$3:$U$9)) + 200</f>
        <v>236</v>
      </c>
      <c r="Q83" s="92">
        <f>15 + 100 * SQRT(POWER(startX - tblS[[#This Row],[X-Coordinates]], 2) + POWER(startY - tblS[[#This Row],[Y-Coordinates]], 2))</f>
        <v>655.31242374328485</v>
      </c>
      <c r="W83"/>
      <c r="AB83" s="8">
        <f>COUNTIFS(tblS[[#This Row],[Color1]:[Color9]],"r")</f>
        <v>1</v>
      </c>
      <c r="AF83" s="8" t="str">
        <v>Saarbrücken</v>
      </c>
      <c r="AG83" s="8" cm="1">
        <f t="array" ref="AG83">LEN(_xlfn.CONCAT(_xlfn._xlws.FILTER(tblS[Scarf Code],tblS[City]=AF83))) - LEN(SUBSTITUTE(_xlfn.CONCAT(_xlfn._xlws.FILTER(tblS[Scarf Code],tblS[City]=AF83)), "R",""))</f>
        <v>0</v>
      </c>
    </row>
    <row r="84" spans="2:33" s="8" customFormat="1" ht="20.100000000000001" customHeight="1">
      <c r="B84" s="12">
        <v>82</v>
      </c>
      <c r="C84" s="12" t="s">
        <v>212</v>
      </c>
      <c r="D84" s="12">
        <v>55</v>
      </c>
      <c r="E84" s="12">
        <v>8</v>
      </c>
      <c r="F84" s="86" t="s">
        <v>293</v>
      </c>
      <c r="G84" s="86" t="s">
        <v>293</v>
      </c>
      <c r="H84" s="83" t="s">
        <v>290</v>
      </c>
      <c r="I84" s="85" t="s">
        <v>289</v>
      </c>
      <c r="J84" s="82" t="s">
        <v>288</v>
      </c>
      <c r="K84" s="85" t="s">
        <v>289</v>
      </c>
      <c r="L84" s="83" t="s">
        <v>290</v>
      </c>
      <c r="M84" s="86" t="s">
        <v>293</v>
      </c>
      <c r="N84" s="86" t="s">
        <v>293</v>
      </c>
      <c r="O84" s="12" t="s">
        <v>85</v>
      </c>
      <c r="P84" s="92" cm="1">
        <f t="array" ref="P84">SUM(_xlfn.XLOOKUP(tblS[[#This Row],[Color1]:[Color9]],$S$3:$S$9,$U$3:$U$9)) + 200</f>
        <v>298</v>
      </c>
      <c r="Q84" s="92">
        <f>15 + 100 * SQRT(POWER(startX - tblS[[#This Row],[X-Coordinates]], 2) + POWER(startY - tblS[[#This Row],[Y-Coordinates]], 2))</f>
        <v>2039.8456731316587</v>
      </c>
      <c r="W84"/>
      <c r="AB84" s="8">
        <f>COUNTIFS(tblS[[#This Row],[Color1]:[Color9]],"r")</f>
        <v>4</v>
      </c>
      <c r="AF84" s="8" t="str">
        <v>Strasbourg</v>
      </c>
      <c r="AG84" s="8" cm="1">
        <f t="array" ref="AG84">LEN(_xlfn.CONCAT(_xlfn._xlws.FILTER(tblS[Scarf Code],tblS[City]=AF84))) - LEN(SUBSTITUTE(_xlfn.CONCAT(_xlfn._xlws.FILTER(tblS[Scarf Code],tblS[City]=AF84)), "R",""))</f>
        <v>3</v>
      </c>
    </row>
    <row r="85" spans="2:33" s="8" customFormat="1" ht="20.100000000000001" customHeight="1">
      <c r="B85" s="12">
        <v>83</v>
      </c>
      <c r="C85" s="12" t="s">
        <v>212</v>
      </c>
      <c r="D85" s="12">
        <v>55</v>
      </c>
      <c r="E85" s="12">
        <v>8</v>
      </c>
      <c r="F85" s="81" t="s">
        <v>287</v>
      </c>
      <c r="G85" s="81" t="s">
        <v>287</v>
      </c>
      <c r="H85" s="82" t="s">
        <v>288</v>
      </c>
      <c r="I85" s="81" t="s">
        <v>287</v>
      </c>
      <c r="J85" s="81" t="s">
        <v>287</v>
      </c>
      <c r="K85" s="81" t="s">
        <v>287</v>
      </c>
      <c r="L85" s="82" t="s">
        <v>288</v>
      </c>
      <c r="M85" s="81" t="s">
        <v>287</v>
      </c>
      <c r="N85" s="81" t="s">
        <v>287</v>
      </c>
      <c r="O85" s="12" t="s">
        <v>92</v>
      </c>
      <c r="P85" s="92" cm="1">
        <f t="array" ref="P85">SUM(_xlfn.XLOOKUP(tblS[[#This Row],[Color1]:[Color9]],$S$3:$S$9,$U$3:$U$9)) + 200</f>
        <v>232</v>
      </c>
      <c r="Q85" s="92">
        <f>15 + 100 * SQRT(POWER(startX - tblS[[#This Row],[X-Coordinates]], 2) + POWER(startY - tblS[[#This Row],[Y-Coordinates]], 2))</f>
        <v>2039.8456731316587</v>
      </c>
      <c r="W85"/>
      <c r="AB85" s="8">
        <f>COUNTIFS(tblS[[#This Row],[Color1]:[Color9]],"r")</f>
        <v>0</v>
      </c>
    </row>
    <row r="86" spans="2:33" s="8" customFormat="1" ht="20.100000000000001" customHeight="1">
      <c r="B86" s="12">
        <v>84</v>
      </c>
      <c r="C86" s="12" t="s">
        <v>217</v>
      </c>
      <c r="D86" s="12">
        <v>57</v>
      </c>
      <c r="E86" s="12">
        <v>9</v>
      </c>
      <c r="F86" s="86" t="s">
        <v>293</v>
      </c>
      <c r="G86" s="86" t="s">
        <v>293</v>
      </c>
      <c r="H86" s="82" t="s">
        <v>288</v>
      </c>
      <c r="I86" s="86" t="s">
        <v>293</v>
      </c>
      <c r="J86" s="82" t="s">
        <v>288</v>
      </c>
      <c r="K86" s="86" t="s">
        <v>293</v>
      </c>
      <c r="L86" s="82" t="s">
        <v>288</v>
      </c>
      <c r="M86" s="86" t="s">
        <v>293</v>
      </c>
      <c r="N86" s="86" t="s">
        <v>293</v>
      </c>
      <c r="O86" s="12" t="s">
        <v>87</v>
      </c>
      <c r="P86" s="92" cm="1">
        <f t="array" ref="P86">SUM(_xlfn.XLOOKUP(tblS[[#This Row],[Color1]:[Color9]],$S$3:$S$9,$U$3:$U$9)) + 200</f>
        <v>278</v>
      </c>
      <c r="Q86" s="92">
        <f>15 + 100 * SQRT(POWER(startX - tblS[[#This Row],[X-Coordinates]], 2) + POWER(startY - tblS[[#This Row],[Y-Coordinates]], 2))</f>
        <v>2027.4611797498108</v>
      </c>
      <c r="W86"/>
      <c r="AB86" s="8">
        <f>COUNTIFS(tblS[[#This Row],[Color1]:[Color9]],"r")</f>
        <v>6</v>
      </c>
    </row>
    <row r="87" spans="2:33" s="8" customFormat="1" ht="20.100000000000001" customHeight="1">
      <c r="B87" s="12">
        <v>85</v>
      </c>
      <c r="C87" s="12" t="s">
        <v>353</v>
      </c>
      <c r="D87" s="12">
        <v>54</v>
      </c>
      <c r="E87" s="12">
        <v>36</v>
      </c>
      <c r="F87" s="82" t="s">
        <v>288</v>
      </c>
      <c r="G87" s="82" t="s">
        <v>288</v>
      </c>
      <c r="H87" s="81" t="s">
        <v>287</v>
      </c>
      <c r="I87" s="81" t="s">
        <v>287</v>
      </c>
      <c r="J87" s="82" t="s">
        <v>288</v>
      </c>
      <c r="K87" s="81" t="s">
        <v>287</v>
      </c>
      <c r="L87" s="81" t="s">
        <v>287</v>
      </c>
      <c r="M87" s="82" t="s">
        <v>288</v>
      </c>
      <c r="N87" s="82" t="s">
        <v>288</v>
      </c>
      <c r="O87" s="12" t="s">
        <v>48</v>
      </c>
      <c r="P87" s="92" cm="1">
        <f t="array" ref="P87">SUM(_xlfn.XLOOKUP(tblS[[#This Row],[Color1]:[Color9]],$S$3:$S$9,$U$3:$U$9)) + 200</f>
        <v>226</v>
      </c>
      <c r="Q87" s="92">
        <f>15 + 100 * SQRT(POWER(startX - tblS[[#This Row],[X-Coordinates]], 2) + POWER(startY - tblS[[#This Row],[Y-Coordinates]], 2))</f>
        <v>1096.6653826391969</v>
      </c>
      <c r="W87"/>
      <c r="AB87" s="8">
        <f>COUNTIFS(tblS[[#This Row],[Color1]:[Color9]],"r")</f>
        <v>0</v>
      </c>
    </row>
    <row r="88" spans="2:33" s="8" customFormat="1" ht="20.100000000000001" customHeight="1">
      <c r="B88" s="12">
        <v>86</v>
      </c>
      <c r="C88" s="12" t="s">
        <v>354</v>
      </c>
      <c r="D88" s="12">
        <v>56</v>
      </c>
      <c r="E88" s="12">
        <v>35</v>
      </c>
      <c r="F88" s="82" t="s">
        <v>288</v>
      </c>
      <c r="G88" s="85" t="s">
        <v>289</v>
      </c>
      <c r="H88" s="82" t="s">
        <v>288</v>
      </c>
      <c r="I88" s="82" t="s">
        <v>288</v>
      </c>
      <c r="J88" s="82" t="s">
        <v>288</v>
      </c>
      <c r="K88" s="82" t="s">
        <v>288</v>
      </c>
      <c r="L88" s="82" t="s">
        <v>288</v>
      </c>
      <c r="M88" s="85" t="s">
        <v>289</v>
      </c>
      <c r="N88" s="82" t="s">
        <v>288</v>
      </c>
      <c r="O88" s="12" t="s">
        <v>64</v>
      </c>
      <c r="P88" s="92" cm="1">
        <f t="array" ref="P88">SUM(_xlfn.XLOOKUP(tblS[[#This Row],[Color1]:[Color9]],$S$3:$S$9,$U$3:$U$9)) + 200</f>
        <v>222</v>
      </c>
      <c r="Q88" s="92">
        <f>15 + 100 * SQRT(POWER(startX - tblS[[#This Row],[X-Coordinates]], 2) + POWER(startY - tblS[[#This Row],[Y-Coordinates]], 2))</f>
        <v>1146.3708498984761</v>
      </c>
      <c r="W88"/>
      <c r="AB88" s="8">
        <f>COUNTIFS(tblS[[#This Row],[Color1]:[Color9]],"r")</f>
        <v>0</v>
      </c>
    </row>
    <row r="89" spans="2:33" s="8" customFormat="1" ht="20.100000000000001" customHeight="1">
      <c r="B89" s="12">
        <v>87</v>
      </c>
      <c r="C89" s="12" t="s">
        <v>355</v>
      </c>
      <c r="D89" s="12">
        <v>59</v>
      </c>
      <c r="E89" s="12">
        <v>35</v>
      </c>
      <c r="F89" s="82" t="s">
        <v>288</v>
      </c>
      <c r="G89" s="81" t="s">
        <v>287</v>
      </c>
      <c r="H89" s="81" t="s">
        <v>287</v>
      </c>
      <c r="I89" s="81" t="s">
        <v>287</v>
      </c>
      <c r="J89" s="82" t="s">
        <v>288</v>
      </c>
      <c r="K89" s="81" t="s">
        <v>287</v>
      </c>
      <c r="L89" s="81" t="s">
        <v>287</v>
      </c>
      <c r="M89" s="81" t="s">
        <v>287</v>
      </c>
      <c r="N89" s="82" t="s">
        <v>288</v>
      </c>
      <c r="O89" s="12" t="s">
        <v>144</v>
      </c>
      <c r="P89" s="92" cm="1">
        <f t="array" ref="P89">SUM(_xlfn.XLOOKUP(tblS[[#This Row],[Color1]:[Color9]],$S$3:$S$9,$U$3:$U$9)) + 200</f>
        <v>230</v>
      </c>
      <c r="Q89" s="92">
        <f>15 + 100 * SQRT(POWER(startX - tblS[[#This Row],[X-Coordinates]], 2) + POWER(startY - tblS[[#This Row],[Y-Coordinates]], 2))</f>
        <v>1375.1470508735445</v>
      </c>
      <c r="W89"/>
      <c r="AB89" s="8">
        <f>COUNTIFS(tblS[[#This Row],[Color1]:[Color9]],"r")</f>
        <v>0</v>
      </c>
    </row>
    <row r="90" spans="2:33" s="8" customFormat="1" ht="20.100000000000001" customHeight="1">
      <c r="B90" s="12">
        <v>88</v>
      </c>
      <c r="C90" s="12" t="s">
        <v>356</v>
      </c>
      <c r="D90" s="12">
        <v>51</v>
      </c>
      <c r="E90" s="12">
        <v>24</v>
      </c>
      <c r="F90" s="87" t="s">
        <v>294</v>
      </c>
      <c r="G90" s="87" t="s">
        <v>294</v>
      </c>
      <c r="H90" s="84" t="s">
        <v>291</v>
      </c>
      <c r="I90" s="84" t="s">
        <v>291</v>
      </c>
      <c r="J90" s="84" t="s">
        <v>291</v>
      </c>
      <c r="K90" s="84" t="s">
        <v>291</v>
      </c>
      <c r="L90" s="84" t="s">
        <v>291</v>
      </c>
      <c r="M90" s="87" t="s">
        <v>294</v>
      </c>
      <c r="N90" s="87" t="s">
        <v>294</v>
      </c>
      <c r="O90" s="12" t="s">
        <v>138</v>
      </c>
      <c r="P90" s="92" cm="1">
        <f t="array" ref="P90">SUM(_xlfn.XLOOKUP(tblS[[#This Row],[Color1]:[Color9]],$S$3:$S$9,$U$3:$U$9)) + 200</f>
        <v>246</v>
      </c>
      <c r="Q90" s="92">
        <f>15 + 100 * SQRT(POWER(startX - tblS[[#This Row],[X-Coordinates]], 2) + POWER(startY - tblS[[#This Row],[Y-Coordinates]], 2))</f>
        <v>439.26406871192847</v>
      </c>
      <c r="W90"/>
      <c r="AB90" s="8">
        <f>COUNTIFS(tblS[[#This Row],[Color1]:[Color9]],"r")</f>
        <v>0</v>
      </c>
    </row>
    <row r="91" spans="2:33" s="8" customFormat="1" ht="20.100000000000001" customHeight="1">
      <c r="B91" s="12">
        <v>89</v>
      </c>
      <c r="C91" s="12" t="s">
        <v>357</v>
      </c>
      <c r="D91" s="12">
        <v>50</v>
      </c>
      <c r="E91" s="12">
        <v>22</v>
      </c>
      <c r="F91" s="83" t="s">
        <v>290</v>
      </c>
      <c r="G91" s="83" t="s">
        <v>290</v>
      </c>
      <c r="H91" s="82" t="s">
        <v>288</v>
      </c>
      <c r="I91" s="82" t="s">
        <v>288</v>
      </c>
      <c r="J91" s="82" t="s">
        <v>288</v>
      </c>
      <c r="K91" s="82" t="s">
        <v>288</v>
      </c>
      <c r="L91" s="82" t="s">
        <v>288</v>
      </c>
      <c r="M91" s="83" t="s">
        <v>290</v>
      </c>
      <c r="N91" s="83" t="s">
        <v>290</v>
      </c>
      <c r="O91" s="12" t="s">
        <v>129</v>
      </c>
      <c r="P91" s="92" cm="1">
        <f t="array" ref="P91">SUM(_xlfn.XLOOKUP(tblS[[#This Row],[Color1]:[Color9]],$S$3:$S$9,$U$3:$U$9)) + 200</f>
        <v>290</v>
      </c>
      <c r="Q91" s="92">
        <f>15 + 100 * SQRT(POWER(startX - tblS[[#This Row],[X-Coordinates]], 2) + POWER(startY - tblS[[#This Row],[Y-Coordinates]], 2))</f>
        <v>553.51648071345039</v>
      </c>
      <c r="W91"/>
      <c r="AB91" s="8">
        <f>COUNTIFS(tblS[[#This Row],[Color1]:[Color9]],"r")</f>
        <v>0</v>
      </c>
    </row>
    <row r="92" spans="2:33" s="8" customFormat="1" ht="20.100000000000001" customHeight="1">
      <c r="B92" s="12">
        <v>90</v>
      </c>
      <c r="C92" s="12" t="s">
        <v>358</v>
      </c>
      <c r="D92" s="12">
        <v>50</v>
      </c>
      <c r="E92" s="12">
        <v>23</v>
      </c>
      <c r="F92" s="86" t="s">
        <v>293</v>
      </c>
      <c r="G92" s="82" t="s">
        <v>288</v>
      </c>
      <c r="H92" s="86" t="s">
        <v>293</v>
      </c>
      <c r="I92" s="85" t="s">
        <v>289</v>
      </c>
      <c r="J92" s="82" t="s">
        <v>288</v>
      </c>
      <c r="K92" s="86" t="s">
        <v>293</v>
      </c>
      <c r="L92" s="86" t="s">
        <v>293</v>
      </c>
      <c r="M92" s="82" t="s">
        <v>288</v>
      </c>
      <c r="N92" s="86" t="s">
        <v>293</v>
      </c>
      <c r="O92" s="12" t="s">
        <v>140</v>
      </c>
      <c r="P92" s="92" cm="1">
        <f t="array" ref="P92">SUM(_xlfn.XLOOKUP(tblS[[#This Row],[Color1]:[Color9]],$S$3:$S$9,$U$3:$U$9)) + 200</f>
        <v>270</v>
      </c>
      <c r="Q92" s="92">
        <f>15 + 100 * SQRT(POWER(startX - tblS[[#This Row],[X-Coordinates]], 2) + POWER(startY - tblS[[#This Row],[Y-Coordinates]], 2))</f>
        <v>462.21359549995793</v>
      </c>
      <c r="W92"/>
      <c r="AB92" s="8">
        <f>COUNTIFS(tblS[[#This Row],[Color1]:[Color9]],"r")</f>
        <v>5</v>
      </c>
    </row>
    <row r="93" spans="2:33" s="8" customFormat="1" ht="20.100000000000001" customHeight="1">
      <c r="B93" s="12">
        <v>91</v>
      </c>
      <c r="C93" s="12" t="s">
        <v>359</v>
      </c>
      <c r="D93" s="12">
        <v>51</v>
      </c>
      <c r="E93" s="12">
        <v>18</v>
      </c>
      <c r="F93" s="86" t="s">
        <v>293</v>
      </c>
      <c r="G93" s="86" t="s">
        <v>293</v>
      </c>
      <c r="H93" s="82" t="s">
        <v>288</v>
      </c>
      <c r="I93" s="82" t="s">
        <v>288</v>
      </c>
      <c r="J93" s="82" t="s">
        <v>288</v>
      </c>
      <c r="K93" s="82" t="s">
        <v>288</v>
      </c>
      <c r="L93" s="82" t="s">
        <v>288</v>
      </c>
      <c r="M93" s="86" t="s">
        <v>293</v>
      </c>
      <c r="N93" s="86" t="s">
        <v>293</v>
      </c>
      <c r="O93" s="12" t="s">
        <v>175</v>
      </c>
      <c r="P93" s="92" cm="1">
        <f t="array" ref="P93">SUM(_xlfn.XLOOKUP(tblS[[#This Row],[Color1]:[Color9]],$S$3:$S$9,$U$3:$U$9)) + 200</f>
        <v>258</v>
      </c>
      <c r="Q93" s="92">
        <f>15 + 100 * SQRT(POWER(startX - tblS[[#This Row],[X-Coordinates]], 2) + POWER(startY - tblS[[#This Row],[Y-Coordinates]], 2))</f>
        <v>963.68329805051383</v>
      </c>
      <c r="W93"/>
      <c r="AB93" s="8">
        <f>COUNTIFS(tblS[[#This Row],[Color1]:[Color9]],"r")</f>
        <v>4</v>
      </c>
    </row>
    <row r="94" spans="2:33" s="8" customFormat="1" ht="20.100000000000001" customHeight="1">
      <c r="B94" s="12">
        <v>92</v>
      </c>
      <c r="C94" s="12" t="s">
        <v>360</v>
      </c>
      <c r="D94" s="12">
        <v>51</v>
      </c>
      <c r="E94" s="12">
        <v>17</v>
      </c>
      <c r="F94" s="85" t="s">
        <v>289</v>
      </c>
      <c r="G94" s="85" t="s">
        <v>289</v>
      </c>
      <c r="H94" s="82" t="s">
        <v>288</v>
      </c>
      <c r="I94" s="85" t="s">
        <v>289</v>
      </c>
      <c r="J94" s="85" t="s">
        <v>289</v>
      </c>
      <c r="K94" s="85" t="s">
        <v>289</v>
      </c>
      <c r="L94" s="82" t="s">
        <v>288</v>
      </c>
      <c r="M94" s="85" t="s">
        <v>289</v>
      </c>
      <c r="N94" s="85" t="s">
        <v>289</v>
      </c>
      <c r="O94" s="12" t="s">
        <v>361</v>
      </c>
      <c r="P94" s="92" cm="1">
        <f t="array" ref="P94">SUM(_xlfn.XLOOKUP(tblS[[#This Row],[Color1]:[Color9]],$S$3:$S$9,$U$3:$U$9)) + 200</f>
        <v>232</v>
      </c>
      <c r="Q94" s="92">
        <f>15 + 100 * SQRT(POWER(startX - tblS[[#This Row],[X-Coordinates]], 2) + POWER(startY - tblS[[#This Row],[Y-Coordinates]], 2))</f>
        <v>1059.0306508910551</v>
      </c>
      <c r="W94"/>
      <c r="AB94" s="8">
        <f>COUNTIFS(tblS[[#This Row],[Color1]:[Color9]],"r")</f>
        <v>0</v>
      </c>
    </row>
    <row r="95" spans="2:33" s="8" customFormat="1" ht="20.100000000000001" customHeight="1">
      <c r="B95" s="12">
        <v>93</v>
      </c>
      <c r="C95" s="12" t="s">
        <v>223</v>
      </c>
      <c r="D95" s="12">
        <v>48</v>
      </c>
      <c r="E95" s="12">
        <v>20</v>
      </c>
      <c r="F95" s="85" t="s">
        <v>289</v>
      </c>
      <c r="G95" s="85" t="s">
        <v>289</v>
      </c>
      <c r="H95" s="85" t="s">
        <v>289</v>
      </c>
      <c r="I95" s="85" t="s">
        <v>289</v>
      </c>
      <c r="J95" s="82" t="s">
        <v>288</v>
      </c>
      <c r="K95" s="85" t="s">
        <v>289</v>
      </c>
      <c r="L95" s="85" t="s">
        <v>289</v>
      </c>
      <c r="M95" s="85" t="s">
        <v>289</v>
      </c>
      <c r="N95" s="85" t="s">
        <v>289</v>
      </c>
      <c r="O95" s="12" t="s">
        <v>145</v>
      </c>
      <c r="P95" s="92" cm="1">
        <f t="array" ref="P95">SUM(_xlfn.XLOOKUP(tblS[[#This Row],[Color1]:[Color9]],$S$3:$S$9,$U$3:$U$9)) + 200</f>
        <v>234</v>
      </c>
      <c r="Q95" s="92">
        <f>15 + 100 * SQRT(POWER(startX - tblS[[#This Row],[X-Coordinates]], 2) + POWER(startY - tblS[[#This Row],[Y-Coordinates]], 2))</f>
        <v>715</v>
      </c>
      <c r="W95"/>
      <c r="AB95" s="8">
        <f>COUNTIFS(tblS[[#This Row],[Color1]:[Color9]],"r")</f>
        <v>0</v>
      </c>
    </row>
    <row r="96" spans="2:33" s="8" customFormat="1" ht="20.100000000000001" customHeight="1">
      <c r="B96" s="12">
        <v>94</v>
      </c>
      <c r="C96" s="12" t="s">
        <v>214</v>
      </c>
      <c r="D96" s="12">
        <v>47</v>
      </c>
      <c r="E96" s="12">
        <v>26</v>
      </c>
      <c r="F96" s="84" t="s">
        <v>291</v>
      </c>
      <c r="G96" s="84" t="s">
        <v>291</v>
      </c>
      <c r="H96" s="84" t="s">
        <v>291</v>
      </c>
      <c r="I96" s="86" t="s">
        <v>293</v>
      </c>
      <c r="J96" s="86" t="s">
        <v>293</v>
      </c>
      <c r="K96" s="86" t="s">
        <v>293</v>
      </c>
      <c r="L96" s="84" t="s">
        <v>291</v>
      </c>
      <c r="M96" s="84" t="s">
        <v>291</v>
      </c>
      <c r="N96" s="84" t="s">
        <v>291</v>
      </c>
      <c r="O96" s="12" t="s">
        <v>58</v>
      </c>
      <c r="P96" s="92" cm="1">
        <f t="array" ref="P96">SUM(_xlfn.XLOOKUP(tblS[[#This Row],[Color1]:[Color9]],$S$3:$S$9,$U$3:$U$9)) + 200</f>
        <v>248</v>
      </c>
      <c r="Q96" s="92">
        <f>15 + 100 * SQRT(POWER(startX - tblS[[#This Row],[X-Coordinates]], 2) + POWER(startY - tblS[[#This Row],[Y-Coordinates]], 2))</f>
        <v>156.42135623730951</v>
      </c>
      <c r="W96"/>
      <c r="AB96" s="8">
        <f>COUNTIFS(tblS[[#This Row],[Color1]:[Color9]],"r")</f>
        <v>3</v>
      </c>
    </row>
    <row r="97" spans="2:28" s="8" customFormat="1" ht="20.100000000000001" customHeight="1">
      <c r="B97" s="12">
        <v>95</v>
      </c>
      <c r="C97" s="12" t="s">
        <v>211</v>
      </c>
      <c r="D97" s="12">
        <v>55</v>
      </c>
      <c r="E97" s="12">
        <v>23</v>
      </c>
      <c r="F97" s="82" t="s">
        <v>288</v>
      </c>
      <c r="G97" s="85" t="s">
        <v>289</v>
      </c>
      <c r="H97" s="85" t="s">
        <v>289</v>
      </c>
      <c r="I97" s="82" t="s">
        <v>288</v>
      </c>
      <c r="J97" s="82" t="s">
        <v>288</v>
      </c>
      <c r="K97" s="82" t="s">
        <v>288</v>
      </c>
      <c r="L97" s="82" t="s">
        <v>288</v>
      </c>
      <c r="M97" s="85" t="s">
        <v>289</v>
      </c>
      <c r="N97" s="82" t="s">
        <v>288</v>
      </c>
      <c r="O97" s="12" t="s">
        <v>251</v>
      </c>
      <c r="P97" s="92" cm="1">
        <f t="array" ref="P97">SUM(_xlfn.XLOOKUP(tblS[[#This Row],[Color1]:[Color9]],$S$3:$S$9,$U$3:$U$9)) + 200</f>
        <v>224</v>
      </c>
      <c r="Q97" s="92">
        <f>15 + 100 * SQRT(POWER(startX - tblS[[#This Row],[X-Coordinates]], 2) + POWER(startY - tblS[[#This Row],[Y-Coordinates]], 2))</f>
        <v>821.22577482985491</v>
      </c>
      <c r="W97"/>
      <c r="AB97" s="8">
        <f>COUNTIFS(tblS[[#This Row],[Color1]:[Color9]],"r")</f>
        <v>0</v>
      </c>
    </row>
    <row r="98" spans="2:28" s="8" customFormat="1" ht="20.100000000000001" customHeight="1">
      <c r="B98" s="12">
        <v>96</v>
      </c>
      <c r="C98" s="12" t="s">
        <v>211</v>
      </c>
      <c r="D98" s="12">
        <v>55</v>
      </c>
      <c r="E98" s="12">
        <v>23</v>
      </c>
      <c r="F98" s="87" t="s">
        <v>294</v>
      </c>
      <c r="G98" s="85" t="s">
        <v>289</v>
      </c>
      <c r="H98" s="87" t="s">
        <v>294</v>
      </c>
      <c r="I98" s="85" t="s">
        <v>289</v>
      </c>
      <c r="J98" s="87" t="s">
        <v>294</v>
      </c>
      <c r="K98" s="85" t="s">
        <v>289</v>
      </c>
      <c r="L98" s="87" t="s">
        <v>294</v>
      </c>
      <c r="M98" s="85" t="s">
        <v>289</v>
      </c>
      <c r="N98" s="87" t="s">
        <v>294</v>
      </c>
      <c r="O98" s="12" t="s">
        <v>65</v>
      </c>
      <c r="P98" s="92" cm="1">
        <f t="array" ref="P98">SUM(_xlfn.XLOOKUP(tblS[[#This Row],[Color1]:[Color9]],$S$3:$S$9,$U$3:$U$9)) + 200</f>
        <v>261</v>
      </c>
      <c r="Q98" s="92">
        <f>15 + 100 * SQRT(POWER(startX - tblS[[#This Row],[X-Coordinates]], 2) + POWER(startY - tblS[[#This Row],[Y-Coordinates]], 2))</f>
        <v>821.22577482985491</v>
      </c>
      <c r="W98"/>
      <c r="AB98" s="8">
        <f>COUNTIFS(tblS[[#This Row],[Color1]:[Color9]],"r")</f>
        <v>0</v>
      </c>
    </row>
    <row r="99" spans="2:28" s="8" customFormat="1" ht="20.100000000000001" customHeight="1">
      <c r="B99" s="12">
        <v>97</v>
      </c>
      <c r="C99" s="12" t="s">
        <v>216</v>
      </c>
      <c r="D99" s="12">
        <v>52</v>
      </c>
      <c r="E99" s="12">
        <v>10</v>
      </c>
      <c r="F99" s="87" t="s">
        <v>294</v>
      </c>
      <c r="G99" s="85" t="s">
        <v>289</v>
      </c>
      <c r="H99" s="87" t="s">
        <v>294</v>
      </c>
      <c r="I99" s="85" t="s">
        <v>289</v>
      </c>
      <c r="J99" s="83" t="s">
        <v>290</v>
      </c>
      <c r="K99" s="85" t="s">
        <v>289</v>
      </c>
      <c r="L99" s="87" t="s">
        <v>294</v>
      </c>
      <c r="M99" s="85" t="s">
        <v>289</v>
      </c>
      <c r="N99" s="87" t="s">
        <v>294</v>
      </c>
      <c r="O99" s="12" t="s">
        <v>143</v>
      </c>
      <c r="P99" s="92" cm="1">
        <f t="array" ref="P99">SUM(_xlfn.XLOOKUP(tblS[[#This Row],[Color1]:[Color9]],$S$3:$S$9,$U$3:$U$9)) + 200</f>
        <v>272</v>
      </c>
      <c r="Q99" s="92">
        <f>15 + 100 * SQRT(POWER(startX - tblS[[#This Row],[X-Coordinates]], 2) + POWER(startY - tblS[[#This Row],[Y-Coordinates]], 2))</f>
        <v>1761.4249196572978</v>
      </c>
      <c r="W99"/>
      <c r="AB99" s="8">
        <f>COUNTIFS(tblS[[#This Row],[Color1]:[Color9]],"r")</f>
        <v>0</v>
      </c>
    </row>
    <row r="100" spans="2:28" s="8" customFormat="1" ht="20.100000000000001" customHeight="1">
      <c r="B100" s="12">
        <v>98</v>
      </c>
      <c r="C100" s="12" t="s">
        <v>216</v>
      </c>
      <c r="D100" s="12">
        <v>52</v>
      </c>
      <c r="E100" s="12">
        <v>10</v>
      </c>
      <c r="F100" s="85" t="s">
        <v>289</v>
      </c>
      <c r="G100" s="82" t="s">
        <v>288</v>
      </c>
      <c r="H100" s="82" t="s">
        <v>288</v>
      </c>
      <c r="I100" s="85" t="s">
        <v>289</v>
      </c>
      <c r="J100" s="82" t="s">
        <v>288</v>
      </c>
      <c r="K100" s="82" t="s">
        <v>288</v>
      </c>
      <c r="L100" s="85" t="s">
        <v>289</v>
      </c>
      <c r="M100" s="82" t="s">
        <v>288</v>
      </c>
      <c r="N100" s="85" t="s">
        <v>289</v>
      </c>
      <c r="O100" s="12" t="s">
        <v>142</v>
      </c>
      <c r="P100" s="92" cm="1">
        <f t="array" ref="P100">SUM(_xlfn.XLOOKUP(tblS[[#This Row],[Color1]:[Color9]],$S$3:$S$9,$U$3:$U$9)) + 200</f>
        <v>226</v>
      </c>
      <c r="Q100" s="92">
        <f>15 + 100 * SQRT(POWER(startX - tblS[[#This Row],[X-Coordinates]], 2) + POWER(startY - tblS[[#This Row],[Y-Coordinates]], 2))</f>
        <v>1761.4249196572978</v>
      </c>
      <c r="W100"/>
      <c r="AB100" s="8">
        <f>COUNTIFS(tblS[[#This Row],[Color1]:[Color9]],"r")</f>
        <v>0</v>
      </c>
    </row>
    <row r="101" spans="2:28" s="8" customFormat="1" ht="20.100000000000001" customHeight="1">
      <c r="B101" s="12">
        <v>99</v>
      </c>
      <c r="C101" s="12" t="s">
        <v>362</v>
      </c>
      <c r="D101" s="12">
        <v>49</v>
      </c>
      <c r="E101" s="12">
        <v>18</v>
      </c>
      <c r="F101" s="85" t="s">
        <v>289</v>
      </c>
      <c r="G101" s="85" t="s">
        <v>289</v>
      </c>
      <c r="H101" s="84" t="s">
        <v>291</v>
      </c>
      <c r="I101" s="84" t="s">
        <v>291</v>
      </c>
      <c r="J101" s="85" t="s">
        <v>289</v>
      </c>
      <c r="K101" s="85" t="s">
        <v>289</v>
      </c>
      <c r="L101" s="84" t="s">
        <v>291</v>
      </c>
      <c r="M101" s="84" t="s">
        <v>291</v>
      </c>
      <c r="N101" s="85" t="s">
        <v>289</v>
      </c>
      <c r="O101" s="12" t="s">
        <v>93</v>
      </c>
      <c r="P101" s="92" cm="1">
        <f t="array" ref="P101">SUM(_xlfn.XLOOKUP(tblS[[#This Row],[Color1]:[Color9]],$S$3:$S$9,$U$3:$U$9)) + 200</f>
        <v>228</v>
      </c>
      <c r="Q101" s="92">
        <f>15 + 100 * SQRT(POWER(startX - tblS[[#This Row],[X-Coordinates]], 2) + POWER(startY - tblS[[#This Row],[Y-Coordinates]], 2))</f>
        <v>920.5385138137417</v>
      </c>
      <c r="W101"/>
      <c r="AB101" s="8">
        <f>COUNTIFS(tblS[[#This Row],[Color1]:[Color9]],"r")</f>
        <v>0</v>
      </c>
    </row>
    <row r="102" spans="2:28" ht="15.75">
      <c r="B102" s="12">
        <v>100</v>
      </c>
      <c r="C102" s="12" t="s">
        <v>363</v>
      </c>
      <c r="D102" s="12">
        <v>48</v>
      </c>
      <c r="E102" s="12">
        <v>18</v>
      </c>
      <c r="F102" s="85" t="s">
        <v>289</v>
      </c>
      <c r="G102" s="85" t="s">
        <v>289</v>
      </c>
      <c r="H102" s="82" t="s">
        <v>288</v>
      </c>
      <c r="I102" s="82" t="s">
        <v>288</v>
      </c>
      <c r="J102" s="86" t="s">
        <v>293</v>
      </c>
      <c r="K102" s="86" t="s">
        <v>293</v>
      </c>
      <c r="L102" s="85" t="s">
        <v>289</v>
      </c>
      <c r="M102" s="82" t="s">
        <v>288</v>
      </c>
      <c r="N102" s="86" t="s">
        <v>293</v>
      </c>
      <c r="O102" s="12" t="s">
        <v>63</v>
      </c>
      <c r="P102" s="92" cm="1">
        <f t="array" ref="P102">SUM(_xlfn.XLOOKUP(tblS[[#This Row],[Color1]:[Color9]],$S$3:$S$9,$U$3:$U$9)) + 200</f>
        <v>254</v>
      </c>
      <c r="Q102" s="92">
        <f>15 + 100 * SQRT(POWER(startX - tblS[[#This Row],[X-Coordinates]], 2) + POWER(startY - tblS[[#This Row],[Y-Coordinates]], 2))</f>
        <v>915</v>
      </c>
      <c r="R102" s="8"/>
      <c r="AB102" s="8">
        <f>COUNTIFS(tblS[[#This Row],[Color1]:[Color9]],"r")</f>
        <v>3</v>
      </c>
    </row>
    <row r="103" spans="2:28">
      <c r="AB103" s="8"/>
    </row>
    <row r="1000" spans="650:650" ht="15.75">
      <c r="XZ1000" s="90">
        <v>125713</v>
      </c>
    </row>
  </sheetData>
  <autoFilter ref="AF2:AG84" xr:uid="{E68B2566-20DB-4DD7-B449-BFD1A2569A6E}"/>
  <phoneticPr fontId="33"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FE010-1BEA-4229-93A8-216F7A33C23C}">
  <dimension ref="A1:V147"/>
  <sheetViews>
    <sheetView showGridLines="0" zoomScale="70" zoomScaleNormal="70" workbookViewId="0"/>
  </sheetViews>
  <sheetFormatPr defaultColWidth="7.625" defaultRowHeight="23.25" customHeight="1"/>
  <cols>
    <col min="1" max="1" width="2.875" style="1" customWidth="1"/>
    <col min="2" max="2" width="11.375" style="74" customWidth="1"/>
    <col min="3" max="3" width="49.875" style="75" customWidth="1"/>
    <col min="4" max="4" width="8.625" style="1" customWidth="1"/>
    <col min="5" max="22" width="5" style="1" customWidth="1"/>
    <col min="23" max="46" width="7.5" style="66" customWidth="1"/>
    <col min="47" max="72" width="5.625" style="66" customWidth="1"/>
    <col min="73" max="16384" width="7.625" style="66"/>
  </cols>
  <sheetData>
    <row r="1" spans="2:22" ht="23.25" customHeight="1" thickBot="1">
      <c r="B1" s="62" t="s">
        <v>364</v>
      </c>
      <c r="C1" s="63"/>
      <c r="F1" s="64"/>
      <c r="G1" s="64"/>
      <c r="H1" s="64"/>
      <c r="I1" s="64"/>
      <c r="J1" s="64"/>
      <c r="K1" s="65"/>
      <c r="L1" s="65"/>
      <c r="M1" s="66"/>
      <c r="N1" s="66"/>
      <c r="O1" s="66"/>
      <c r="P1" s="66"/>
      <c r="Q1" s="66"/>
      <c r="R1" s="66"/>
      <c r="S1" s="66"/>
      <c r="T1" s="66"/>
      <c r="U1" s="66"/>
      <c r="V1" s="66"/>
    </row>
    <row r="2" spans="2:22" ht="23.25" customHeight="1" thickBot="1">
      <c r="B2" s="67" t="s">
        <v>13</v>
      </c>
      <c r="C2" s="68" t="s">
        <v>16</v>
      </c>
      <c r="D2" s="67" t="s">
        <v>15</v>
      </c>
      <c r="S2" s="66"/>
      <c r="T2" s="66"/>
      <c r="U2" s="66"/>
      <c r="V2" s="66"/>
    </row>
    <row r="3" spans="2:22" ht="23.25" customHeight="1">
      <c r="B3" s="69" t="s">
        <v>18</v>
      </c>
      <c r="C3" s="70" t="str">
        <f>IF(ISBLANK(Case!E31),"",Case!E31)</f>
        <v>Budapest</v>
      </c>
      <c r="D3" s="71">
        <v>30</v>
      </c>
      <c r="E3" s="66"/>
      <c r="F3" s="66"/>
      <c r="G3" s="66"/>
      <c r="H3" s="66"/>
      <c r="I3" s="66"/>
      <c r="J3" s="66"/>
      <c r="K3" s="66"/>
      <c r="L3" s="66"/>
      <c r="M3" s="66"/>
      <c r="N3" s="66"/>
      <c r="O3" s="66"/>
      <c r="P3" s="66"/>
      <c r="Q3" s="66"/>
      <c r="R3" s="66"/>
      <c r="S3" s="66"/>
      <c r="T3" s="66"/>
      <c r="U3" s="66"/>
      <c r="V3" s="66"/>
    </row>
    <row r="4" spans="2:22" ht="23.25" customHeight="1">
      <c r="B4" s="72" t="s">
        <v>21</v>
      </c>
      <c r="C4" s="70" t="str">
        <f>IF(ISBLANK(Case!E32),"",Case!E32)</f>
        <v>RWBRWBRWB</v>
      </c>
      <c r="D4" s="73">
        <v>40</v>
      </c>
      <c r="E4" s="66"/>
      <c r="F4" s="66"/>
      <c r="G4" s="66"/>
      <c r="H4" s="66"/>
      <c r="I4" s="66"/>
      <c r="J4" s="66"/>
      <c r="K4" s="66"/>
      <c r="L4" s="66"/>
      <c r="M4" s="66"/>
      <c r="N4" s="66"/>
      <c r="O4" s="66"/>
      <c r="P4" s="66"/>
      <c r="Q4" s="66"/>
      <c r="R4" s="66"/>
      <c r="S4" s="66"/>
      <c r="T4" s="66"/>
      <c r="U4" s="66"/>
      <c r="V4" s="66"/>
    </row>
    <row r="5" spans="2:22" ht="23.25" customHeight="1">
      <c r="B5" s="72" t="s">
        <v>23</v>
      </c>
      <c r="C5" s="70">
        <f>IF(ISBLANK(Case!E33),"",Case!E33)</f>
        <v>24</v>
      </c>
      <c r="D5" s="73">
        <v>50</v>
      </c>
      <c r="E5" s="66"/>
      <c r="F5" s="66"/>
      <c r="G5" s="66"/>
      <c r="H5" s="66"/>
      <c r="I5" s="66"/>
      <c r="J5" s="66"/>
      <c r="K5" s="66"/>
      <c r="L5" s="66"/>
      <c r="M5" s="66"/>
      <c r="N5" s="66"/>
      <c r="O5" s="66"/>
      <c r="P5" s="66"/>
      <c r="Q5" s="66"/>
      <c r="R5" s="66"/>
      <c r="S5" s="66"/>
      <c r="T5" s="66"/>
      <c r="U5" s="66"/>
      <c r="V5" s="66"/>
    </row>
    <row r="6" spans="2:22" ht="23.25" customHeight="1">
      <c r="B6" s="72" t="s">
        <v>25</v>
      </c>
      <c r="C6" s="70" t="str">
        <f>IF(ISBLANK(Case!E34),"",Case!E34)</f>
        <v>Prague</v>
      </c>
      <c r="D6" s="73">
        <v>60</v>
      </c>
      <c r="E6" s="66"/>
      <c r="F6" s="66"/>
      <c r="G6" s="66"/>
      <c r="H6" s="66"/>
      <c r="I6" s="66"/>
      <c r="J6" s="66"/>
      <c r="K6" s="66"/>
      <c r="L6" s="66"/>
      <c r="M6" s="66"/>
      <c r="N6" s="66"/>
      <c r="O6" s="66"/>
      <c r="P6" s="66"/>
      <c r="Q6" s="66"/>
      <c r="R6" s="66"/>
      <c r="S6" s="66"/>
      <c r="T6" s="66"/>
      <c r="U6" s="66"/>
      <c r="V6" s="66"/>
    </row>
    <row r="7" spans="2:22" ht="23.25" customHeight="1">
      <c r="B7" s="72" t="s">
        <v>27</v>
      </c>
      <c r="C7" s="70">
        <f>IF(ISBLANK(Case!E35),"",Case!E35)</f>
        <v>24945</v>
      </c>
      <c r="D7" s="73">
        <v>70</v>
      </c>
      <c r="E7" s="66"/>
      <c r="F7" s="66"/>
      <c r="G7" s="66"/>
      <c r="H7" s="66"/>
      <c r="I7" s="66"/>
      <c r="J7" s="66"/>
      <c r="K7" s="66"/>
      <c r="L7" s="66"/>
      <c r="M7" s="66"/>
      <c r="N7" s="66"/>
      <c r="O7" s="66"/>
      <c r="P7" s="66"/>
      <c r="Q7" s="66"/>
      <c r="R7" s="66"/>
      <c r="S7" s="66"/>
      <c r="T7" s="66"/>
      <c r="U7" s="66"/>
      <c r="V7" s="66"/>
    </row>
    <row r="8" spans="2:22" ht="23.25" customHeight="1">
      <c r="B8" s="2">
        <v>1</v>
      </c>
      <c r="C8" s="70" t="str">
        <f>IF(ISBLANK(Case!E53),"",Case!E53)</f>
        <v>Freiburg</v>
      </c>
      <c r="D8" s="69">
        <v>5</v>
      </c>
      <c r="F8" s="66"/>
      <c r="G8" s="66"/>
      <c r="H8" s="66"/>
      <c r="I8" s="66"/>
      <c r="J8" s="66"/>
      <c r="K8" s="66"/>
      <c r="L8" s="66"/>
      <c r="M8" s="66"/>
      <c r="N8" s="66"/>
      <c r="O8" s="66"/>
      <c r="P8" s="66"/>
      <c r="Q8" s="66"/>
      <c r="R8" s="66"/>
      <c r="S8" s="66"/>
      <c r="T8" s="66"/>
      <c r="U8" s="66"/>
      <c r="V8" s="66"/>
    </row>
    <row r="9" spans="2:22" ht="23.25" customHeight="1">
      <c r="B9" s="2">
        <f t="shared" ref="B9:B72" si="0">B8+1</f>
        <v>2</v>
      </c>
      <c r="C9" s="70" t="str">
        <f>IF(ISBLANK(Case!E54),"",Case!E54)</f>
        <v>Vilnius</v>
      </c>
      <c r="D9" s="69">
        <v>5</v>
      </c>
      <c r="F9" s="66"/>
      <c r="G9" s="66"/>
      <c r="H9" s="66"/>
      <c r="I9" s="66"/>
      <c r="J9" s="66"/>
      <c r="K9" s="66"/>
      <c r="L9" s="66"/>
      <c r="M9" s="66"/>
      <c r="N9" s="66"/>
      <c r="O9" s="66"/>
      <c r="P9" s="66"/>
      <c r="Q9" s="66"/>
      <c r="R9" s="66"/>
      <c r="S9" s="66"/>
      <c r="T9" s="66"/>
      <c r="U9" s="66"/>
      <c r="V9" s="66"/>
    </row>
    <row r="10" spans="2:22" ht="23.25" customHeight="1">
      <c r="B10" s="2">
        <f t="shared" si="0"/>
        <v>3</v>
      </c>
      <c r="C10" s="70" t="str">
        <f>IF(ISBLANK(Case!E55),"",Case!E55)</f>
        <v>Basel</v>
      </c>
      <c r="D10" s="69">
        <v>5</v>
      </c>
      <c r="F10" s="66"/>
      <c r="G10" s="66"/>
      <c r="H10" s="66"/>
      <c r="I10" s="66"/>
      <c r="J10" s="66"/>
      <c r="K10" s="66"/>
      <c r="L10" s="66"/>
      <c r="M10" s="66"/>
      <c r="N10" s="66"/>
      <c r="O10" s="66"/>
      <c r="P10" s="66"/>
      <c r="Q10" s="66"/>
      <c r="R10" s="66"/>
      <c r="S10" s="66"/>
      <c r="T10" s="66"/>
      <c r="U10" s="66"/>
      <c r="V10" s="66"/>
    </row>
    <row r="11" spans="2:22" ht="23.25" customHeight="1">
      <c r="B11" s="2">
        <f t="shared" si="0"/>
        <v>4</v>
      </c>
      <c r="C11" s="70" t="str">
        <f>IF(ISBLANK(Case!E56),"",Case!E56)</f>
        <v>Budapest</v>
      </c>
      <c r="D11" s="69">
        <v>5</v>
      </c>
      <c r="F11" s="66"/>
      <c r="G11" s="66"/>
      <c r="H11" s="66"/>
      <c r="I11" s="66"/>
      <c r="J11" s="66"/>
      <c r="K11" s="66"/>
      <c r="L11" s="66"/>
      <c r="M11" s="66"/>
      <c r="N11" s="66"/>
      <c r="O11" s="66"/>
      <c r="P11" s="66"/>
      <c r="Q11" s="66"/>
      <c r="R11" s="66"/>
      <c r="S11" s="66"/>
      <c r="T11" s="66"/>
      <c r="U11" s="66"/>
      <c r="V11" s="66"/>
    </row>
    <row r="12" spans="2:22" ht="23.25" customHeight="1">
      <c r="B12" s="2">
        <f t="shared" si="0"/>
        <v>5</v>
      </c>
      <c r="C12" s="70" t="str">
        <f>IF(ISBLANK(Case!E57),"",Case!E57)</f>
        <v>Rostock</v>
      </c>
      <c r="D12" s="69">
        <v>5</v>
      </c>
      <c r="F12" s="66"/>
      <c r="G12" s="66"/>
      <c r="H12" s="66"/>
      <c r="I12" s="66"/>
      <c r="J12" s="66"/>
      <c r="K12" s="66"/>
      <c r="L12" s="66"/>
      <c r="M12" s="66"/>
      <c r="N12" s="66"/>
      <c r="O12" s="66"/>
      <c r="P12" s="66"/>
      <c r="Q12" s="66"/>
      <c r="R12" s="66"/>
      <c r="S12" s="66"/>
      <c r="T12" s="66"/>
      <c r="U12" s="66"/>
      <c r="V12" s="66"/>
    </row>
    <row r="13" spans="2:22" ht="23.25" customHeight="1">
      <c r="B13" s="2">
        <f t="shared" si="0"/>
        <v>6</v>
      </c>
      <c r="C13" s="70" t="str">
        <f>IF(ISBLANK(Case!E58),"",Case!E58)</f>
        <v>St. Gallen</v>
      </c>
      <c r="D13" s="69">
        <v>5</v>
      </c>
      <c r="F13" s="66"/>
      <c r="G13" s="66"/>
      <c r="H13" s="66"/>
      <c r="I13" s="66"/>
      <c r="J13" s="66"/>
      <c r="K13" s="66"/>
      <c r="L13" s="66"/>
      <c r="M13" s="66"/>
      <c r="N13" s="66"/>
      <c r="O13" s="66"/>
      <c r="P13" s="66"/>
      <c r="Q13" s="66"/>
      <c r="R13" s="66"/>
      <c r="S13" s="66"/>
      <c r="T13" s="66"/>
      <c r="U13" s="66"/>
      <c r="V13" s="66"/>
    </row>
    <row r="14" spans="2:22" ht="23.25" customHeight="1">
      <c r="B14" s="2">
        <f t="shared" si="0"/>
        <v>7</v>
      </c>
      <c r="C14" s="70" t="str">
        <f>IF(ISBLANK(Case!E59),"",Case!E59)</f>
        <v>Nueremberg</v>
      </c>
      <c r="D14" s="69">
        <v>5</v>
      </c>
      <c r="F14" s="66"/>
      <c r="G14" s="66"/>
      <c r="H14" s="66"/>
      <c r="I14" s="66"/>
      <c r="J14" s="66"/>
      <c r="K14" s="66"/>
      <c r="L14" s="66"/>
      <c r="M14" s="66"/>
      <c r="N14" s="66"/>
      <c r="O14" s="66"/>
      <c r="P14" s="66"/>
      <c r="Q14" s="66"/>
      <c r="R14" s="66"/>
      <c r="S14" s="66"/>
      <c r="T14" s="66"/>
      <c r="U14" s="66"/>
      <c r="V14" s="66"/>
    </row>
    <row r="15" spans="2:22" ht="23.25" customHeight="1">
      <c r="B15" s="2">
        <f t="shared" si="0"/>
        <v>8</v>
      </c>
      <c r="C15" s="70" t="str">
        <f>IF(ISBLANK(Case!E60),"",Case!E60)</f>
        <v>Lens</v>
      </c>
      <c r="D15" s="69">
        <v>5</v>
      </c>
      <c r="F15" s="66"/>
      <c r="G15" s="66"/>
      <c r="H15" s="66"/>
      <c r="I15" s="66"/>
      <c r="J15" s="66"/>
      <c r="K15" s="66"/>
      <c r="L15" s="66"/>
      <c r="M15" s="66"/>
      <c r="N15" s="66"/>
      <c r="O15" s="66"/>
      <c r="P15" s="66"/>
      <c r="Q15" s="66"/>
      <c r="R15" s="66"/>
      <c r="S15" s="66"/>
      <c r="T15" s="66"/>
      <c r="U15" s="66"/>
      <c r="V15" s="66"/>
    </row>
    <row r="16" spans="2:22" ht="23.25" customHeight="1">
      <c r="B16" s="2">
        <f t="shared" si="0"/>
        <v>9</v>
      </c>
      <c r="C16" s="70" t="str">
        <f>IF(ISBLANK(Case!E61),"",Case!E61)</f>
        <v>Milan</v>
      </c>
      <c r="D16" s="69">
        <v>5</v>
      </c>
      <c r="F16" s="66"/>
      <c r="G16" s="66"/>
      <c r="H16" s="66"/>
      <c r="I16" s="66"/>
      <c r="J16" s="66"/>
      <c r="K16" s="66"/>
      <c r="L16" s="66"/>
      <c r="M16" s="66"/>
      <c r="N16" s="66"/>
      <c r="O16" s="66"/>
      <c r="P16" s="66"/>
      <c r="Q16" s="66"/>
      <c r="R16" s="66"/>
      <c r="S16" s="66"/>
      <c r="T16" s="66"/>
      <c r="U16" s="66"/>
      <c r="V16" s="66"/>
    </row>
    <row r="17" spans="2:22" ht="23.25" customHeight="1">
      <c r="B17" s="2">
        <f t="shared" si="0"/>
        <v>10</v>
      </c>
      <c r="C17" s="70" t="str">
        <f>IF(ISBLANK(Case!E62),"",Case!E62)</f>
        <v>London</v>
      </c>
      <c r="D17" s="69">
        <v>5</v>
      </c>
      <c r="F17" s="66"/>
      <c r="G17" s="66"/>
      <c r="H17" s="66"/>
      <c r="I17" s="66"/>
      <c r="J17" s="66"/>
      <c r="K17" s="66"/>
      <c r="L17" s="66"/>
      <c r="M17" s="66"/>
      <c r="N17" s="66"/>
      <c r="O17" s="66"/>
      <c r="P17" s="66"/>
      <c r="Q17" s="66"/>
      <c r="R17" s="66"/>
      <c r="S17" s="66"/>
      <c r="T17" s="66"/>
      <c r="U17" s="66"/>
      <c r="V17" s="66"/>
    </row>
    <row r="18" spans="2:22" ht="23.25" customHeight="1">
      <c r="B18" s="2">
        <f t="shared" si="0"/>
        <v>11</v>
      </c>
      <c r="C18" s="70" t="str">
        <f>IF(ISBLANK(Case!E63),"",Case!E63)</f>
        <v>Bilbao</v>
      </c>
      <c r="D18" s="69">
        <v>5</v>
      </c>
      <c r="F18" s="66"/>
      <c r="G18" s="66"/>
      <c r="H18" s="66"/>
      <c r="I18" s="66"/>
      <c r="J18" s="66"/>
      <c r="K18" s="66"/>
      <c r="L18" s="66"/>
      <c r="M18" s="66"/>
      <c r="N18" s="66"/>
      <c r="O18" s="66"/>
      <c r="P18" s="66"/>
      <c r="Q18" s="66"/>
      <c r="R18" s="66"/>
      <c r="S18" s="66"/>
      <c r="T18" s="66"/>
      <c r="U18" s="66"/>
      <c r="V18" s="66"/>
    </row>
    <row r="19" spans="2:22" ht="23.25" customHeight="1">
      <c r="B19" s="2">
        <f t="shared" si="0"/>
        <v>12</v>
      </c>
      <c r="C19" s="70" t="str">
        <f>IF(ISBLANK(Case!E64),"",Case!E64)</f>
        <v>Graz</v>
      </c>
      <c r="D19" s="69">
        <v>5</v>
      </c>
      <c r="F19" s="66"/>
      <c r="G19" s="66"/>
      <c r="H19" s="66"/>
      <c r="I19" s="66"/>
      <c r="J19" s="66"/>
      <c r="K19" s="66"/>
      <c r="L19" s="66"/>
      <c r="M19" s="66"/>
      <c r="N19" s="66"/>
      <c r="O19" s="66"/>
      <c r="P19" s="66"/>
      <c r="Q19" s="66"/>
      <c r="R19" s="66"/>
      <c r="S19" s="66"/>
      <c r="T19" s="66"/>
      <c r="U19" s="66"/>
      <c r="V19" s="66"/>
    </row>
    <row r="20" spans="2:22" ht="23.25" customHeight="1">
      <c r="B20" s="2">
        <f t="shared" si="0"/>
        <v>13</v>
      </c>
      <c r="C20" s="70" t="str">
        <f>IF(ISBLANK(Case!E65),"",Case!E65)</f>
        <v>Sevilla</v>
      </c>
      <c r="D20" s="69">
        <v>5</v>
      </c>
      <c r="F20" s="66"/>
      <c r="G20" s="66"/>
      <c r="H20" s="66"/>
      <c r="I20" s="66"/>
      <c r="J20" s="66"/>
      <c r="K20" s="66"/>
      <c r="L20" s="66"/>
      <c r="M20" s="66"/>
      <c r="N20" s="66"/>
      <c r="O20" s="66"/>
      <c r="P20" s="66"/>
      <c r="Q20" s="66"/>
      <c r="R20" s="66"/>
      <c r="S20" s="66"/>
      <c r="T20" s="66"/>
      <c r="U20" s="66"/>
      <c r="V20" s="66"/>
    </row>
    <row r="21" spans="2:22" ht="23.25" customHeight="1">
      <c r="B21" s="2">
        <f t="shared" si="0"/>
        <v>14</v>
      </c>
      <c r="C21" s="70" t="str">
        <f>IF(ISBLANK(Case!E66),"",Case!E66)</f>
        <v>Glasgow</v>
      </c>
      <c r="D21" s="69">
        <v>5</v>
      </c>
      <c r="F21" s="66"/>
      <c r="G21" s="66"/>
      <c r="H21" s="66"/>
      <c r="I21" s="66"/>
      <c r="J21" s="66"/>
      <c r="K21" s="66"/>
      <c r="L21" s="66"/>
      <c r="M21" s="66"/>
      <c r="N21" s="66"/>
      <c r="O21" s="66"/>
      <c r="P21" s="66"/>
      <c r="Q21" s="66"/>
      <c r="R21" s="66"/>
      <c r="S21" s="66"/>
      <c r="T21" s="66"/>
      <c r="U21" s="66"/>
      <c r="V21" s="66"/>
    </row>
    <row r="22" spans="2:22" ht="23.25" customHeight="1">
      <c r="B22" s="2">
        <f t="shared" si="0"/>
        <v>15</v>
      </c>
      <c r="C22" s="70" t="str">
        <f>IF(ISBLANK(Case!E67),"",Case!E67)</f>
        <v>Prague</v>
      </c>
      <c r="D22" s="69">
        <v>5</v>
      </c>
      <c r="F22" s="66"/>
      <c r="G22" s="66"/>
      <c r="H22" s="66"/>
      <c r="I22" s="66"/>
      <c r="J22" s="66"/>
      <c r="K22" s="66"/>
      <c r="L22" s="66"/>
      <c r="M22" s="66"/>
      <c r="N22" s="66"/>
      <c r="O22" s="66"/>
      <c r="P22" s="66"/>
      <c r="Q22" s="66"/>
      <c r="R22" s="66"/>
      <c r="S22" s="66"/>
      <c r="T22" s="66"/>
      <c r="U22" s="66"/>
      <c r="V22" s="66"/>
    </row>
    <row r="23" spans="2:22" ht="23.25" customHeight="1">
      <c r="B23" s="2">
        <f t="shared" si="0"/>
        <v>16</v>
      </c>
      <c r="C23" s="70" t="str">
        <f>IF(ISBLANK(Case!E68),"",Case!E68)</f>
        <v>Madrid</v>
      </c>
      <c r="D23" s="69">
        <v>5</v>
      </c>
      <c r="F23" s="66"/>
      <c r="G23" s="66"/>
      <c r="H23" s="66"/>
      <c r="I23" s="66"/>
      <c r="J23" s="66"/>
      <c r="K23" s="66"/>
      <c r="L23" s="66"/>
      <c r="M23" s="66"/>
      <c r="N23" s="66"/>
      <c r="O23" s="66"/>
      <c r="P23" s="66"/>
      <c r="Q23" s="66"/>
      <c r="R23" s="66"/>
      <c r="S23" s="66"/>
      <c r="T23" s="66"/>
      <c r="U23" s="66"/>
      <c r="V23" s="66"/>
    </row>
    <row r="24" spans="2:22" ht="23.25" customHeight="1">
      <c r="B24" s="2">
        <f t="shared" si="0"/>
        <v>17</v>
      </c>
      <c r="C24" s="70" t="str">
        <f>IF(ISBLANK(Case!E69),"",Case!E69)</f>
        <v>Strasbourg</v>
      </c>
      <c r="D24" s="69">
        <v>5</v>
      </c>
      <c r="F24" s="66"/>
      <c r="G24" s="66"/>
      <c r="H24" s="66"/>
      <c r="I24" s="66"/>
      <c r="J24" s="66"/>
      <c r="K24" s="66"/>
      <c r="L24" s="66"/>
      <c r="M24" s="66"/>
      <c r="N24" s="66"/>
      <c r="O24" s="66"/>
      <c r="P24" s="66"/>
      <c r="Q24" s="66"/>
      <c r="R24" s="66"/>
      <c r="S24" s="66"/>
      <c r="T24" s="66"/>
      <c r="U24" s="66"/>
      <c r="V24" s="66"/>
    </row>
    <row r="25" spans="2:22" ht="23.25" customHeight="1">
      <c r="B25" s="2">
        <f t="shared" si="0"/>
        <v>18</v>
      </c>
      <c r="C25" s="70" t="str">
        <f>IF(ISBLANK(Case!E70),"",Case!E70)</f>
        <v>Strasbourg</v>
      </c>
      <c r="D25" s="69">
        <v>5</v>
      </c>
      <c r="F25" s="66"/>
      <c r="G25" s="66"/>
      <c r="H25" s="66"/>
      <c r="I25" s="66"/>
      <c r="J25" s="66"/>
      <c r="K25" s="66"/>
      <c r="L25" s="66"/>
      <c r="M25" s="66"/>
      <c r="N25" s="66"/>
      <c r="O25" s="66"/>
      <c r="P25" s="66"/>
      <c r="Q25" s="66"/>
      <c r="R25" s="66"/>
      <c r="S25" s="66"/>
      <c r="T25" s="66"/>
      <c r="U25" s="66"/>
      <c r="V25" s="66"/>
    </row>
    <row r="26" spans="2:22" ht="23.25" customHeight="1">
      <c r="B26" s="2">
        <f t="shared" si="0"/>
        <v>19</v>
      </c>
      <c r="C26" s="70" t="str">
        <f>IF(ISBLANK(Case!E71),"",Case!E71)</f>
        <v>Riga</v>
      </c>
      <c r="D26" s="69">
        <v>5</v>
      </c>
      <c r="F26" s="66"/>
      <c r="G26" s="66"/>
      <c r="H26" s="66"/>
      <c r="I26" s="66"/>
      <c r="J26" s="66"/>
      <c r="K26" s="66"/>
      <c r="L26" s="66"/>
      <c r="M26" s="66"/>
      <c r="N26" s="66"/>
      <c r="O26" s="66"/>
      <c r="P26" s="66"/>
      <c r="Q26" s="66"/>
      <c r="R26" s="66"/>
      <c r="S26" s="66"/>
      <c r="T26" s="66"/>
      <c r="U26" s="66"/>
      <c r="V26" s="66"/>
    </row>
    <row r="27" spans="2:22" ht="23.25" customHeight="1">
      <c r="B27" s="2">
        <f t="shared" si="0"/>
        <v>20</v>
      </c>
      <c r="C27" s="70" t="str">
        <f>IF(ISBLANK(Case!E72),"",Case!E72)</f>
        <v>Kopenhagen</v>
      </c>
      <c r="D27" s="69">
        <v>5</v>
      </c>
      <c r="F27" s="66"/>
      <c r="G27" s="66"/>
      <c r="H27" s="66"/>
      <c r="I27" s="66"/>
      <c r="J27" s="66"/>
      <c r="K27" s="66"/>
      <c r="L27" s="66"/>
      <c r="M27" s="66"/>
      <c r="N27" s="66"/>
      <c r="O27" s="66"/>
      <c r="P27" s="66"/>
      <c r="Q27" s="66"/>
      <c r="R27" s="66"/>
      <c r="S27" s="66"/>
      <c r="T27" s="66"/>
      <c r="U27" s="66"/>
      <c r="V27" s="66"/>
    </row>
    <row r="28" spans="2:22" ht="23.25" customHeight="1">
      <c r="B28" s="2">
        <f t="shared" si="0"/>
        <v>21</v>
      </c>
      <c r="C28" s="70">
        <f>IF(ISBLANK(Case!E96),"",Case!E96)</f>
        <v>906</v>
      </c>
      <c r="D28" s="69">
        <v>7</v>
      </c>
    </row>
    <row r="29" spans="2:22" ht="23.25" customHeight="1">
      <c r="B29" s="2">
        <f t="shared" si="0"/>
        <v>22</v>
      </c>
      <c r="C29" s="70">
        <f>IF(ISBLANK(Case!E97),"",Case!E97)</f>
        <v>2025</v>
      </c>
      <c r="D29" s="69">
        <v>7</v>
      </c>
    </row>
    <row r="30" spans="2:22" ht="23.25" customHeight="1">
      <c r="B30" s="2">
        <f t="shared" si="0"/>
        <v>23</v>
      </c>
      <c r="C30" s="70">
        <f>IF(ISBLANK(Case!E98),"",Case!E98)</f>
        <v>1265</v>
      </c>
      <c r="D30" s="69">
        <v>7</v>
      </c>
    </row>
    <row r="31" spans="2:22" ht="23.25" customHeight="1">
      <c r="B31" s="2">
        <f t="shared" si="0"/>
        <v>24</v>
      </c>
      <c r="C31" s="70">
        <f>IF(ISBLANK(Case!E99),"",Case!E99)</f>
        <v>2012</v>
      </c>
      <c r="D31" s="69">
        <v>7</v>
      </c>
    </row>
    <row r="32" spans="2:22" s="1" customFormat="1" ht="23.25" customHeight="1">
      <c r="B32" s="2">
        <f t="shared" si="0"/>
        <v>25</v>
      </c>
      <c r="C32" s="70">
        <f>IF(ISBLANK(Case!E100),"",Case!E100)</f>
        <v>316</v>
      </c>
      <c r="D32" s="69">
        <v>7</v>
      </c>
    </row>
    <row r="33" spans="2:4" s="1" customFormat="1" ht="23.25" customHeight="1">
      <c r="B33" s="2">
        <f t="shared" si="0"/>
        <v>26</v>
      </c>
      <c r="C33" s="70">
        <f>IF(ISBLANK(Case!E101),"",Case!E101)</f>
        <v>1442</v>
      </c>
      <c r="D33" s="69">
        <v>7</v>
      </c>
    </row>
    <row r="34" spans="2:4" s="1" customFormat="1" ht="23.25" customHeight="1">
      <c r="B34" s="2">
        <f t="shared" si="0"/>
        <v>27</v>
      </c>
      <c r="C34" s="70">
        <f>IF(ISBLANK(Case!E102),"",Case!E102)</f>
        <v>721</v>
      </c>
      <c r="D34" s="69">
        <v>7</v>
      </c>
    </row>
    <row r="35" spans="2:4" s="1" customFormat="1" ht="23.25" customHeight="1">
      <c r="B35" s="2">
        <f t="shared" si="0"/>
        <v>28</v>
      </c>
      <c r="C35" s="70">
        <f>IF(ISBLANK(Case!E103),"",Case!E103)</f>
        <v>2786</v>
      </c>
      <c r="D35" s="69">
        <v>7</v>
      </c>
    </row>
    <row r="36" spans="2:4" s="1" customFormat="1" ht="23.25" customHeight="1">
      <c r="B36" s="2">
        <f t="shared" si="0"/>
        <v>29</v>
      </c>
      <c r="C36" s="70">
        <f>IF(ISBLANK(Case!E104),"",Case!E104)</f>
        <v>2025</v>
      </c>
      <c r="D36" s="69">
        <v>7</v>
      </c>
    </row>
    <row r="37" spans="2:4" s="1" customFormat="1" ht="23.25" customHeight="1">
      <c r="B37" s="2">
        <f t="shared" si="0"/>
        <v>30</v>
      </c>
      <c r="C37" s="70">
        <f>IF(ISBLANK(Case!E105),"",Case!E105)</f>
        <v>1965</v>
      </c>
      <c r="D37" s="69">
        <v>7</v>
      </c>
    </row>
    <row r="38" spans="2:4" s="1" customFormat="1" ht="23.25" customHeight="1">
      <c r="B38" s="2">
        <f t="shared" si="0"/>
        <v>31</v>
      </c>
      <c r="C38" s="70">
        <f>IF(ISBLANK(Case!E106),"",Case!E106)</f>
        <v>906</v>
      </c>
      <c r="D38" s="69">
        <v>7</v>
      </c>
    </row>
    <row r="39" spans="2:4" s="1" customFormat="1" ht="23.25" customHeight="1">
      <c r="B39" s="2">
        <f t="shared" si="0"/>
        <v>32</v>
      </c>
      <c r="C39" s="70">
        <f>IF(ISBLANK(Case!E107),"",Case!E107)</f>
        <v>1800</v>
      </c>
      <c r="D39" s="69">
        <v>7</v>
      </c>
    </row>
    <row r="40" spans="2:4" s="1" customFormat="1" ht="23.25" customHeight="1">
      <c r="B40" s="2">
        <f t="shared" si="0"/>
        <v>33</v>
      </c>
      <c r="C40" s="70">
        <f>IF(ISBLANK(Case!E108),"",Case!E108)</f>
        <v>781</v>
      </c>
      <c r="D40" s="69">
        <v>7</v>
      </c>
    </row>
    <row r="41" spans="2:4" s="1" customFormat="1" ht="23.25" customHeight="1">
      <c r="B41" s="2">
        <f t="shared" si="0"/>
        <v>34</v>
      </c>
      <c r="C41" s="70">
        <f>IF(ISBLANK(Case!E109),"",Case!E109)</f>
        <v>990</v>
      </c>
      <c r="D41" s="69">
        <v>7</v>
      </c>
    </row>
    <row r="42" spans="2:4" s="1" customFormat="1" ht="23.25" customHeight="1">
      <c r="B42" s="2">
        <f t="shared" si="0"/>
        <v>35</v>
      </c>
      <c r="C42" s="70">
        <f>IF(ISBLANK(Case!E110),"",Case!E110)</f>
        <v>922</v>
      </c>
      <c r="D42" s="69">
        <v>7</v>
      </c>
    </row>
    <row r="43" spans="2:4" s="1" customFormat="1" ht="23.25" customHeight="1">
      <c r="B43" s="2">
        <f t="shared" si="0"/>
        <v>36</v>
      </c>
      <c r="C43" s="70">
        <f>IF(ISBLANK(Case!E111),"",Case!E111)</f>
        <v>1304</v>
      </c>
      <c r="D43" s="69">
        <v>7</v>
      </c>
    </row>
    <row r="44" spans="2:4" s="1" customFormat="1" ht="23.25" customHeight="1">
      <c r="B44" s="2">
        <f t="shared" si="0"/>
        <v>37</v>
      </c>
      <c r="C44" s="70">
        <f>IF(ISBLANK(Case!E112),"",Case!E112)</f>
        <v>283</v>
      </c>
      <c r="D44" s="69">
        <v>7</v>
      </c>
    </row>
    <row r="45" spans="2:4" s="1" customFormat="1" ht="23.25" customHeight="1">
      <c r="B45" s="2">
        <f t="shared" si="0"/>
        <v>38</v>
      </c>
      <c r="C45" s="70">
        <f>IF(ISBLANK(Case!E113),"",Case!E113)</f>
        <v>707</v>
      </c>
      <c r="D45" s="69">
        <v>7</v>
      </c>
    </row>
    <row r="46" spans="2:4" s="1" customFormat="1" ht="23.25" customHeight="1">
      <c r="B46" s="2">
        <f t="shared" si="0"/>
        <v>39</v>
      </c>
      <c r="C46" s="70">
        <f>IF(ISBLANK(Case!E114),"",Case!E114)</f>
        <v>1868</v>
      </c>
      <c r="D46" s="69">
        <v>7</v>
      </c>
    </row>
    <row r="47" spans="2:4" s="1" customFormat="1" ht="23.25" customHeight="1">
      <c r="B47" s="2">
        <f t="shared" si="0"/>
        <v>40</v>
      </c>
      <c r="C47" s="70">
        <f>IF(ISBLANK(Case!E115),"",Case!E115)</f>
        <v>1131</v>
      </c>
      <c r="D47" s="69">
        <v>7</v>
      </c>
    </row>
    <row r="48" spans="2:4" s="1" customFormat="1" ht="23.25" customHeight="1">
      <c r="B48" s="2">
        <f t="shared" si="0"/>
        <v>41</v>
      </c>
      <c r="C48" s="70">
        <f>IF(ISBLANK(Case!E142),"",Case!E142)</f>
        <v>845</v>
      </c>
      <c r="D48" s="69">
        <v>8</v>
      </c>
    </row>
    <row r="49" spans="2:4" s="1" customFormat="1" ht="23.25" customHeight="1">
      <c r="B49" s="2">
        <f t="shared" si="0"/>
        <v>42</v>
      </c>
      <c r="C49" s="70">
        <f>IF(ISBLANK(Case!E143),"",Case!E143)</f>
        <v>3153</v>
      </c>
      <c r="D49" s="69">
        <v>8</v>
      </c>
    </row>
    <row r="50" spans="2:4" s="1" customFormat="1" ht="23.25" customHeight="1">
      <c r="B50" s="2">
        <f t="shared" si="0"/>
        <v>43</v>
      </c>
      <c r="C50" s="70">
        <f>IF(ISBLANK(Case!E144),"",Case!E144)</f>
        <v>5213</v>
      </c>
      <c r="D50" s="69">
        <v>8</v>
      </c>
    </row>
    <row r="51" spans="2:4" s="1" customFormat="1" ht="23.25" customHeight="1">
      <c r="B51" s="2">
        <f t="shared" si="0"/>
        <v>44</v>
      </c>
      <c r="C51" s="70">
        <f>IF(ISBLANK(Case!E145),"",Case!E145)</f>
        <v>3654</v>
      </c>
      <c r="D51" s="69">
        <v>8</v>
      </c>
    </row>
    <row r="52" spans="2:4" s="1" customFormat="1" ht="23.25" customHeight="1">
      <c r="B52" s="2">
        <f t="shared" si="0"/>
        <v>45</v>
      </c>
      <c r="C52" s="70">
        <f>IF(ISBLANK(Case!E146),"",Case!E146)</f>
        <v>3410</v>
      </c>
      <c r="D52" s="69">
        <v>8</v>
      </c>
    </row>
    <row r="53" spans="2:4" s="1" customFormat="1" ht="23.25" customHeight="1">
      <c r="B53" s="2">
        <f t="shared" si="0"/>
        <v>46</v>
      </c>
      <c r="C53" s="70">
        <f>IF(ISBLANK(Case!E147),"",Case!E147)</f>
        <v>2252</v>
      </c>
      <c r="D53" s="69">
        <v>8</v>
      </c>
    </row>
    <row r="54" spans="2:4" s="1" customFormat="1" ht="23.25" customHeight="1">
      <c r="B54" s="2">
        <f t="shared" si="0"/>
        <v>47</v>
      </c>
      <c r="C54" s="70">
        <f>IF(ISBLANK(Case!E148),"",Case!E148)</f>
        <v>3109</v>
      </c>
      <c r="D54" s="69">
        <v>8</v>
      </c>
    </row>
    <row r="55" spans="2:4" s="1" customFormat="1" ht="23.25" customHeight="1">
      <c r="B55" s="2">
        <f t="shared" si="0"/>
        <v>48</v>
      </c>
      <c r="C55" s="70">
        <f>IF(ISBLANK(Case!E149),"",Case!E149)</f>
        <v>1802</v>
      </c>
      <c r="D55" s="69">
        <v>8</v>
      </c>
    </row>
    <row r="56" spans="2:4" s="1" customFormat="1" ht="23.25" customHeight="1">
      <c r="B56" s="2">
        <f t="shared" si="0"/>
        <v>49</v>
      </c>
      <c r="C56" s="70">
        <f>IF(ISBLANK(Case!E150),"",Case!E150)</f>
        <v>5201</v>
      </c>
      <c r="D56" s="69">
        <v>8</v>
      </c>
    </row>
    <row r="57" spans="2:4" s="1" customFormat="1" ht="23.25" customHeight="1">
      <c r="B57" s="2">
        <f t="shared" si="0"/>
        <v>50</v>
      </c>
      <c r="C57" s="70">
        <f>IF(ISBLANK(Case!E151),"",Case!E151)</f>
        <v>2729</v>
      </c>
      <c r="D57" s="69">
        <v>8</v>
      </c>
    </row>
    <row r="58" spans="2:4" s="1" customFormat="1" ht="23.25" customHeight="1">
      <c r="B58" s="2">
        <f t="shared" si="0"/>
        <v>51</v>
      </c>
      <c r="C58" s="70">
        <f>IF(ISBLANK(Case!E152),"",Case!E152)</f>
        <v>3475</v>
      </c>
      <c r="D58" s="69">
        <v>8</v>
      </c>
    </row>
    <row r="59" spans="2:4" s="1" customFormat="1" ht="23.25" customHeight="1">
      <c r="B59" s="2">
        <f t="shared" si="0"/>
        <v>52</v>
      </c>
      <c r="C59" s="70">
        <f>IF(ISBLANK(Case!E153),"",Case!E153)</f>
        <v>3341</v>
      </c>
      <c r="D59" s="69">
        <v>8</v>
      </c>
    </row>
    <row r="60" spans="2:4" s="1" customFormat="1" ht="23.25" customHeight="1">
      <c r="B60" s="2">
        <f t="shared" si="0"/>
        <v>53</v>
      </c>
      <c r="C60" s="70">
        <f>IF(ISBLANK(Case!E154),"",Case!E154)</f>
        <v>2339</v>
      </c>
      <c r="D60" s="69">
        <v>8</v>
      </c>
    </row>
    <row r="61" spans="2:4" s="1" customFormat="1" ht="23.25" customHeight="1">
      <c r="B61" s="2">
        <f t="shared" si="0"/>
        <v>54</v>
      </c>
      <c r="C61" s="70">
        <f>IF(ISBLANK(Case!E155),"",Case!E155)</f>
        <v>4170</v>
      </c>
      <c r="D61" s="69">
        <v>8</v>
      </c>
    </row>
    <row r="62" spans="2:4" s="1" customFormat="1" ht="23.25" customHeight="1">
      <c r="B62" s="2">
        <f t="shared" si="0"/>
        <v>55</v>
      </c>
      <c r="C62" s="70">
        <f>IF(ISBLANK(Case!E156),"",Case!E156)</f>
        <v>2852</v>
      </c>
      <c r="D62" s="69">
        <v>8</v>
      </c>
    </row>
    <row r="63" spans="2:4" s="1" customFormat="1" ht="23.25" customHeight="1">
      <c r="B63" s="2">
        <f t="shared" si="0"/>
        <v>56</v>
      </c>
      <c r="C63" s="70">
        <f>IF(ISBLANK(Case!E157),"",Case!E157)</f>
        <v>2684</v>
      </c>
      <c r="D63" s="69">
        <v>8</v>
      </c>
    </row>
    <row r="64" spans="2:4" s="1" customFormat="1" ht="23.25" customHeight="1">
      <c r="B64" s="2">
        <f t="shared" si="0"/>
        <v>57</v>
      </c>
      <c r="C64" s="70">
        <f>IF(ISBLANK(Case!E158),"",Case!E158)</f>
        <v>3326</v>
      </c>
      <c r="D64" s="69">
        <v>8</v>
      </c>
    </row>
    <row r="65" spans="2:4" s="1" customFormat="1" ht="23.25" customHeight="1">
      <c r="B65" s="2">
        <f t="shared" si="0"/>
        <v>58</v>
      </c>
      <c r="C65" s="70">
        <f>IF(ISBLANK(Case!E159),"",Case!E159)</f>
        <v>3107</v>
      </c>
      <c r="D65" s="69">
        <v>8</v>
      </c>
    </row>
    <row r="66" spans="2:4" s="1" customFormat="1" ht="23.25" customHeight="1">
      <c r="B66" s="2">
        <f t="shared" si="0"/>
        <v>59</v>
      </c>
      <c r="C66" s="70">
        <f>IF(ISBLANK(Case!E160),"",Case!E160)</f>
        <v>4446</v>
      </c>
      <c r="D66" s="69">
        <v>8</v>
      </c>
    </row>
    <row r="67" spans="2:4" s="1" customFormat="1" ht="23.25" customHeight="1">
      <c r="B67" s="2">
        <f t="shared" si="0"/>
        <v>60</v>
      </c>
      <c r="C67" s="70">
        <f>IF(ISBLANK(Case!E161),"",Case!E161)</f>
        <v>4111</v>
      </c>
      <c r="D67" s="69">
        <v>8</v>
      </c>
    </row>
    <row r="68" spans="2:4" s="1" customFormat="1" ht="23.25" customHeight="1">
      <c r="B68" s="2">
        <f t="shared" si="0"/>
        <v>61</v>
      </c>
      <c r="C68" s="70">
        <f>IF(ISBLANK(Case!E182),"",Case!E182)</f>
        <v>4</v>
      </c>
      <c r="D68" s="69">
        <v>6</v>
      </c>
    </row>
    <row r="69" spans="2:4" s="1" customFormat="1" ht="23.25" customHeight="1">
      <c r="B69" s="2">
        <f t="shared" si="0"/>
        <v>62</v>
      </c>
      <c r="C69" s="70">
        <f>IF(ISBLANK(Case!E183),"",Case!E183)</f>
        <v>17</v>
      </c>
      <c r="D69" s="69">
        <v>6</v>
      </c>
    </row>
    <row r="70" spans="2:4" s="1" customFormat="1" ht="23.25" customHeight="1">
      <c r="B70" s="2">
        <f t="shared" si="0"/>
        <v>63</v>
      </c>
      <c r="C70" s="70">
        <f>IF(ISBLANK(Case!E184),"",Case!E184)</f>
        <v>4</v>
      </c>
      <c r="D70" s="69">
        <v>6</v>
      </c>
    </row>
    <row r="71" spans="2:4" s="1" customFormat="1" ht="23.25" customHeight="1">
      <c r="B71" s="2">
        <f t="shared" si="0"/>
        <v>64</v>
      </c>
      <c r="C71" s="70">
        <f>IF(ISBLANK(Case!E185),"",Case!E185)</f>
        <v>5</v>
      </c>
      <c r="D71" s="69">
        <v>6</v>
      </c>
    </row>
    <row r="72" spans="2:4" s="1" customFormat="1" ht="23.25" customHeight="1">
      <c r="B72" s="2">
        <f t="shared" si="0"/>
        <v>65</v>
      </c>
      <c r="C72" s="70">
        <f>IF(ISBLANK(Case!E186),"",Case!E186)</f>
        <v>8</v>
      </c>
      <c r="D72" s="69">
        <v>6</v>
      </c>
    </row>
    <row r="73" spans="2:4" s="1" customFormat="1" ht="23.25" customHeight="1">
      <c r="B73" s="2">
        <f t="shared" ref="B73:B136" si="1">B72+1</f>
        <v>66</v>
      </c>
      <c r="C73" s="70">
        <f>IF(ISBLANK(Case!E187),"",Case!E187)</f>
        <v>6</v>
      </c>
      <c r="D73" s="69">
        <v>6</v>
      </c>
    </row>
    <row r="74" spans="2:4" s="1" customFormat="1" ht="23.25" customHeight="1">
      <c r="B74" s="2">
        <f t="shared" si="1"/>
        <v>67</v>
      </c>
      <c r="C74" s="70">
        <f>IF(ISBLANK(Case!E188),"",Case!E188)</f>
        <v>6</v>
      </c>
      <c r="D74" s="69">
        <v>6</v>
      </c>
    </row>
    <row r="75" spans="2:4" s="1" customFormat="1" ht="23.25" customHeight="1">
      <c r="B75" s="2">
        <f t="shared" si="1"/>
        <v>68</v>
      </c>
      <c r="C75" s="70">
        <f>IF(ISBLANK(Case!E189),"",Case!E189)</f>
        <v>9</v>
      </c>
      <c r="D75" s="69">
        <v>6</v>
      </c>
    </row>
    <row r="76" spans="2:4" s="1" customFormat="1" ht="23.25" customHeight="1">
      <c r="B76" s="2">
        <f t="shared" si="1"/>
        <v>69</v>
      </c>
      <c r="C76" s="70">
        <f>IF(ISBLANK(Case!E190),"",Case!E190)</f>
        <v>11</v>
      </c>
      <c r="D76" s="69">
        <v>6</v>
      </c>
    </row>
    <row r="77" spans="2:4" s="1" customFormat="1" ht="23.25" customHeight="1">
      <c r="B77" s="2">
        <f t="shared" si="1"/>
        <v>70</v>
      </c>
      <c r="C77" s="70">
        <f>IF(ISBLANK(Case!E191),"",Case!E191)</f>
        <v>11</v>
      </c>
      <c r="D77" s="69">
        <v>6</v>
      </c>
    </row>
    <row r="78" spans="2:4" s="1" customFormat="1" ht="23.25" customHeight="1">
      <c r="B78" s="2">
        <f t="shared" si="1"/>
        <v>71</v>
      </c>
      <c r="C78" s="70">
        <f>IF(ISBLANK(Case!E192),"",Case!E192)</f>
        <v>13</v>
      </c>
      <c r="D78" s="69">
        <v>6</v>
      </c>
    </row>
    <row r="79" spans="2:4" s="1" customFormat="1" ht="23.25" customHeight="1">
      <c r="B79" s="2">
        <f t="shared" si="1"/>
        <v>72</v>
      </c>
      <c r="C79" s="70">
        <f>IF(ISBLANK(Case!E193),"",Case!E193)</f>
        <v>1</v>
      </c>
      <c r="D79" s="69">
        <v>6</v>
      </c>
    </row>
    <row r="80" spans="2:4" s="1" customFormat="1" ht="23.25" customHeight="1">
      <c r="B80" s="2">
        <f t="shared" si="1"/>
        <v>73</v>
      </c>
      <c r="C80" s="70">
        <f>IF(ISBLANK(Case!E194),"",Case!E194)</f>
        <v>12</v>
      </c>
      <c r="D80" s="69">
        <v>6</v>
      </c>
    </row>
    <row r="81" spans="2:4" s="1" customFormat="1" ht="23.25" customHeight="1">
      <c r="B81" s="2">
        <f t="shared" si="1"/>
        <v>74</v>
      </c>
      <c r="C81" s="70">
        <f>IF(ISBLANK(Case!E195),"",Case!E195)</f>
        <v>6</v>
      </c>
      <c r="D81" s="69">
        <v>6</v>
      </c>
    </row>
    <row r="82" spans="2:4" s="1" customFormat="1" ht="23.25" customHeight="1">
      <c r="B82" s="2">
        <f t="shared" si="1"/>
        <v>75</v>
      </c>
      <c r="C82" s="70">
        <f>IF(ISBLANK(Case!E196),"",Case!E196)</f>
        <v>12</v>
      </c>
      <c r="D82" s="69">
        <v>6</v>
      </c>
    </row>
    <row r="83" spans="2:4" s="1" customFormat="1" ht="23.25" customHeight="1">
      <c r="B83" s="2">
        <f t="shared" si="1"/>
        <v>76</v>
      </c>
      <c r="C83" s="70">
        <f>IF(ISBLANK(Case!E197),"",Case!E197)</f>
        <v>6</v>
      </c>
      <c r="D83" s="69">
        <v>6</v>
      </c>
    </row>
    <row r="84" spans="2:4" s="1" customFormat="1" ht="23.25" customHeight="1">
      <c r="B84" s="2">
        <f t="shared" si="1"/>
        <v>77</v>
      </c>
      <c r="C84" s="70">
        <f>IF(ISBLANK(Case!E198),"",Case!E198)</f>
        <v>5</v>
      </c>
      <c r="D84" s="69">
        <v>6</v>
      </c>
    </row>
    <row r="85" spans="2:4" s="1" customFormat="1" ht="23.25" customHeight="1">
      <c r="B85" s="2">
        <f t="shared" si="1"/>
        <v>78</v>
      </c>
      <c r="C85" s="70">
        <f>IF(ISBLANK(Case!E199),"",Case!E199)</f>
        <v>10</v>
      </c>
      <c r="D85" s="69">
        <v>6</v>
      </c>
    </row>
    <row r="86" spans="2:4" s="1" customFormat="1" ht="23.25" customHeight="1">
      <c r="B86" s="2">
        <f t="shared" si="1"/>
        <v>79</v>
      </c>
      <c r="C86" s="70">
        <f>IF(ISBLANK(Case!E200),"",Case!E200)</f>
        <v>11</v>
      </c>
      <c r="D86" s="69">
        <v>6</v>
      </c>
    </row>
    <row r="87" spans="2:4" s="1" customFormat="1" ht="23.25" customHeight="1">
      <c r="B87" s="2">
        <f t="shared" si="1"/>
        <v>80</v>
      </c>
      <c r="C87" s="70">
        <f>IF(ISBLANK(Case!E201),"",Case!E201)</f>
        <v>2</v>
      </c>
      <c r="D87" s="69">
        <v>6</v>
      </c>
    </row>
    <row r="88" spans="2:4" s="1" customFormat="1" ht="23.25" customHeight="1">
      <c r="B88" s="2">
        <f t="shared" si="1"/>
        <v>81</v>
      </c>
      <c r="C88" s="70">
        <f>IF(ISBLANK(Case!E223),"",Case!E223)</f>
        <v>4</v>
      </c>
      <c r="D88" s="69">
        <v>8</v>
      </c>
    </row>
    <row r="89" spans="2:4" s="1" customFormat="1" ht="23.25" customHeight="1">
      <c r="B89" s="2">
        <f t="shared" si="1"/>
        <v>82</v>
      </c>
      <c r="C89" s="70">
        <f>IF(ISBLANK(Case!E224),"",Case!E224)</f>
        <v>6</v>
      </c>
      <c r="D89" s="69">
        <v>8</v>
      </c>
    </row>
    <row r="90" spans="2:4" s="1" customFormat="1" ht="23.25" customHeight="1">
      <c r="B90" s="2">
        <f t="shared" si="1"/>
        <v>83</v>
      </c>
      <c r="C90" s="70">
        <f>IF(ISBLANK(Case!E225),"",Case!E225)</f>
        <v>7</v>
      </c>
      <c r="D90" s="69">
        <v>8</v>
      </c>
    </row>
    <row r="91" spans="2:4" s="1" customFormat="1" ht="23.25" customHeight="1">
      <c r="B91" s="2">
        <f t="shared" si="1"/>
        <v>84</v>
      </c>
      <c r="C91" s="70">
        <f>IF(ISBLANK(Case!E226),"",Case!E226)</f>
        <v>5</v>
      </c>
      <c r="D91" s="69">
        <v>8</v>
      </c>
    </row>
    <row r="92" spans="2:4" s="1" customFormat="1" ht="23.25" customHeight="1">
      <c r="B92" s="2">
        <f t="shared" si="1"/>
        <v>85</v>
      </c>
      <c r="C92" s="70">
        <f>IF(ISBLANK(Case!E227),"",Case!E227)</f>
        <v>3</v>
      </c>
      <c r="D92" s="69">
        <v>8</v>
      </c>
    </row>
    <row r="93" spans="2:4" s="1" customFormat="1" ht="23.25" customHeight="1">
      <c r="B93" s="2">
        <f t="shared" si="1"/>
        <v>86</v>
      </c>
      <c r="C93" s="70">
        <f>IF(ISBLANK(Case!E228),"",Case!E228)</f>
        <v>5</v>
      </c>
      <c r="D93" s="69">
        <v>8</v>
      </c>
    </row>
    <row r="94" spans="2:4" s="1" customFormat="1" ht="23.25" customHeight="1">
      <c r="B94" s="2">
        <f t="shared" si="1"/>
        <v>87</v>
      </c>
      <c r="C94" s="70">
        <f>IF(ISBLANK(Case!E229),"",Case!E229)</f>
        <v>2</v>
      </c>
      <c r="D94" s="69">
        <v>8</v>
      </c>
    </row>
    <row r="95" spans="2:4" s="1" customFormat="1" ht="23.25" customHeight="1">
      <c r="B95" s="2">
        <f t="shared" si="1"/>
        <v>88</v>
      </c>
      <c r="C95" s="70">
        <f>IF(ISBLANK(Case!E230),"",Case!E230)</f>
        <v>0</v>
      </c>
      <c r="D95" s="69">
        <v>8</v>
      </c>
    </row>
    <row r="96" spans="2:4" s="1" customFormat="1" ht="23.25" customHeight="1">
      <c r="B96" s="2">
        <f t="shared" si="1"/>
        <v>89</v>
      </c>
      <c r="C96" s="70">
        <f>IF(ISBLANK(Case!E231),"",Case!E231)</f>
        <v>11</v>
      </c>
      <c r="D96" s="69">
        <v>8</v>
      </c>
    </row>
    <row r="97" spans="2:4" s="1" customFormat="1" ht="23.25" customHeight="1">
      <c r="B97" s="2">
        <f t="shared" si="1"/>
        <v>90</v>
      </c>
      <c r="C97" s="70">
        <f>IF(ISBLANK(Case!E232),"",Case!E232)</f>
        <v>8</v>
      </c>
      <c r="D97" s="69">
        <v>8</v>
      </c>
    </row>
    <row r="98" spans="2:4" s="1" customFormat="1" ht="23.25" customHeight="1">
      <c r="B98" s="2">
        <f t="shared" si="1"/>
        <v>91</v>
      </c>
      <c r="C98" s="70">
        <f>IF(ISBLANK(Case!E233),"",Case!E233)</f>
        <v>4</v>
      </c>
      <c r="D98" s="69">
        <v>8</v>
      </c>
    </row>
    <row r="99" spans="2:4" s="1" customFormat="1" ht="23.25" customHeight="1">
      <c r="B99" s="2">
        <f t="shared" si="1"/>
        <v>92</v>
      </c>
      <c r="C99" s="70">
        <f>IF(ISBLANK(Case!E234),"",Case!E234)</f>
        <v>3</v>
      </c>
      <c r="D99" s="69">
        <v>8</v>
      </c>
    </row>
    <row r="100" spans="2:4" s="1" customFormat="1" ht="23.25" customHeight="1">
      <c r="B100" s="2">
        <f t="shared" si="1"/>
        <v>93</v>
      </c>
      <c r="C100" s="70">
        <f>IF(ISBLANK(Case!E235),"",Case!E235)</f>
        <v>6</v>
      </c>
      <c r="D100" s="69">
        <v>8</v>
      </c>
    </row>
    <row r="101" spans="2:4" s="1" customFormat="1" ht="23.25" customHeight="1">
      <c r="B101" s="2">
        <f t="shared" si="1"/>
        <v>94</v>
      </c>
      <c r="C101" s="70">
        <f>IF(ISBLANK(Case!E236),"",Case!E236)</f>
        <v>9</v>
      </c>
      <c r="D101" s="69">
        <v>8</v>
      </c>
    </row>
    <row r="102" spans="2:4" s="1" customFormat="1" ht="23.25" customHeight="1">
      <c r="B102" s="2">
        <f t="shared" si="1"/>
        <v>95</v>
      </c>
      <c r="C102" s="70">
        <f>IF(ISBLANK(Case!E237),"",Case!E237)</f>
        <v>7</v>
      </c>
      <c r="D102" s="69">
        <v>8</v>
      </c>
    </row>
    <row r="103" spans="2:4" s="1" customFormat="1" ht="23.25" customHeight="1">
      <c r="B103" s="2">
        <f t="shared" si="1"/>
        <v>96</v>
      </c>
      <c r="C103" s="70">
        <f>IF(ISBLANK(Case!E238),"",Case!E238)</f>
        <v>1</v>
      </c>
      <c r="D103" s="69">
        <v>8</v>
      </c>
    </row>
    <row r="104" spans="2:4" s="1" customFormat="1" ht="23.25" customHeight="1">
      <c r="B104" s="2">
        <f t="shared" si="1"/>
        <v>97</v>
      </c>
      <c r="C104" s="70">
        <f>IF(ISBLANK(Case!E239),"",Case!E239)</f>
        <v>4</v>
      </c>
      <c r="D104" s="69">
        <v>8</v>
      </c>
    </row>
    <row r="105" spans="2:4" s="1" customFormat="1" ht="23.25" customHeight="1">
      <c r="B105" s="2">
        <f t="shared" si="1"/>
        <v>98</v>
      </c>
      <c r="C105" s="70">
        <f>IF(ISBLANK(Case!E240),"",Case!E240)</f>
        <v>0</v>
      </c>
      <c r="D105" s="69">
        <v>8</v>
      </c>
    </row>
    <row r="106" spans="2:4" s="1" customFormat="1" ht="23.25" customHeight="1">
      <c r="B106" s="2">
        <f t="shared" si="1"/>
        <v>99</v>
      </c>
      <c r="C106" s="70">
        <f>IF(ISBLANK(Case!E241),"",Case!E241)</f>
        <v>8</v>
      </c>
      <c r="D106" s="69">
        <v>8</v>
      </c>
    </row>
    <row r="107" spans="2:4" s="1" customFormat="1" ht="23.25" customHeight="1">
      <c r="B107" s="2">
        <f t="shared" si="1"/>
        <v>100</v>
      </c>
      <c r="C107" s="70">
        <f>IF(ISBLANK(Case!E242),"",Case!E242)</f>
        <v>10</v>
      </c>
      <c r="D107" s="69">
        <v>8</v>
      </c>
    </row>
    <row r="108" spans="2:4" s="1" customFormat="1" ht="23.25" customHeight="1">
      <c r="B108" s="2">
        <f t="shared" si="1"/>
        <v>101</v>
      </c>
      <c r="C108" s="70">
        <f>IF(ISBLANK(Case!E268),"",Case!E268)</f>
        <v>697</v>
      </c>
      <c r="D108" s="69">
        <v>7</v>
      </c>
    </row>
    <row r="109" spans="2:4" s="1" customFormat="1" ht="23.25" customHeight="1">
      <c r="B109" s="2">
        <f t="shared" si="1"/>
        <v>102</v>
      </c>
      <c r="C109" s="70">
        <f>IF(ISBLANK(Case!E269),"",Case!E269)</f>
        <v>680</v>
      </c>
      <c r="D109" s="69">
        <v>7</v>
      </c>
    </row>
    <row r="110" spans="2:4" s="1" customFormat="1" ht="23.25" customHeight="1">
      <c r="B110" s="2">
        <f t="shared" si="1"/>
        <v>103</v>
      </c>
      <c r="C110" s="70">
        <f>IF(ISBLANK(Case!E270),"",Case!E270)</f>
        <v>782</v>
      </c>
      <c r="D110" s="69">
        <v>7</v>
      </c>
    </row>
    <row r="111" spans="2:4" s="1" customFormat="1" ht="23.25" customHeight="1">
      <c r="B111" s="2">
        <f t="shared" si="1"/>
        <v>104</v>
      </c>
      <c r="C111" s="70">
        <f>IF(ISBLANK(Case!E271),"",Case!E271)</f>
        <v>778</v>
      </c>
      <c r="D111" s="69">
        <v>7</v>
      </c>
    </row>
    <row r="112" spans="2:4" s="1" customFormat="1" ht="23.25" customHeight="1">
      <c r="B112" s="2">
        <f t="shared" si="1"/>
        <v>105</v>
      </c>
      <c r="C112" s="70">
        <f>IF(ISBLANK(Case!E272),"",Case!E272)</f>
        <v>707</v>
      </c>
      <c r="D112" s="69">
        <v>7</v>
      </c>
    </row>
    <row r="113" spans="2:4" s="1" customFormat="1" ht="23.25" customHeight="1">
      <c r="B113" s="2">
        <f t="shared" si="1"/>
        <v>106</v>
      </c>
      <c r="C113" s="70">
        <f>IF(ISBLANK(Case!E273),"",Case!E273)</f>
        <v>700</v>
      </c>
      <c r="D113" s="69">
        <v>7</v>
      </c>
    </row>
    <row r="114" spans="2:4" s="1" customFormat="1" ht="23.25" customHeight="1">
      <c r="B114" s="2">
        <f t="shared" si="1"/>
        <v>107</v>
      </c>
      <c r="C114" s="70">
        <f>IF(ISBLANK(Case!E274),"",Case!E274)</f>
        <v>740</v>
      </c>
      <c r="D114" s="69">
        <v>7</v>
      </c>
    </row>
    <row r="115" spans="2:4" s="1" customFormat="1" ht="23.25" customHeight="1">
      <c r="B115" s="2">
        <f t="shared" si="1"/>
        <v>108</v>
      </c>
      <c r="C115" s="70">
        <f>IF(ISBLANK(Case!E275),"",Case!E275)</f>
        <v>688</v>
      </c>
      <c r="D115" s="69">
        <v>7</v>
      </c>
    </row>
    <row r="116" spans="2:4" s="1" customFormat="1" ht="23.25" customHeight="1">
      <c r="B116" s="2">
        <f t="shared" si="1"/>
        <v>109</v>
      </c>
      <c r="C116" s="70">
        <f>IF(ISBLANK(Case!E276),"",Case!E276)</f>
        <v>756</v>
      </c>
      <c r="D116" s="69">
        <v>7</v>
      </c>
    </row>
    <row r="117" spans="2:4" s="1" customFormat="1" ht="23.25" customHeight="1">
      <c r="B117" s="2">
        <f t="shared" si="1"/>
        <v>110</v>
      </c>
      <c r="C117" s="70">
        <f>IF(ISBLANK(Case!E277),"",Case!E277)</f>
        <v>758</v>
      </c>
      <c r="D117" s="69">
        <v>7</v>
      </c>
    </row>
    <row r="118" spans="2:4" s="1" customFormat="1" ht="23.25" customHeight="1">
      <c r="B118" s="2">
        <f t="shared" si="1"/>
        <v>111</v>
      </c>
      <c r="C118" s="70">
        <f>IF(ISBLANK(Case!E278),"",Case!E278)</f>
        <v>693</v>
      </c>
      <c r="D118" s="69">
        <v>7</v>
      </c>
    </row>
    <row r="119" spans="2:4" s="1" customFormat="1" ht="23.25" customHeight="1">
      <c r="B119" s="2">
        <f t="shared" si="1"/>
        <v>112</v>
      </c>
      <c r="C119" s="70">
        <f>IF(ISBLANK(Case!E279),"",Case!E279)</f>
        <v>755</v>
      </c>
      <c r="D119" s="69">
        <v>7</v>
      </c>
    </row>
    <row r="120" spans="2:4" s="1" customFormat="1" ht="23.25" customHeight="1">
      <c r="B120" s="2">
        <f t="shared" si="1"/>
        <v>113</v>
      </c>
      <c r="C120" s="70">
        <f>IF(ISBLANK(Case!E280),"",Case!E280)</f>
        <v>736</v>
      </c>
      <c r="D120" s="69">
        <v>7</v>
      </c>
    </row>
    <row r="121" spans="2:4" s="1" customFormat="1" ht="23.25" customHeight="1">
      <c r="B121" s="2">
        <f t="shared" si="1"/>
        <v>114</v>
      </c>
      <c r="C121" s="70">
        <f>IF(ISBLANK(Case!E281),"",Case!E281)</f>
        <v>784</v>
      </c>
      <c r="D121" s="69">
        <v>7</v>
      </c>
    </row>
    <row r="122" spans="2:4" s="1" customFormat="1" ht="23.25" customHeight="1">
      <c r="B122" s="2">
        <f t="shared" si="1"/>
        <v>115</v>
      </c>
      <c r="C122" s="70">
        <f>IF(ISBLANK(Case!E282),"",Case!E282)</f>
        <v>841</v>
      </c>
      <c r="D122" s="69">
        <v>7</v>
      </c>
    </row>
    <row r="123" spans="2:4" s="1" customFormat="1" ht="23.25" customHeight="1">
      <c r="B123" s="2">
        <f t="shared" si="1"/>
        <v>116</v>
      </c>
      <c r="C123" s="70">
        <f>IF(ISBLANK(Case!E283),"",Case!E283)</f>
        <v>776</v>
      </c>
      <c r="D123" s="69">
        <v>7</v>
      </c>
    </row>
    <row r="124" spans="2:4" s="1" customFormat="1" ht="23.25" customHeight="1">
      <c r="B124" s="2">
        <f t="shared" si="1"/>
        <v>117</v>
      </c>
      <c r="C124" s="70">
        <f>IF(ISBLANK(Case!E284),"",Case!E284)</f>
        <v>737</v>
      </c>
      <c r="D124" s="69">
        <v>7</v>
      </c>
    </row>
    <row r="125" spans="2:4" s="1" customFormat="1" ht="23.25" customHeight="1">
      <c r="B125" s="2">
        <f t="shared" si="1"/>
        <v>118</v>
      </c>
      <c r="C125" s="70">
        <f>IF(ISBLANK(Case!E285),"",Case!E285)</f>
        <v>744</v>
      </c>
      <c r="D125" s="69">
        <v>7</v>
      </c>
    </row>
    <row r="126" spans="2:4" s="1" customFormat="1" ht="23.25" customHeight="1">
      <c r="B126" s="2">
        <f t="shared" si="1"/>
        <v>119</v>
      </c>
      <c r="C126" s="70">
        <f>IF(ISBLANK(Case!E286),"",Case!E286)</f>
        <v>756</v>
      </c>
      <c r="D126" s="69">
        <v>7</v>
      </c>
    </row>
    <row r="127" spans="2:4" s="1" customFormat="1" ht="23.25" customHeight="1">
      <c r="B127" s="2">
        <f t="shared" si="1"/>
        <v>120</v>
      </c>
      <c r="C127" s="70">
        <f>IF(ISBLANK(Case!E287),"",Case!E287)</f>
        <v>712</v>
      </c>
      <c r="D127" s="69">
        <v>7</v>
      </c>
    </row>
    <row r="128" spans="2:4" s="1" customFormat="1" ht="23.25" customHeight="1">
      <c r="B128" s="2">
        <f t="shared" si="1"/>
        <v>121</v>
      </c>
      <c r="C128" s="70">
        <f>IF(ISBLANK(Case!E313),"",Case!E313)</f>
        <v>838</v>
      </c>
      <c r="D128" s="69">
        <v>9</v>
      </c>
    </row>
    <row r="129" spans="2:4" ht="23.25" customHeight="1">
      <c r="B129" s="2">
        <f t="shared" si="1"/>
        <v>122</v>
      </c>
      <c r="C129" s="70">
        <f>IF(ISBLANK(Case!E314),"",Case!E314)</f>
        <v>586</v>
      </c>
      <c r="D129" s="69">
        <v>9</v>
      </c>
    </row>
    <row r="130" spans="2:4" ht="23.25" customHeight="1">
      <c r="B130" s="2">
        <f t="shared" si="1"/>
        <v>123</v>
      </c>
      <c r="C130" s="70">
        <f>IF(ISBLANK(Case!E315),"",Case!E315)</f>
        <v>714</v>
      </c>
      <c r="D130" s="69">
        <v>9</v>
      </c>
    </row>
    <row r="131" spans="2:4" ht="23.25" customHeight="1">
      <c r="B131" s="2">
        <f t="shared" si="1"/>
        <v>124</v>
      </c>
      <c r="C131" s="70">
        <f>IF(ISBLANK(Case!E316),"",Case!E316)</f>
        <v>610</v>
      </c>
      <c r="D131" s="69">
        <v>9</v>
      </c>
    </row>
    <row r="132" spans="2:4" ht="23.25" customHeight="1">
      <c r="B132" s="2">
        <f t="shared" si="1"/>
        <v>125</v>
      </c>
      <c r="C132" s="70">
        <f>IF(ISBLANK(Case!E317),"",Case!E317)</f>
        <v>781</v>
      </c>
      <c r="D132" s="69">
        <v>9</v>
      </c>
    </row>
    <row r="133" spans="2:4" ht="23.25" customHeight="1">
      <c r="B133" s="2">
        <f t="shared" si="1"/>
        <v>126</v>
      </c>
      <c r="C133" s="70">
        <f>IF(ISBLANK(Case!E318),"",Case!E318)</f>
        <v>799</v>
      </c>
      <c r="D133" s="69">
        <v>9</v>
      </c>
    </row>
    <row r="134" spans="2:4" ht="23.25" customHeight="1">
      <c r="B134" s="2">
        <f t="shared" si="1"/>
        <v>127</v>
      </c>
      <c r="C134" s="70">
        <f>IF(ISBLANK(Case!E319),"",Case!E319)</f>
        <v>747</v>
      </c>
      <c r="D134" s="69">
        <v>9</v>
      </c>
    </row>
    <row r="135" spans="2:4" ht="23.25" customHeight="1">
      <c r="B135" s="2">
        <f t="shared" si="1"/>
        <v>128</v>
      </c>
      <c r="C135" s="70">
        <f>IF(ISBLANK(Case!E320),"",Case!E320)</f>
        <v>692</v>
      </c>
      <c r="D135" s="69">
        <v>9</v>
      </c>
    </row>
    <row r="136" spans="2:4" ht="23.25" customHeight="1">
      <c r="B136" s="2">
        <f t="shared" si="1"/>
        <v>129</v>
      </c>
      <c r="C136" s="70">
        <f>IF(ISBLANK(Case!E321),"",Case!E321)</f>
        <v>661</v>
      </c>
      <c r="D136" s="69">
        <v>9</v>
      </c>
    </row>
    <row r="137" spans="2:4" ht="23.25" customHeight="1">
      <c r="B137" s="2">
        <f t="shared" ref="B137:B147" si="2">B136+1</f>
        <v>130</v>
      </c>
      <c r="C137" s="70">
        <f>IF(ISBLANK(Case!E322),"",Case!E322)</f>
        <v>826</v>
      </c>
      <c r="D137" s="69">
        <v>9</v>
      </c>
    </row>
    <row r="138" spans="2:4" ht="23.25" customHeight="1">
      <c r="B138" s="2">
        <f t="shared" si="2"/>
        <v>131</v>
      </c>
      <c r="C138" s="70">
        <f>IF(ISBLANK(Case!E323),"",Case!E323)</f>
        <v>706</v>
      </c>
      <c r="D138" s="69">
        <v>9</v>
      </c>
    </row>
    <row r="139" spans="2:4" ht="23.25" customHeight="1">
      <c r="B139" s="2">
        <f t="shared" si="2"/>
        <v>132</v>
      </c>
      <c r="C139" s="70">
        <f>IF(ISBLANK(Case!E324),"",Case!E324)</f>
        <v>744</v>
      </c>
      <c r="D139" s="69">
        <v>9</v>
      </c>
    </row>
    <row r="140" spans="2:4" ht="23.25" customHeight="1">
      <c r="B140" s="2">
        <f t="shared" si="2"/>
        <v>133</v>
      </c>
      <c r="C140" s="70">
        <f>IF(ISBLANK(Case!E325),"",Case!E325)</f>
        <v>745</v>
      </c>
      <c r="D140" s="69">
        <v>9</v>
      </c>
    </row>
    <row r="141" spans="2:4" ht="23.25" customHeight="1">
      <c r="B141" s="2">
        <f t="shared" si="2"/>
        <v>134</v>
      </c>
      <c r="C141" s="70">
        <f>IF(ISBLANK(Case!E326),"",Case!E326)</f>
        <v>708</v>
      </c>
      <c r="D141" s="69">
        <v>9</v>
      </c>
    </row>
    <row r="142" spans="2:4" ht="23.25" customHeight="1">
      <c r="B142" s="2">
        <f t="shared" si="2"/>
        <v>135</v>
      </c>
      <c r="C142" s="70">
        <f>IF(ISBLANK(Case!E327),"",Case!E327)</f>
        <v>868</v>
      </c>
      <c r="D142" s="69">
        <v>9</v>
      </c>
    </row>
    <row r="143" spans="2:4" ht="23.25" customHeight="1">
      <c r="B143" s="2">
        <f t="shared" si="2"/>
        <v>136</v>
      </c>
      <c r="C143" s="70">
        <f>IF(ISBLANK(Case!E328),"",Case!E328)</f>
        <v>712</v>
      </c>
      <c r="D143" s="69">
        <v>9</v>
      </c>
    </row>
    <row r="144" spans="2:4" ht="23.25" customHeight="1">
      <c r="B144" s="2">
        <f t="shared" si="2"/>
        <v>137</v>
      </c>
      <c r="C144" s="70">
        <f>IF(ISBLANK(Case!E329),"",Case!E329)</f>
        <v>794</v>
      </c>
      <c r="D144" s="69">
        <v>9</v>
      </c>
    </row>
    <row r="145" spans="2:4" ht="23.25" customHeight="1">
      <c r="B145" s="2">
        <f t="shared" si="2"/>
        <v>138</v>
      </c>
      <c r="C145" s="70">
        <f>IF(ISBLANK(Case!E330),"",Case!E330)</f>
        <v>716</v>
      </c>
      <c r="D145" s="69">
        <v>9</v>
      </c>
    </row>
    <row r="146" spans="2:4" ht="23.25" customHeight="1">
      <c r="B146" s="2">
        <f t="shared" si="2"/>
        <v>139</v>
      </c>
      <c r="C146" s="70">
        <f>IF(ISBLANK(Case!E331),"",Case!E331)</f>
        <v>586</v>
      </c>
      <c r="D146" s="69">
        <v>9</v>
      </c>
    </row>
    <row r="147" spans="2:4" ht="23.25" customHeight="1">
      <c r="B147" s="2">
        <f t="shared" si="2"/>
        <v>140</v>
      </c>
      <c r="C147" s="70">
        <f>IF(ISBLANK(Case!E332),"",Case!E332)</f>
        <v>722</v>
      </c>
      <c r="D147" s="69">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44F4FBA5-DA3B-4AEC-8AB9-69DC1456E55C}">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3</vt:i4>
      </vt:variant>
      <vt:variant>
        <vt:lpstr>Nazwane zakresy</vt:lpstr>
      </vt:variant>
      <vt:variant>
        <vt:i4>2</vt:i4>
      </vt:variant>
    </vt:vector>
  </HeadingPairs>
  <TitlesOfParts>
    <vt:vector size="5" baseType="lpstr">
      <vt:lpstr>Case</vt:lpstr>
      <vt:lpstr>Scarves</vt:lpstr>
      <vt:lpstr>Graded Answers</vt:lpstr>
      <vt:lpstr>startX</vt:lpstr>
      <vt:lpstr>startY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FMWC;Benjamin Weber</dc:creator>
  <cp:keywords/>
  <dc:description/>
  <cp:lastModifiedBy>Kopczyński, Maciej (ext)</cp:lastModifiedBy>
  <cp:revision/>
  <dcterms:created xsi:type="dcterms:W3CDTF">2024-08-09T18:48:43Z</dcterms:created>
  <dcterms:modified xsi:type="dcterms:W3CDTF">2025-06-23T09:01:31Z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dbec8-95a8-4638-9f5f-bd076536645c_Enabled">
    <vt:lpwstr>true</vt:lpwstr>
  </property>
  <property fmtid="{D5CDD505-2E9C-101B-9397-08002B2CF9AE}" pid="3" name="MSIP_Label_ff6dbec8-95a8-4638-9f5f-bd076536645c_SetDate">
    <vt:lpwstr>2025-06-23T08:33:43Z</vt:lpwstr>
  </property>
  <property fmtid="{D5CDD505-2E9C-101B-9397-08002B2CF9AE}" pid="4" name="MSIP_Label_ff6dbec8-95a8-4638-9f5f-bd076536645c_Method">
    <vt:lpwstr>Standard</vt:lpwstr>
  </property>
  <property fmtid="{D5CDD505-2E9C-101B-9397-08002B2CF9AE}" pid="5" name="MSIP_Label_ff6dbec8-95a8-4638-9f5f-bd076536645c_Name">
    <vt:lpwstr>Restricted - Default</vt:lpwstr>
  </property>
  <property fmtid="{D5CDD505-2E9C-101B-9397-08002B2CF9AE}" pid="6" name="MSIP_Label_ff6dbec8-95a8-4638-9f5f-bd076536645c_SiteId">
    <vt:lpwstr>5dbf1add-202a-4b8d-815b-bf0fb024e033</vt:lpwstr>
  </property>
  <property fmtid="{D5CDD505-2E9C-101B-9397-08002B2CF9AE}" pid="7" name="MSIP_Label_ff6dbec8-95a8-4638-9f5f-bd076536645c_ActionId">
    <vt:lpwstr>d6508110-3eae-4c02-893a-7fc7a6921543</vt:lpwstr>
  </property>
  <property fmtid="{D5CDD505-2E9C-101B-9397-08002B2CF9AE}" pid="8" name="MSIP_Label_ff6dbec8-95a8-4638-9f5f-bd076536645c_ContentBits">
    <vt:lpwstr>0</vt:lpwstr>
  </property>
</Properties>
</file>