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https://d.docs.live.net/29f448ec057303af/Pulpit/MECC/2024 Autumn Season/Excel On Rocky Top 2024/"/>
    </mc:Choice>
  </mc:AlternateContent>
  <xr:revisionPtr revIDLastSave="1212" documentId="13_ncr:1_{E4856A9B-EE17-48FA-AD70-BE3EC7BA5328}" xr6:coauthVersionLast="47" xr6:coauthVersionMax="47" xr10:uidLastSave="{EA503A97-B0BA-45CE-9B00-AB55541C1D94}"/>
  <bookViews>
    <workbookView xWindow="-120" yWindow="-120" windowWidth="29040" windowHeight="15720" tabRatio="765" xr2:uid="{53B39A91-DF20-4643-B102-128F43380A23}"/>
  </bookViews>
  <sheets>
    <sheet name="Overall Instructions" sheetId="12" r:id="rId1"/>
    <sheet name="Case Instructions" sheetId="43" r:id="rId2"/>
    <sheet name="Assumptions" sheetId="48" r:id="rId3"/>
    <sheet name="Model Template" sheetId="49" r:id="rId4"/>
    <sheet name="Answers" sheetId="47"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2" hidden="1">Assumptions!$P$68:$U$202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adj" localSheetId="2" hidden="1">Assumptions!#REF!</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Assumptions!#REF!</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s>
  <calcPr calcId="191029" calcMode="autoNoTable" iterate="1" iterateDelta="9.9999999999999995E-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4" i="47" l="1"/>
  <c r="E50" i="48"/>
  <c r="E58" i="48" s="1"/>
  <c r="F58" i="48" s="1"/>
  <c r="G58" i="48" s="1"/>
  <c r="H58" i="48" s="1"/>
  <c r="I58" i="48" s="1"/>
  <c r="J58" i="48" s="1"/>
  <c r="K58" i="48" s="1"/>
  <c r="L58" i="48" s="1"/>
  <c r="M58" i="48" s="1"/>
  <c r="N58" i="48" s="1"/>
  <c r="D133" i="48"/>
  <c r="D131" i="48"/>
  <c r="D120" i="48" a="1"/>
  <c r="D120" i="48" s="1"/>
  <c r="M33" i="48"/>
  <c r="M34" i="48"/>
  <c r="M35" i="48"/>
  <c r="M36" i="48"/>
  <c r="M37" i="48"/>
  <c r="M38" i="48"/>
  <c r="M39" i="48"/>
  <c r="M40" i="48"/>
  <c r="M41" i="48"/>
  <c r="M32" i="48"/>
  <c r="C117" i="48"/>
  <c r="C113" i="48"/>
  <c r="C112" i="48"/>
  <c r="D111" i="48"/>
  <c r="B78" i="48"/>
  <c r="B67" i="48" a="1"/>
  <c r="E62" i="48"/>
  <c r="E120" i="48" s="1" a="1"/>
  <c r="E120" i="48" s="1"/>
  <c r="E61" i="48"/>
  <c r="F61" i="48" s="1"/>
  <c r="G61" i="48" s="1"/>
  <c r="H61" i="48" s="1"/>
  <c r="I61" i="48" s="1"/>
  <c r="J61" i="48" s="1"/>
  <c r="K61" i="48" s="1"/>
  <c r="L61" i="48" s="1"/>
  <c r="M61" i="48" s="1"/>
  <c r="N61" i="48" s="1"/>
  <c r="E60" i="48"/>
  <c r="F60" i="48" s="1"/>
  <c r="G60" i="48" s="1"/>
  <c r="H60" i="48" s="1"/>
  <c r="I60" i="48" s="1"/>
  <c r="J60" i="48" s="1"/>
  <c r="K60" i="48" s="1"/>
  <c r="L60" i="48" s="1"/>
  <c r="M60" i="48" s="1"/>
  <c r="N60" i="48" s="1"/>
  <c r="E57" i="48"/>
  <c r="F57" i="48" s="1"/>
  <c r="G57" i="48" s="1"/>
  <c r="H57" i="48" s="1"/>
  <c r="I57" i="48" s="1"/>
  <c r="J57" i="48" s="1"/>
  <c r="K57" i="48" s="1"/>
  <c r="L57" i="48" s="1"/>
  <c r="M57" i="48" s="1"/>
  <c r="N57" i="48" s="1"/>
  <c r="O12" i="48"/>
  <c r="F25" i="48"/>
  <c r="E25" i="48"/>
  <c r="H25" i="48"/>
  <c r="I25" i="48"/>
  <c r="J25" i="48"/>
  <c r="G25" i="48"/>
  <c r="E48" i="48"/>
  <c r="F62" i="48" l="1"/>
  <c r="F120" i="48" s="1" a="1"/>
  <c r="F120" i="48" s="1"/>
  <c r="E131" i="48"/>
  <c r="F111" i="48"/>
  <c r="E111" i="48"/>
  <c r="E26" i="48"/>
  <c r="H26" i="48"/>
  <c r="I26" i="48"/>
  <c r="D116" i="48"/>
  <c r="D64" i="48"/>
  <c r="I32" i="48" a="1"/>
  <c r="J26" i="48"/>
  <c r="G26" i="48"/>
  <c r="B67" i="48"/>
  <c r="F48" i="48"/>
  <c r="F131" i="48" l="1"/>
  <c r="G62" i="48"/>
  <c r="D104" i="48" a="1"/>
  <c r="D104" i="48" s="1"/>
  <c r="D80" i="48"/>
  <c r="D82" i="48" s="1"/>
  <c r="E80" i="48"/>
  <c r="F80" i="48"/>
  <c r="G80" i="48"/>
  <c r="H80" i="48"/>
  <c r="I80" i="48"/>
  <c r="J80" i="48"/>
  <c r="K80" i="48"/>
  <c r="L80" i="48"/>
  <c r="M80" i="48"/>
  <c r="N80" i="48"/>
  <c r="E64" i="48"/>
  <c r="E104" i="48" s="1" a="1"/>
  <c r="E104" i="48" s="1"/>
  <c r="N64" i="48"/>
  <c r="M64" i="48"/>
  <c r="L64" i="48"/>
  <c r="K64" i="48"/>
  <c r="J64" i="48"/>
  <c r="I64" i="48"/>
  <c r="H64" i="48"/>
  <c r="G64" i="48"/>
  <c r="G104" i="48" s="1" a="1"/>
  <c r="G104" i="48" s="1"/>
  <c r="F64" i="48"/>
  <c r="F104" i="48" s="1" a="1"/>
  <c r="F104" i="48" s="1"/>
  <c r="I32" i="48"/>
  <c r="G48" i="48"/>
  <c r="G120" i="48" l="1" a="1"/>
  <c r="G120" i="48" s="1"/>
  <c r="G111" i="48"/>
  <c r="G131" i="48"/>
  <c r="H62" i="48"/>
  <c r="E82" i="48"/>
  <c r="F82" i="48"/>
  <c r="H82" i="48"/>
  <c r="G82" i="48"/>
  <c r="I82" i="48"/>
  <c r="J82" i="48"/>
  <c r="K82" i="48"/>
  <c r="L82" i="48"/>
  <c r="M82" i="48"/>
  <c r="N82" i="48"/>
  <c r="J32" i="48" a="1"/>
  <c r="J32" i="48" s="1"/>
  <c r="D67" i="48" a="1"/>
  <c r="D67" i="48" s="1"/>
  <c r="D87" i="48" s="1" a="1"/>
  <c r="D87" i="48" s="1"/>
  <c r="H48" i="48"/>
  <c r="H10" i="49" l="1" a="1"/>
  <c r="H10" i="49" s="1"/>
  <c r="H120" i="48" a="1"/>
  <c r="H120" i="48" s="1"/>
  <c r="H111" i="48"/>
  <c r="H104" i="48" a="1"/>
  <c r="H104" i="48" s="1"/>
  <c r="H131" i="48"/>
  <c r="I62" i="48"/>
  <c r="L32" i="48" a="1"/>
  <c r="L32" i="48" s="1"/>
  <c r="L44" i="48" s="1"/>
  <c r="L45" i="48" s="1"/>
  <c r="J44" i="48"/>
  <c r="K32" i="48" a="1"/>
  <c r="K32" i="48" s="1"/>
  <c r="K44" i="48" s="1"/>
  <c r="D78" i="48"/>
  <c r="D98" i="48" s="1"/>
  <c r="D100" i="48" s="1"/>
  <c r="E67" i="48" a="1"/>
  <c r="E67" i="48" s="1"/>
  <c r="E87" i="48" s="1" a="1"/>
  <c r="E87" i="48" s="1"/>
  <c r="I48" i="48"/>
  <c r="I120" i="48" l="1" a="1"/>
  <c r="I120" i="48" s="1"/>
  <c r="I111" i="48"/>
  <c r="I104" i="48" a="1"/>
  <c r="I104" i="48" s="1"/>
  <c r="I131" i="48"/>
  <c r="J62" i="48"/>
  <c r="E109" i="48"/>
  <c r="F109" i="48"/>
  <c r="G109" i="48"/>
  <c r="H109" i="48"/>
  <c r="I109" i="48"/>
  <c r="J109" i="48"/>
  <c r="D109" i="48"/>
  <c r="O10" i="48"/>
  <c r="O13" i="48"/>
  <c r="O11" i="48"/>
  <c r="E78" i="48"/>
  <c r="F67" i="48" a="1"/>
  <c r="F67" i="48" s="1"/>
  <c r="F87" i="48" s="1" a="1"/>
  <c r="F87" i="48" s="1"/>
  <c r="J48" i="48"/>
  <c r="E98" i="48" l="1"/>
  <c r="E100" i="48" s="1"/>
  <c r="E133" i="48"/>
  <c r="J120" i="48" a="1"/>
  <c r="J120" i="48" s="1"/>
  <c r="J111" i="48"/>
  <c r="J104" i="48" a="1"/>
  <c r="J104" i="48" s="1"/>
  <c r="J131" i="48"/>
  <c r="K62" i="48"/>
  <c r="F78" i="48"/>
  <c r="G67" i="48" a="1"/>
  <c r="G67" i="48" s="1"/>
  <c r="G87" i="48" s="1" a="1"/>
  <c r="G87" i="48" s="1"/>
  <c r="K48" i="48"/>
  <c r="F98" i="48" l="1"/>
  <c r="F100" i="48" s="1"/>
  <c r="F133" i="48"/>
  <c r="K120" i="48" a="1"/>
  <c r="K120" i="48" s="1"/>
  <c r="K111" i="48"/>
  <c r="K104" i="48" a="1"/>
  <c r="K104" i="48" s="1"/>
  <c r="K109" i="48"/>
  <c r="K131" i="48"/>
  <c r="L62" i="48"/>
  <c r="G78" i="48"/>
  <c r="H67" i="48" a="1"/>
  <c r="H67" i="48" s="1"/>
  <c r="H87" i="48" s="1" a="1"/>
  <c r="H87" i="48" s="1"/>
  <c r="L48" i="48"/>
  <c r="G98" i="48" l="1"/>
  <c r="G100" i="48" s="1"/>
  <c r="G133" i="48"/>
  <c r="L120" i="48" a="1"/>
  <c r="L120" i="48" s="1"/>
  <c r="L111" i="48"/>
  <c r="L104" i="48" a="1"/>
  <c r="L104" i="48" s="1"/>
  <c r="L109" i="48"/>
  <c r="L131" i="48"/>
  <c r="M62" i="48"/>
  <c r="H78" i="48"/>
  <c r="I67" i="48" a="1"/>
  <c r="I67" i="48" s="1"/>
  <c r="I87" i="48" s="1" a="1"/>
  <c r="I87" i="48" s="1"/>
  <c r="M48" i="48"/>
  <c r="H98" i="48" l="1"/>
  <c r="H100" i="48" s="1"/>
  <c r="H133" i="48"/>
  <c r="M120" i="48" a="1"/>
  <c r="M120" i="48" s="1"/>
  <c r="M111" i="48"/>
  <c r="M104" i="48" a="1"/>
  <c r="M104" i="48" s="1"/>
  <c r="M109" i="48"/>
  <c r="M131" i="48"/>
  <c r="N62" i="48"/>
  <c r="I78" i="48"/>
  <c r="J67" i="48" a="1"/>
  <c r="J67" i="48" s="1"/>
  <c r="J87" i="48" s="1" a="1"/>
  <c r="J87" i="48" s="1"/>
  <c r="N48" i="48"/>
  <c r="I98" i="48" l="1"/>
  <c r="I100" i="48" s="1"/>
  <c r="I133" i="48"/>
  <c r="N131" i="48"/>
  <c r="E116" i="48" a="1"/>
  <c r="N120" i="48" a="1"/>
  <c r="N120" i="48" s="1"/>
  <c r="N111" i="48"/>
  <c r="H19" i="49" s="1" a="1"/>
  <c r="H19" i="49" s="1"/>
  <c r="N104" i="48" a="1"/>
  <c r="N104" i="48" s="1"/>
  <c r="H14" i="49" s="1" a="1"/>
  <c r="H14" i="49" s="1"/>
  <c r="N109" i="48"/>
  <c r="J78" i="48"/>
  <c r="K67" i="48" a="1"/>
  <c r="K67" i="48" s="1"/>
  <c r="K87" i="48" s="1" a="1"/>
  <c r="K87" i="48" s="1"/>
  <c r="J98" i="48" l="1"/>
  <c r="J100" i="48" s="1"/>
  <c r="J133" i="48"/>
  <c r="E116" i="48"/>
  <c r="K78" i="48"/>
  <c r="L67" i="48" a="1"/>
  <c r="L67" i="48" s="1"/>
  <c r="L87" i="48" s="1" a="1"/>
  <c r="L87" i="48" s="1"/>
  <c r="K98" i="48" l="1"/>
  <c r="K100" i="48" s="1"/>
  <c r="K133" i="48"/>
  <c r="L78" i="48"/>
  <c r="M67" i="48" a="1"/>
  <c r="M67" i="48" s="1"/>
  <c r="M87" i="48" s="1" a="1"/>
  <c r="M87" i="48" s="1"/>
  <c r="L98" i="48" l="1"/>
  <c r="L100" i="48" s="1"/>
  <c r="L133" i="48"/>
  <c r="M78" i="48"/>
  <c r="N67" i="48" a="1"/>
  <c r="N67" i="48" s="1"/>
  <c r="M98" i="48" l="1"/>
  <c r="M100" i="48" s="1"/>
  <c r="M133" i="48"/>
  <c r="N78" i="48"/>
  <c r="N87" i="48" a="1"/>
  <c r="N87" i="48" s="1"/>
  <c r="N98" i="48" l="1"/>
  <c r="N100" i="48" s="1"/>
  <c r="N133" i="48"/>
  <c r="H18" i="49" s="1" a="1"/>
  <c r="H18" i="49" l="1"/>
  <c r="H20" i="49" s="1"/>
  <c r="I20" i="49"/>
  <c r="N20" i="49"/>
  <c r="L20" i="49"/>
  <c r="Q20" i="49"/>
  <c r="O20" i="49"/>
  <c r="R20" i="49"/>
  <c r="J20" i="49"/>
  <c r="M20" i="49"/>
  <c r="P20" i="49"/>
  <c r="K20" i="49"/>
  <c r="H11" i="49" a="1"/>
  <c r="H11" i="49" s="1"/>
  <c r="H12" i="49" s="1" a="1"/>
  <c r="D102" i="48" a="1"/>
  <c r="D102" i="48" s="1"/>
  <c r="L22" i="49" l="1"/>
  <c r="Q22" i="49"/>
  <c r="R22" i="49"/>
  <c r="J22" i="49"/>
  <c r="M22" i="49"/>
  <c r="P22" i="49"/>
  <c r="O22" i="49"/>
  <c r="I22" i="49"/>
  <c r="N22" i="49"/>
  <c r="K22" i="49"/>
  <c r="H12" i="49"/>
  <c r="H22" i="49" s="1"/>
  <c r="D113" i="48" a="1"/>
  <c r="D113" i="48" s="1"/>
  <c r="D112" i="48" a="1"/>
  <c r="D112" i="48" s="1"/>
  <c r="D117" i="48" a="1"/>
  <c r="N114" i="48" l="1"/>
  <c r="G114" i="48"/>
  <c r="E114" i="48"/>
  <c r="F114" i="48"/>
  <c r="H114" i="48"/>
  <c r="I114" i="48"/>
  <c r="J114" i="48"/>
  <c r="K114" i="48"/>
  <c r="L114" i="48"/>
  <c r="M114" i="48"/>
  <c r="D117" i="48"/>
  <c r="D114" i="48" s="1"/>
  <c r="H24" i="49" l="1" a="1"/>
  <c r="P27" i="49" l="1"/>
  <c r="P29" i="49" s="1"/>
  <c r="P30" i="49" s="1"/>
  <c r="N27" i="49"/>
  <c r="N29" i="49" s="1"/>
  <c r="N30" i="49" s="1"/>
  <c r="K27" i="49"/>
  <c r="K29" i="49" s="1"/>
  <c r="K30" i="49" s="1"/>
  <c r="J27" i="49"/>
  <c r="J29" i="49" s="1"/>
  <c r="J30" i="49" s="1"/>
  <c r="H24" i="49"/>
  <c r="H27" i="49" s="1"/>
  <c r="H29" i="49" s="1"/>
  <c r="H30" i="49" s="1"/>
  <c r="O27" i="49"/>
  <c r="O29" i="49" s="1"/>
  <c r="O30" i="49" s="1"/>
  <c r="L27" i="49"/>
  <c r="L29" i="49" s="1"/>
  <c r="L30" i="49" s="1"/>
  <c r="I27" i="49"/>
  <c r="I29" i="49" s="1"/>
  <c r="R27" i="49"/>
  <c r="R29" i="49" s="1"/>
  <c r="R30" i="49" s="1"/>
  <c r="M27" i="49"/>
  <c r="M29" i="49" s="1"/>
  <c r="M30" i="49" s="1"/>
  <c r="Q27" i="49"/>
  <c r="Q29" i="49" s="1"/>
  <c r="Q30" i="49" s="1"/>
  <c r="I30" i="49" l="1"/>
  <c r="D42" i="4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<sst xmlns="http://schemas.openxmlformats.org/spreadsheetml/2006/main" count="238" uniqueCount="158">
  <si>
    <t>Microsoft Excel Collegiate Challenge</t>
  </si>
  <si>
    <t>Answer Sheet</t>
  </si>
  <si>
    <t>Points</t>
  </si>
  <si>
    <t>Your Answer</t>
  </si>
  <si>
    <t>Case Background</t>
  </si>
  <si>
    <t>General Instructions</t>
  </si>
  <si>
    <t>Answer Tabs</t>
  </si>
  <si>
    <t>Scoring</t>
  </si>
  <si>
    <t>Inputs and Assumptions</t>
  </si>
  <si>
    <t>Item</t>
  </si>
  <si>
    <t>Q#</t>
  </si>
  <si>
    <t>Question</t>
  </si>
  <si>
    <t>Andrew Grigolyunovich, CFA, CFM, FMVA</t>
  </si>
  <si>
    <t>Case Author:</t>
  </si>
  <si>
    <t>Please put your answer in the green Your Answer cells. Either link to your model or paste values to avoid losing precision.</t>
  </si>
  <si>
    <t>2024 Excel on Rocky Top - Teams Competition - Preliminary Round</t>
  </si>
  <si>
    <t>Hint:</t>
  </si>
  <si>
    <r>
      <t xml:space="preserve">Each answer tab contains the questions for each case along with </t>
    </r>
    <r>
      <rPr>
        <b/>
        <sz val="11"/>
        <color rgb="FF00B050"/>
        <rFont val="Calibri"/>
        <family val="2"/>
        <scheme val="minor"/>
      </rPr>
      <t>GREEN</t>
    </r>
    <r>
      <rPr>
        <sz val="11"/>
        <color theme="1"/>
        <rFont val="Calibri"/>
        <family val="2"/>
        <scheme val="minor"/>
      </rPr>
      <t xml:space="preserve"> answer cells. Please put your answer in the green "Your Answer" cells. Either link to your model or paste values to avoid losing precision. Wrong answers due to guessing are not penalized, but the organizers reserve the right to disqualify participants if their submitted models show signs of cheating such as, but not limited to, not providing evidence of producing their submitted answers, producing evidence of cheating, or showing evidence of collaboration with third parties or other students. Answers provided outside of the defined answer cells will not be graded.</t>
    </r>
  </si>
  <si>
    <t xml:space="preserve">The points for each question are given on the answer tabs. A total of 500 points are available. In addition, teams who earn at least 90% of the question points and submit their models in less than the alloted time will receive 10 extra points for each full minute of time remaining. Teams who submit their models after the alloted time will lose 20 points for each minute of excess time. Models submitted later than the maximum time threshold will receive zero points. </t>
  </si>
  <si>
    <t>This file contains one case with instructions, assumptions, any supporting materials, and an answers tab. Read the instructions carefully and build your models to answer the questions given on each green answer tab. Please put your answer in the green "Your Answer" cells. Either link to your model or paste values to avoid losing precision. When you are finished, you must submit your model on the ExPrep platform. Only submit the model you downloaded (i.e., do not share models with others) and be sure to submit by the end of your alloted time (see "Scoring" section below for late penalties and early bonuses). Good luck!</t>
  </si>
  <si>
    <t>Down to EBITDA (500 points)</t>
  </si>
  <si>
    <t>Sweets, Candies and More, Inc. (SCM) is a fast-growing manufacturer of sweets and candies in the fictional country of Neverlandia. You have recently joined the company’s finance department and were assigned to a team that works on a 10-year financial forecast for capital raising. You were given a task to summarize SCM’s revenues and expenses down to EBITDA for 2022 and to forecast them for the next 10 years. Then your colleagues will add the remaining parts to the financial model.
You are required to create a 10-year (starting on Jan 1, 2023) annual model for the company, based on the assumptions listed below. For your convenience, these assumptions are summarized in the model too (see Assumptions tab). Additionally, you were also provided with a model template for EBITDA calculations. Most probably you will need to add to it a lot of rows with support calculations.</t>
  </si>
  <si>
    <t>Sales and Product Mix</t>
  </si>
  <si>
    <t>Inflation Forecast</t>
  </si>
  <si>
    <t>Expenses and Other Assumptions</t>
  </si>
  <si>
    <t>How many units in total did SCM sell in 2022?</t>
  </si>
  <si>
    <t>What was the total cost of raw materials in 2022?</t>
  </si>
  <si>
    <t>What was the total cost of packaging in 2022?</t>
  </si>
  <si>
    <t>How many units in total were sold by SCM through Joe’s A Trader in 2022?</t>
  </si>
  <si>
    <t>What is the weighted average list price for SCM’s products in 2022?</t>
  </si>
  <si>
    <t>What were SCM’s total net sales after discounts in 2022?</t>
  </si>
  <si>
    <t>What were the total shipping costs in 2022?</t>
  </si>
  <si>
    <t>What was SCM’s EBITDA in 2022?</t>
  </si>
  <si>
    <t>How many units in total is SCM expected to sell in 2023?</t>
  </si>
  <si>
    <t>How many units is SCM expected to sell through the New Sales Channels in 2023?</t>
  </si>
  <si>
    <t>How many units in total is SCM expected to sell over the 10-year forecast period?</t>
  </si>
  <si>
    <t>What is the expected list price for the Extra-Large Box of Sweets in 2032?</t>
  </si>
  <si>
    <t>What are the forecasted net sales (after discount) across all channels over the 10-year forecasting period?</t>
  </si>
  <si>
    <t>What are the total forecasted direct labor costs over the 10-year forecasting period?</t>
  </si>
  <si>
    <t>What is the shipping price as % of the list price for the Food Tigers sales channel in 2023? Remember that in 2022 it was 2.31%. In 2023 general inflation is expected to be 7%, however, the list price will be increased by 10%</t>
  </si>
  <si>
    <t>What are the total forecasted shipping costs over the 10-year forecasting period?</t>
  </si>
  <si>
    <t>What are the total forecasted G&amp;A expenses over the 10-year forecasting period?</t>
  </si>
  <si>
    <t>What is the total forecasted EBITDA over the 10-year forecasting period?</t>
  </si>
  <si>
    <t>Assume that the energy prices in Neverlandia have skyrocketed. It is expected that the increase in energy prices in 2023 will be not 100% as in the base case but 250%. Additionally, this will lead to general inflation being 25% in 2023 instead of 7% and payroll inflation being 20% in 2023 instead of 10%. Assume no changes for other years and no other changes in the model. What is the forecasted EBITDA for SCM in 2023?</t>
  </si>
  <si>
    <t>To offset these losses SCM plans to raise the list prices even higher than the initially planned 10%. However, as soon as the list price increases over 25% versus 2022, for each next percentage point of price increase, SCM is expected to lose 1 percentage point of sales growth. E.g., if the list prices are increased by 26%, the sales volume growth will now be 24% instead of the 25% that was planned initially. How much should SCM increase their list prices in 2023 in order to get their EBITDA equal to 0?</t>
  </si>
  <si>
    <t>Down to EBITDA</t>
  </si>
  <si>
    <t>1. General Assumptions</t>
  </si>
  <si>
    <t>2. Overhead Expenses - 2022 Actuals</t>
  </si>
  <si>
    <t>General</t>
  </si>
  <si>
    <t>Company Name:</t>
  </si>
  <si>
    <t>[Name]</t>
  </si>
  <si>
    <t>Sweets, Candies and More, Inc.</t>
  </si>
  <si>
    <t>Manufacturing Overhead</t>
  </si>
  <si>
    <t>[$]</t>
  </si>
  <si>
    <t>Model Start Date</t>
  </si>
  <si>
    <t>[Date]</t>
  </si>
  <si>
    <t>Marketing</t>
  </si>
  <si>
    <t>[% of Net Sales]</t>
  </si>
  <si>
    <t>Sales Expenses</t>
  </si>
  <si>
    <t>G&amp;A Expenses</t>
  </si>
  <si>
    <t>G&amp;A Expenses - Minimum</t>
  </si>
  <si>
    <t>3. Product Mix, Sales and COGS - 2022 Actuals</t>
  </si>
  <si>
    <t>Product Mix</t>
  </si>
  <si>
    <t>List Price</t>
  </si>
  <si>
    <t>Units Sold</t>
  </si>
  <si>
    <t>Raw Materials</t>
  </si>
  <si>
    <t>Direct Salaries</t>
  </si>
  <si>
    <t>Energy</t>
  </si>
  <si>
    <t>Packaging</t>
  </si>
  <si>
    <t>[$/Unit]</t>
  </si>
  <si>
    <t>[# of Units]</t>
  </si>
  <si>
    <t>A Candy a Day Keeps Your Dentist Busy</t>
  </si>
  <si>
    <t>Big Bar of Chocolate</t>
  </si>
  <si>
    <t>Candies in a Box</t>
  </si>
  <si>
    <t>Double Delight</t>
  </si>
  <si>
    <t>Extra Large Box of Sweets</t>
  </si>
  <si>
    <t>4. Sales by Channel - 2022 Actuals and Forecast</t>
  </si>
  <si>
    <t>Retail Chain</t>
  </si>
  <si>
    <t>Volume Share'22</t>
  </si>
  <si>
    <t>Discount</t>
  </si>
  <si>
    <t>Shipping</t>
  </si>
  <si>
    <t>Volume Growth'23+</t>
  </si>
  <si>
    <t>[%]</t>
  </si>
  <si>
    <t>[% of List Price]</t>
  </si>
  <si>
    <t>[% p.a.]</t>
  </si>
  <si>
    <t>Food Tigers</t>
  </si>
  <si>
    <t>Gain A Lot</t>
  </si>
  <si>
    <t>Hostco</t>
  </si>
  <si>
    <t>I-Mart</t>
  </si>
  <si>
    <t>Joe's A Trader</t>
  </si>
  <si>
    <t>K-Smart</t>
  </si>
  <si>
    <t>Liddle</t>
  </si>
  <si>
    <t>Mega</t>
  </si>
  <si>
    <t>No Target</t>
  </si>
  <si>
    <t>Other Stores</t>
  </si>
  <si>
    <t>New Sales Channels</t>
  </si>
  <si>
    <t>n.a.</t>
  </si>
  <si>
    <t>5. Annual Assumptions</t>
  </si>
  <si>
    <t>List Price Increase</t>
  </si>
  <si>
    <t>Sales Volume Growth</t>
  </si>
  <si>
    <t>Payroll Inflation</t>
  </si>
  <si>
    <t>Energy Inflation</t>
  </si>
  <si>
    <t>General Inflation</t>
  </si>
  <si>
    <t>Ends in 443</t>
  </si>
  <si>
    <t>Ends in 432</t>
  </si>
  <si>
    <t>Ends in 352</t>
  </si>
  <si>
    <t>Ends in 451</t>
  </si>
  <si>
    <t>Ends in 600</t>
  </si>
  <si>
    <t>Ends in 000</t>
  </si>
  <si>
    <t>Ends in 887</t>
  </si>
  <si>
    <t>Ends in 054</t>
  </si>
  <si>
    <t>Ends in 142</t>
  </si>
  <si>
    <t>Ends in 758</t>
  </si>
  <si>
    <t>Ends in 555</t>
  </si>
  <si>
    <t>Ends in 772</t>
  </si>
  <si>
    <t>Ends in 654</t>
  </si>
  <si>
    <t>Ends in 468</t>
  </si>
  <si>
    <t>Ends in 138</t>
  </si>
  <si>
    <t>Ends in 740</t>
  </si>
  <si>
    <t>Ends in .91</t>
  </si>
  <si>
    <t>Ends in .31</t>
  </si>
  <si>
    <t>Ends in .75</t>
  </si>
  <si>
    <t>Ends in .25</t>
  </si>
  <si>
    <t>Period Start</t>
  </si>
  <si>
    <t>Period End</t>
  </si>
  <si>
    <t>Period #</t>
  </si>
  <si>
    <t>P&amp;L Summary</t>
  </si>
  <si>
    <t>Gross Sales</t>
  </si>
  <si>
    <t>Net Sales</t>
  </si>
  <si>
    <t>Direct Payroll</t>
  </si>
  <si>
    <t>Total COGS</t>
  </si>
  <si>
    <t>Gross Profit</t>
  </si>
  <si>
    <t>Total SG&amp;A</t>
  </si>
  <si>
    <t>EBITDA</t>
  </si>
  <si>
    <t>EBITDA Margin</t>
  </si>
  <si>
    <t>Sweets, Candies and More, Inc. Financial Model</t>
  </si>
  <si>
    <r>
      <t xml:space="preserve">SCM produces a total of only 5 products (listed in the financial model).
• For each product, you were given its list price (official offer price before any discounts) and the number of units sold in 2022 (although there are still 2.5 months to go in 2022, assume these numbers as actuals for the whole year).
• Additionally, you were also provided with actual manufacturing costs per unit – raw materials, direct labor, energy and packaging.
• These products are sold through a total of 10 different sales channels – the country’s top retail chains. You’ve been provided with the volume split for 2022 (what is the percentage of units sold by each retailer). For simplicity of projections, assume that all retailers sell the products in the same proportions and those will stay the same for the next 10 years.
• These retailers enjoy substantial bargaining power when it comes to prices. As a result, each of them chooses the extent to which they discount the prices they charge customers (provided in the Assumptions section of the financial model).
• Your accountants have also calculated the actual transportation costs for each of the retailers as a % of the list price (i.e. </t>
    </r>
    <r>
      <rPr>
        <b/>
        <sz val="11"/>
        <color rgb="FFFF0000"/>
        <rFont val="Calibri"/>
        <family val="2"/>
        <charset val="238"/>
        <scheme val="minor"/>
      </rPr>
      <t>the price before discounts</t>
    </r>
    <r>
      <rPr>
        <sz val="11"/>
        <color theme="1"/>
        <rFont val="Calibri"/>
        <family val="2"/>
        <scheme val="minor"/>
      </rPr>
      <t>).
• SCM products are very well-demanded on the market. The company expects to grow the number of units sold in 2023 by 25%, then by 15% in 2024, then by 10% in 2025, 5% in 2026 and 3% in further years.
• However, the existing retailers will be able to grow their unit sales only by a couple of percentage points per year (specifics provided in the assumptions). Assume that this rate of unit sales increase will be the same for each retailer over the next 10 years (i.e. Food Tigers will grow the number of units sold by 1.9% in 2023, by 1.9% in 2024, by 1.9% in 2025, etc.). The remaining units will be sold through new sales channels (additional retailers and export sales).
• Additionally, in order to compensate for their growing manufacturing costs, SCM plans to raise list prices by 10% in 2023, 7% in 2024, 5% in 2025 and 3% every year thereafter. This will also proportionally increase the prices for retailers after discount
    o E.g. if the list price for the Extra Large Box of Sweets is raised by 10% from $28.50 to $31.35, this means that the price after the 
       discount for Food Tigers increases from $25.94 to $28.53. The discount itself remains at 9%.</t>
    </r>
  </si>
  <si>
    <t>Total:</t>
  </si>
  <si>
    <r>
      <t xml:space="preserve">• The general inflation in Neverlandia is expected to be 7% in 2023, gradually decreasing to 3% (see the Assumptions tab in the financial model). </t>
    </r>
    <r>
      <rPr>
        <b/>
        <sz val="11"/>
        <color rgb="FFFF0000"/>
        <rFont val="Calibri"/>
        <family val="2"/>
        <charset val="238"/>
        <scheme val="minor"/>
      </rPr>
      <t>This inflation should be applied to all the expenses of the company except for payroll and energy.</t>
    </r>
    <r>
      <rPr>
        <sz val="11"/>
        <color theme="1"/>
        <rFont val="Calibri"/>
        <family val="2"/>
        <scheme val="minor"/>
      </rPr>
      <t xml:space="preserve">
• However, the job market is hot right now and salaries rise faster than general prices. Therefore, the company uses a different inflation forecast for salaries (10% in 2023, gradually decreasing to 3%).
• Energy prices in Neverlandia are expected to skyrocket in 2023 (100% increase), then stay flat in 2024 and then decrease by 25% in 2025. In later years energy prices will grow by 3% p.a.
• </t>
    </r>
    <r>
      <rPr>
        <b/>
        <sz val="11"/>
        <color rgb="FFFF0000"/>
        <rFont val="Calibri"/>
        <family val="2"/>
        <charset val="238"/>
        <scheme val="minor"/>
      </rPr>
      <t>Shipping rates are being provided as a % of list prices for each retailer. However, shipping rates on a per-unit basis will grow at the general inflation. We recommend calculating shipping costs for each retailer on a per-unit basis for 2022 and applying general inflation in the next year.</t>
    </r>
    <r>
      <rPr>
        <sz val="11"/>
        <color theme="1"/>
        <rFont val="Calibri"/>
        <family val="2"/>
        <scheme val="minor"/>
      </rPr>
      <t xml:space="preserve">
• For all the inflation numbers assume that inflation kicks in full on January 1 of every year.</t>
    </r>
  </si>
  <si>
    <r>
      <t xml:space="preserve">• Besides direct costs, SCM also has overhead expenses:
    o  Manufacturing overhead is a fixed cost and it increases in line with the general inflation.
    o Marketing and sales expenses are both charged as a fixed % of net sales. Do not additionally apply any inflation here –it is 
        already offset by sales growth.
    o Finally, the company has general and administrative expenses (G&amp;A). Similar to manufacturing overhead, these are fixed and 
       grow in line with the general inflation. However, G&amp;A expenses should always be at least 7.5% of net sales.
• </t>
    </r>
    <r>
      <rPr>
        <b/>
        <sz val="11"/>
        <color rgb="FFFF0000"/>
        <rFont val="Calibri"/>
        <family val="2"/>
        <charset val="238"/>
        <scheme val="minor"/>
      </rPr>
      <t>Do not round your calculations at any point even if it results in partial units sold.</t>
    </r>
  </si>
  <si>
    <t>Average:</t>
  </si>
  <si>
    <t>Units '22</t>
  </si>
  <si>
    <t>Net sales '22</t>
  </si>
  <si>
    <t>Gross sales '22</t>
  </si>
  <si>
    <t>Shipping cost '22</t>
  </si>
  <si>
    <t>Index</t>
  </si>
  <si>
    <t>Sales Volume</t>
  </si>
  <si>
    <t>Split</t>
  </si>
  <si>
    <t>Overhead</t>
  </si>
  <si>
    <t>G&amp;A</t>
  </si>
  <si>
    <t>G&amp;A1</t>
  </si>
  <si>
    <t>G&amp;A2</t>
  </si>
  <si>
    <t>Discount ($)</t>
  </si>
  <si>
    <t>Total Discount ($)</t>
  </si>
  <si>
    <t>Net Sales ($)</t>
  </si>
  <si>
    <t>Shippimg cost '23</t>
  </si>
  <si>
    <t>Shipping by retailer</t>
  </si>
  <si>
    <t>Total shipping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</si>
</sst>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0.0000%"/>
    <numFmt numFmtId="167" formatCode="0.0%"/>
    <numFmt numFmtId="168" formatCode="&quot;$&quot;#,##0"/>
    <numFmt numFmtId="175" formatCode="_-[$$-C09]* #,##0.00_-;\-[$$-C09]* #,##0.00_-;_-[$$-C09]* &quot;-&quot;_-;_-@_-"/>
  </numFmts>
  <fonts count="38">
    <font>
      <sz val="20"/>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22"/>
      <color rgb="FF3F3F76"/>
      <name val="Calibri"/>
      <family val="2"/>
      <scheme val="minor"/>
    </font>
    <font>
      <b/>
      <sz val="24"/>
      <color theme="0"/>
      <name val="Agency FB"/>
      <family val="2"/>
    </font>
    <font>
      <sz val="11"/>
      <color theme="1"/>
      <name val="Calibri"/>
      <family val="2"/>
      <scheme val="minor"/>
    </font>
    <font>
      <sz val="11"/>
      <color theme="1"/>
      <name val="Roboto"/>
    </font>
    <font>
      <b/>
      <sz val="18"/>
      <color theme="0"/>
      <name val="Agency FB"/>
      <family val="2"/>
    </font>
    <font>
      <u/>
      <sz val="11"/>
      <color theme="10"/>
      <name val="Calibri"/>
      <family val="2"/>
      <scheme val="minor"/>
    </font>
    <font>
      <b/>
      <sz val="11"/>
      <color theme="1"/>
      <name val="Calibri"/>
      <family val="2"/>
      <scheme val="minor"/>
    </font>
    <font>
      <b/>
      <sz val="11"/>
      <color rgb="FF00B050"/>
      <name val="Calibri"/>
      <family val="2"/>
      <scheme val="minor"/>
    </font>
    <font>
      <sz val="9"/>
      <color theme="1"/>
      <name val="NeverMind"/>
      <family val="2"/>
    </font>
    <font>
      <sz val="9"/>
      <color rgb="FF3F3F76"/>
      <name val="NeverMind"/>
      <family val="2"/>
    </font>
    <font>
      <b/>
      <sz val="12"/>
      <color theme="0"/>
      <name val="Calibri"/>
      <family val="2"/>
      <scheme val="minor"/>
    </font>
    <font>
      <b/>
      <sz val="18"/>
      <name val="Calibri"/>
      <family val="2"/>
      <scheme val="minor"/>
    </font>
    <font>
      <sz val="10"/>
      <name val="Calibri"/>
      <family val="2"/>
      <scheme val="minor"/>
    </font>
    <font>
      <sz val="12"/>
      <name val="Calibri"/>
      <family val="2"/>
      <scheme val="minor"/>
    </font>
    <font>
      <b/>
      <sz val="10"/>
      <name val="Calibri"/>
      <family val="2"/>
      <scheme val="minor"/>
    </font>
    <font>
      <sz val="8"/>
      <name val="Calibri"/>
      <family val="2"/>
      <scheme val="minor"/>
    </font>
    <font>
      <sz val="11"/>
      <color rgb="FF3F3F76"/>
      <name val="Calibri"/>
      <family val="2"/>
      <scheme val="minor"/>
    </font>
    <font>
      <sz val="10"/>
      <color rgb="FF0085B2"/>
      <name val="Calibri"/>
      <family val="2"/>
      <scheme val="minor"/>
    </font>
    <font>
      <b/>
      <sz val="11"/>
      <color rgb="FF3F3F3F"/>
      <name val="Calibri"/>
      <family val="2"/>
      <scheme val="minor"/>
    </font>
    <font>
      <sz val="14"/>
      <color theme="1"/>
      <name val="Calibri"/>
      <family val="2"/>
      <scheme val="minor"/>
    </font>
    <font>
      <b/>
      <u/>
      <sz val="14"/>
      <color rgb="FF6C7079"/>
      <name val="Calibri"/>
      <family val="2"/>
      <scheme val="minor"/>
    </font>
    <font>
      <b/>
      <sz val="12"/>
      <name val="Calibri"/>
      <family val="2"/>
      <scheme val="minor"/>
    </font>
    <font>
      <sz val="8"/>
      <color theme="1"/>
      <name val="Calibri"/>
      <family val="2"/>
      <scheme val="minor"/>
    </font>
    <font>
      <sz val="9"/>
      <color theme="1"/>
      <name val="Calibri"/>
      <family val="2"/>
      <scheme val="minor"/>
    </font>
    <font>
      <sz val="9"/>
      <color rgb="FF00B050"/>
      <name val="Calibri"/>
      <family val="2"/>
      <scheme val="minor"/>
    </font>
    <font>
      <b/>
      <sz val="8"/>
      <color theme="1"/>
      <name val="Calibri"/>
      <family val="2"/>
      <scheme val="minor"/>
    </font>
    <font>
      <i/>
      <sz val="9"/>
      <color theme="1"/>
      <name val="Calibri"/>
      <family val="2"/>
      <scheme val="minor"/>
    </font>
    <font>
      <i/>
      <sz val="8"/>
      <color theme="1"/>
      <name val="Calibri"/>
      <family val="2"/>
      <scheme val="minor"/>
    </font>
    <font>
      <sz val="12"/>
      <color rgb="FFFFFFFF"/>
      <name val="Arial"/>
      <family val="2"/>
      <charset val="238"/>
    </font>
    <font>
      <b/>
      <sz val="11"/>
      <color rgb="FFFF0000"/>
      <name val="Calibri"/>
      <family val="2"/>
      <charset val="238"/>
      <scheme val="minor"/>
    </font>
    <font>
      <b/>
      <sz val="10"/>
      <name val="Calibri"/>
      <family val="2"/>
      <charset val="238"/>
      <scheme val="minor"/>
    </font>
    <font>
      <sz val="10"/>
      <name val="Calibri"/>
      <family val="2"/>
      <charset val="238"/>
      <scheme val="minor"/>
    </font>
    <font>
      <sz val="10"/>
      <color theme="1"/>
      <name val="Calibri"/>
      <family val="2"/>
      <scheme val="minor"/>
    </font>
    <font>
      <b/>
      <sz val="10"/>
      <color theme="1"/>
      <name val="Calibri"/>
      <family val="2"/>
      <charset val="238"/>
      <scheme val="minor"/>
    </font>
  </fonts>
  <fills count="12">
    <fill>
      <patternFill patternType="none"/>
    </fill>
    <fill>
      <patternFill patternType="gray125"/>
    </fill>
    <fill>
      <patternFill patternType="solid">
        <fgColor rgb="FFFFCC99"/>
      </patternFill>
    </fill>
    <fill>
      <gradientFill>
        <stop position="0">
          <color rgb="FFBF1F36"/>
        </stop>
        <stop position="1">
          <color rgb="FF020024"/>
        </stop>
      </gradientFill>
    </fill>
    <fill>
      <patternFill patternType="solid">
        <fgColor theme="0"/>
        <bgColor indexed="64"/>
      </patternFill>
    </fill>
    <fill>
      <gradientFill>
        <stop position="0">
          <color rgb="FF228AB8"/>
        </stop>
        <stop position="1">
          <color rgb="FF020024"/>
        </stop>
      </gradientFill>
    </fill>
    <fill>
      <patternFill patternType="solid">
        <fgColor rgb="FF006837"/>
        <bgColor indexed="64"/>
      </patternFill>
    </fill>
    <fill>
      <patternFill patternType="solid">
        <fgColor rgb="FFBF1F36"/>
        <bgColor auto="1"/>
      </patternFill>
    </fill>
    <fill>
      <patternFill patternType="solid">
        <fgColor rgb="FFFFFFCC"/>
      </patternFill>
    </fill>
    <fill>
      <patternFill patternType="solid">
        <fgColor rgb="FFF2F2F2"/>
      </patternFill>
    </fill>
    <fill>
      <patternFill patternType="solid">
        <fgColor theme="4" tint="0.79998168889431442"/>
        <bgColor indexed="64"/>
      </patternFill>
    </fill>
    <fill>
      <patternFill patternType="solid">
        <fgColor rgb="FF208BB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style="thin">
        <color indexed="64"/>
      </top>
      <bottom style="double">
        <color indexed="64"/>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s>
  <cellStyleXfs count="11">
    <xf numFmtId="0" fontId="0" fillId="0" borderId="0"/>
    <xf numFmtId="0" fontId="2" fillId="0" borderId="0"/>
    <xf numFmtId="0" fontId="4" fillId="2" borderId="1" applyNumberFormat="0" applyAlignment="0" applyProtection="0"/>
    <xf numFmtId="0" fontId="6" fillId="0" borderId="0"/>
    <xf numFmtId="0" fontId="9" fillId="0" borderId="0" applyNumberFormat="0" applyFill="0" applyBorder="0" applyAlignment="0" applyProtection="0"/>
    <xf numFmtId="0" fontId="1" fillId="0" borderId="0"/>
    <xf numFmtId="0" fontId="12" fillId="0" borderId="0"/>
    <xf numFmtId="0" fontId="13" fillId="2" borderId="1" applyNumberFormat="0" applyAlignment="0" applyProtection="0"/>
    <xf numFmtId="0" fontId="12" fillId="8" borderId="5" applyNumberFormat="0" applyFont="0" applyAlignment="0" applyProtection="0"/>
    <xf numFmtId="0" fontId="20" fillId="2" borderId="1" applyNumberFormat="0" applyAlignment="0" applyProtection="0"/>
    <xf numFmtId="0" fontId="22" fillId="9" borderId="7" applyNumberFormat="0" applyAlignment="0" applyProtection="0"/>
  </cellStyleXfs>
  <cellXfs count="119">
    <xf numFmtId="0" fontId="0" fillId="0" borderId="0" xfId="0"/>
    <xf numFmtId="0" fontId="2" fillId="0" borderId="0" xfId="0" applyFont="1"/>
    <xf numFmtId="0" fontId="2" fillId="0" borderId="0" xfId="3" applyFont="1"/>
    <xf numFmtId="0" fontId="7" fillId="4" borderId="0" xfId="0" applyFont="1" applyFill="1"/>
    <xf numFmtId="0" fontId="3" fillId="0" borderId="0" xfId="3" applyFont="1"/>
    <xf numFmtId="0" fontId="6" fillId="4" borderId="0" xfId="3" applyFill="1" applyProtection="1">
      <protection locked="0"/>
    </xf>
    <xf numFmtId="0" fontId="5" fillId="7" borderId="0" xfId="3" applyFont="1" applyFill="1" applyAlignment="1">
      <alignment horizontal="centerContinuous" vertical="center"/>
    </xf>
    <xf numFmtId="0" fontId="7" fillId="4" borderId="0" xfId="3" applyFont="1" applyFill="1"/>
    <xf numFmtId="0" fontId="10" fillId="4" borderId="0" xfId="3" applyFont="1" applyFill="1" applyProtection="1">
      <protection locked="0"/>
    </xf>
    <xf numFmtId="0" fontId="6" fillId="0" borderId="0" xfId="3"/>
    <xf numFmtId="0" fontId="6" fillId="0" borderId="0" xfId="3" applyAlignment="1">
      <alignment horizontal="center"/>
    </xf>
    <xf numFmtId="3" fontId="15" fillId="0" borderId="0" xfId="3" applyNumberFormat="1" applyFont="1" applyAlignment="1">
      <alignment horizontal="centerContinuous"/>
    </xf>
    <xf numFmtId="0" fontId="16" fillId="0" borderId="0" xfId="3" applyFont="1" applyAlignment="1">
      <alignment horizontal="centerContinuous"/>
    </xf>
    <xf numFmtId="0" fontId="16" fillId="0" borderId="0" xfId="3" applyFont="1"/>
    <xf numFmtId="0" fontId="17" fillId="0" borderId="2" xfId="3" applyFont="1" applyBorder="1" applyAlignment="1">
      <alignment horizontal="centerContinuous"/>
    </xf>
    <xf numFmtId="0" fontId="16" fillId="0" borderId="2" xfId="3" applyFont="1" applyBorder="1" applyAlignment="1">
      <alignment horizontal="centerContinuous"/>
    </xf>
    <xf numFmtId="0" fontId="18" fillId="10" borderId="6" xfId="3" applyFont="1" applyFill="1" applyBorder="1"/>
    <xf numFmtId="0" fontId="18" fillId="0" borderId="0" xfId="3" applyFont="1" applyAlignment="1">
      <alignment horizontal="center"/>
    </xf>
    <xf numFmtId="0" fontId="18" fillId="0" borderId="0" xfId="3" applyFont="1"/>
    <xf numFmtId="0" fontId="18" fillId="0" borderId="0" xfId="3" applyFont="1" applyAlignment="1">
      <alignment horizontal="center" vertical="center" shrinkToFit="1"/>
    </xf>
    <xf numFmtId="0" fontId="19" fillId="0" borderId="0" xfId="3" applyFont="1" applyAlignment="1">
      <alignment horizontal="center"/>
    </xf>
    <xf numFmtId="0" fontId="19" fillId="0" borderId="0" xfId="3" applyFont="1" applyAlignment="1">
      <alignment horizontal="left"/>
    </xf>
    <xf numFmtId="0" fontId="16" fillId="0" borderId="0" xfId="3" applyFont="1" applyAlignment="1">
      <alignment horizontal="left" indent="1"/>
    </xf>
    <xf numFmtId="4" fontId="21" fillId="2" borderId="1" xfId="9" applyNumberFormat="1" applyFont="1" applyAlignment="1" applyProtection="1">
      <alignment horizontal="center"/>
      <protection locked="0"/>
    </xf>
    <xf numFmtId="3" fontId="21" fillId="2" borderId="1" xfId="9" applyNumberFormat="1" applyFont="1" applyAlignment="1" applyProtection="1">
      <alignment horizontal="center"/>
      <protection locked="0"/>
    </xf>
    <xf numFmtId="4" fontId="16" fillId="0" borderId="0" xfId="3" applyNumberFormat="1" applyFont="1"/>
    <xf numFmtId="0" fontId="24" fillId="0" borderId="0" xfId="4" applyFont="1"/>
    <xf numFmtId="0" fontId="23" fillId="4" borderId="0" xfId="3" applyFont="1" applyFill="1" applyAlignment="1" applyProtection="1">
      <alignment horizontal="center"/>
      <protection locked="0"/>
    </xf>
    <xf numFmtId="0" fontId="10" fillId="0" borderId="0" xfId="3" applyFont="1" applyAlignment="1">
      <alignment horizontal="center"/>
    </xf>
    <xf numFmtId="0" fontId="18" fillId="0" borderId="3" xfId="3" applyFont="1" applyBorder="1"/>
    <xf numFmtId="0" fontId="16" fillId="0" borderId="3" xfId="3" applyFont="1" applyBorder="1"/>
    <xf numFmtId="0" fontId="16" fillId="0" borderId="4" xfId="3" applyFont="1" applyBorder="1" applyAlignment="1">
      <alignment horizontal="left" indent="1"/>
    </xf>
    <xf numFmtId="0" fontId="19" fillId="0" borderId="4" xfId="3" applyFont="1" applyBorder="1" applyAlignment="1">
      <alignment horizontal="center"/>
    </xf>
    <xf numFmtId="0" fontId="16" fillId="0" borderId="3" xfId="3" applyFont="1" applyBorder="1" applyAlignment="1">
      <alignment horizontal="left" indent="1"/>
    </xf>
    <xf numFmtId="0" fontId="19" fillId="0" borderId="3" xfId="3" applyFont="1" applyBorder="1" applyAlignment="1">
      <alignment horizontal="center"/>
    </xf>
    <xf numFmtId="10" fontId="21" fillId="2" borderId="1" xfId="9" applyNumberFormat="1" applyFont="1" applyAlignment="1" applyProtection="1">
      <alignment horizontal="center"/>
      <protection locked="0"/>
    </xf>
    <xf numFmtId="167" fontId="16" fillId="0" borderId="0" xfId="3" applyNumberFormat="1" applyFont="1"/>
    <xf numFmtId="10" fontId="16" fillId="0" borderId="1" xfId="9" applyNumberFormat="1" applyFont="1" applyFill="1" applyAlignment="1" applyProtection="1">
      <alignment horizontal="center"/>
      <protection locked="0"/>
    </xf>
    <xf numFmtId="3" fontId="6" fillId="0" borderId="0" xfId="3" applyNumberFormat="1" applyAlignment="1">
      <alignment horizontal="center"/>
    </xf>
    <xf numFmtId="4" fontId="6" fillId="0" borderId="0" xfId="3" applyNumberFormat="1" applyAlignment="1">
      <alignment horizontal="center"/>
    </xf>
    <xf numFmtId="166" fontId="6" fillId="0" borderId="0" xfId="3" applyNumberFormat="1" applyAlignment="1">
      <alignment horizontal="center"/>
    </xf>
    <xf numFmtId="10" fontId="6" fillId="0" borderId="0" xfId="3" applyNumberFormat="1" applyAlignment="1">
      <alignment horizontal="center"/>
    </xf>
    <xf numFmtId="3" fontId="14" fillId="11" borderId="6" xfId="3" applyNumberFormat="1" applyFont="1" applyFill="1" applyBorder="1" applyAlignment="1">
      <alignment horizontal="center"/>
    </xf>
    <xf numFmtId="3" fontId="14" fillId="11" borderId="6" xfId="3" applyNumberFormat="1" applyFont="1" applyFill="1" applyBorder="1"/>
    <xf numFmtId="0" fontId="26" fillId="0" borderId="0" xfId="3" applyFont="1"/>
    <xf numFmtId="0" fontId="26" fillId="0" borderId="0" xfId="3" applyFont="1" applyAlignment="1">
      <alignment horizontal="center"/>
    </xf>
    <xf numFmtId="0" fontId="27" fillId="0" borderId="0" xfId="3" applyFont="1"/>
    <xf numFmtId="15" fontId="27" fillId="0" borderId="0" xfId="3" applyNumberFormat="1" applyFont="1"/>
    <xf numFmtId="15" fontId="28" fillId="0" borderId="0" xfId="3" applyNumberFormat="1" applyFont="1"/>
    <xf numFmtId="4" fontId="6" fillId="0" borderId="0" xfId="3" applyNumberFormat="1"/>
    <xf numFmtId="0" fontId="6" fillId="0" borderId="0" xfId="3" applyAlignment="1">
      <alignment horizontal="left" indent="1"/>
    </xf>
    <xf numFmtId="3" fontId="6" fillId="0" borderId="0" xfId="3" applyNumberFormat="1"/>
    <xf numFmtId="0" fontId="10" fillId="0" borderId="6" xfId="3" applyFont="1" applyBorder="1"/>
    <xf numFmtId="0" fontId="6" fillId="0" borderId="6" xfId="3" applyBorder="1"/>
    <xf numFmtId="0" fontId="29" fillId="0" borderId="6" xfId="3" applyFont="1" applyBorder="1" applyAlignment="1">
      <alignment horizontal="center"/>
    </xf>
    <xf numFmtId="3" fontId="10" fillId="0" borderId="6" xfId="3" applyNumberFormat="1" applyFont="1" applyBorder="1"/>
    <xf numFmtId="0" fontId="6" fillId="0" borderId="3" xfId="3" applyBorder="1" applyAlignment="1">
      <alignment horizontal="left" indent="1"/>
    </xf>
    <xf numFmtId="0" fontId="6" fillId="0" borderId="3" xfId="3" applyBorder="1"/>
    <xf numFmtId="0" fontId="26" fillId="0" borderId="3" xfId="3" applyFont="1" applyBorder="1" applyAlignment="1">
      <alignment horizontal="center"/>
    </xf>
    <xf numFmtId="3" fontId="6" fillId="0" borderId="3" xfId="3" applyNumberFormat="1" applyBorder="1"/>
    <xf numFmtId="0" fontId="10" fillId="0" borderId="0" xfId="3" applyFont="1"/>
    <xf numFmtId="0" fontId="29" fillId="0" borderId="0" xfId="3" applyFont="1" applyAlignment="1">
      <alignment horizontal="center"/>
    </xf>
    <xf numFmtId="3" fontId="10" fillId="0" borderId="0" xfId="3" applyNumberFormat="1" applyFont="1"/>
    <xf numFmtId="0" fontId="30" fillId="0" borderId="0" xfId="3" applyFont="1" applyAlignment="1">
      <alignment horizontal="left" indent="1"/>
    </xf>
    <xf numFmtId="0" fontId="31" fillId="0" borderId="0" xfId="3" applyFont="1" applyAlignment="1">
      <alignment horizontal="center"/>
    </xf>
    <xf numFmtId="167" fontId="30" fillId="0" borderId="0" xfId="3" applyNumberFormat="1" applyFont="1" applyAlignment="1">
      <alignment horizontal="right"/>
    </xf>
    <xf numFmtId="0" fontId="17" fillId="0" borderId="3" xfId="3" applyFont="1" applyBorder="1" applyAlignment="1">
      <alignment horizontal="center" vertical="center"/>
    </xf>
    <xf numFmtId="0" fontId="17" fillId="0" borderId="3" xfId="3" applyFont="1" applyBorder="1" applyAlignment="1">
      <alignment horizontal="left" vertical="center" wrapText="1"/>
    </xf>
    <xf numFmtId="3" fontId="17" fillId="0" borderId="3" xfId="3" applyNumberFormat="1" applyFont="1" applyBorder="1" applyAlignment="1">
      <alignment horizontal="center" vertical="center"/>
    </xf>
    <xf numFmtId="0" fontId="6" fillId="0" borderId="3" xfId="3" applyBorder="1" applyAlignment="1">
      <alignment horizontal="center" vertical="center"/>
    </xf>
    <xf numFmtId="0" fontId="17" fillId="0" borderId="8" xfId="3" applyFont="1" applyBorder="1" applyAlignment="1">
      <alignment horizontal="center" vertical="center"/>
    </xf>
    <xf numFmtId="0" fontId="17" fillId="0" borderId="8" xfId="3" applyFont="1" applyBorder="1" applyAlignment="1">
      <alignment horizontal="left" vertical="center" wrapText="1"/>
    </xf>
    <xf numFmtId="3" fontId="17" fillId="0" borderId="8" xfId="3" applyNumberFormat="1" applyFont="1" applyBorder="1" applyAlignment="1">
      <alignment horizontal="center" vertical="center"/>
    </xf>
    <xf numFmtId="0" fontId="6" fillId="0" borderId="8" xfId="3" applyBorder="1" applyAlignment="1">
      <alignment horizontal="center" vertical="center"/>
    </xf>
    <xf numFmtId="0" fontId="25" fillId="0" borderId="3" xfId="3" applyFont="1" applyBorder="1" applyAlignment="1">
      <alignment horizontal="center" vertical="center"/>
    </xf>
    <xf numFmtId="0" fontId="25" fillId="0" borderId="3" xfId="3" applyFont="1" applyBorder="1" applyAlignment="1">
      <alignment vertical="center"/>
    </xf>
    <xf numFmtId="0" fontId="10" fillId="0" borderId="3" xfId="3" applyFont="1" applyBorder="1" applyAlignment="1">
      <alignment horizontal="center" vertical="center"/>
    </xf>
    <xf numFmtId="3" fontId="14" fillId="6" borderId="8" xfId="3" applyNumberFormat="1" applyFont="1" applyFill="1" applyBorder="1" applyAlignment="1">
      <alignment horizontal="center" vertical="center"/>
    </xf>
    <xf numFmtId="164" fontId="14" fillId="6" borderId="3" xfId="3" applyNumberFormat="1" applyFont="1" applyFill="1" applyBorder="1" applyAlignment="1">
      <alignment horizontal="center" vertical="center"/>
    </xf>
    <xf numFmtId="164" fontId="14" fillId="6" borderId="8" xfId="3" applyNumberFormat="1" applyFont="1" applyFill="1" applyBorder="1" applyAlignment="1">
      <alignment horizontal="center" vertical="center"/>
    </xf>
    <xf numFmtId="165" fontId="14" fillId="6" borderId="8" xfId="3" applyNumberFormat="1" applyFont="1" applyFill="1" applyBorder="1" applyAlignment="1">
      <alignment horizontal="center" vertical="center"/>
    </xf>
    <xf numFmtId="10" fontId="14" fillId="6" borderId="8" xfId="3" applyNumberFormat="1" applyFont="1" applyFill="1" applyBorder="1" applyAlignment="1">
      <alignment horizontal="center" vertical="center"/>
    </xf>
    <xf numFmtId="168" fontId="14" fillId="6" borderId="8" xfId="3" applyNumberFormat="1" applyFont="1" applyFill="1" applyBorder="1" applyAlignment="1">
      <alignment horizontal="center" vertical="center"/>
    </xf>
    <xf numFmtId="0" fontId="32" fillId="0" borderId="0" xfId="0" applyFont="1"/>
    <xf numFmtId="3" fontId="16" fillId="0" borderId="0" xfId="3" applyNumberFormat="1" applyFont="1"/>
    <xf numFmtId="0" fontId="8" fillId="5" borderId="0" xfId="0" applyFont="1" applyFill="1" applyAlignment="1">
      <alignment horizontal="center" vertical="center"/>
    </xf>
    <xf numFmtId="0" fontId="6" fillId="4" borderId="0" xfId="3" applyFill="1" applyAlignment="1" applyProtection="1">
      <alignment horizontal="left" wrapText="1"/>
      <protection locked="0"/>
    </xf>
    <xf numFmtId="0" fontId="6" fillId="4" borderId="0" xfId="3" applyFill="1" applyAlignment="1" applyProtection="1">
      <alignment horizontal="left"/>
      <protection locked="0"/>
    </xf>
    <xf numFmtId="0" fontId="5" fillId="3" borderId="0" xfId="0" applyFont="1" applyFill="1" applyAlignment="1">
      <alignment horizontal="center" vertical="center"/>
    </xf>
    <xf numFmtId="3" fontId="21" fillId="2" borderId="1" xfId="9" applyNumberFormat="1" applyFont="1" applyAlignment="1" applyProtection="1">
      <alignment horizontal="center"/>
      <protection locked="0"/>
    </xf>
    <xf numFmtId="15" fontId="21" fillId="2" borderId="1" xfId="9" applyNumberFormat="1" applyFont="1" applyAlignment="1" applyProtection="1">
      <alignment horizontal="center"/>
      <protection locked="0"/>
    </xf>
    <xf numFmtId="0" fontId="34" fillId="0" borderId="0" xfId="3" applyFont="1"/>
    <xf numFmtId="0" fontId="16" fillId="0" borderId="0" xfId="3" applyFont="1" applyAlignment="1">
      <alignment horizontal="center" vertical="center"/>
    </xf>
    <xf numFmtId="0" fontId="16" fillId="0" borderId="0" xfId="3" applyFont="1" applyAlignment="1">
      <alignment horizontal="right"/>
    </xf>
    <xf numFmtId="0" fontId="16" fillId="0" borderId="0" xfId="3" applyFont="1" applyAlignment="1">
      <alignment horizontal="left" vertical="center"/>
    </xf>
    <xf numFmtId="4" fontId="16" fillId="0" borderId="0" xfId="3" applyNumberFormat="1" applyFont="1" applyAlignment="1">
      <alignment horizontal="right" vertical="center"/>
    </xf>
    <xf numFmtId="0" fontId="36" fillId="0" borderId="0" xfId="0" applyFont="1"/>
    <xf numFmtId="0" fontId="16" fillId="0" borderId="0" xfId="3" applyFont="1" applyFill="1"/>
    <xf numFmtId="0" fontId="36" fillId="0" borderId="0" xfId="0" applyFont="1" applyAlignment="1">
      <alignment horizontal="right"/>
    </xf>
    <xf numFmtId="0" fontId="36" fillId="0" borderId="0" xfId="0" applyFont="1" applyAlignment="1">
      <alignment horizontal="left" vertical="center"/>
    </xf>
    <xf numFmtId="0" fontId="36" fillId="0" borderId="0" xfId="0" applyNumberFormat="1" applyFont="1" applyAlignment="1">
      <alignment horizontal="left" vertical="center"/>
    </xf>
    <xf numFmtId="175" fontId="36" fillId="0" borderId="0" xfId="0" applyNumberFormat="1" applyFont="1" applyAlignment="1">
      <alignment horizontal="right" vertical="center"/>
    </xf>
    <xf numFmtId="175" fontId="16" fillId="0" borderId="0" xfId="3" applyNumberFormat="1" applyFont="1" applyAlignment="1">
      <alignment horizontal="right" vertical="center"/>
    </xf>
    <xf numFmtId="1" fontId="36" fillId="0" borderId="0" xfId="0" applyNumberFormat="1" applyFont="1" applyAlignment="1">
      <alignment horizontal="right" vertical="center"/>
    </xf>
    <xf numFmtId="175" fontId="36" fillId="0" borderId="0" xfId="0" applyNumberFormat="1" applyFont="1" applyAlignment="1">
      <alignment vertical="center"/>
    </xf>
    <xf numFmtId="175" fontId="36" fillId="0" borderId="0" xfId="3" applyNumberFormat="1" applyFont="1" applyAlignment="1">
      <alignment vertical="center"/>
    </xf>
    <xf numFmtId="10" fontId="16" fillId="0" borderId="0" xfId="3" applyNumberFormat="1" applyFont="1"/>
    <xf numFmtId="0" fontId="34" fillId="0" borderId="0" xfId="3" applyNumberFormat="1" applyFont="1"/>
    <xf numFmtId="0" fontId="36" fillId="0" borderId="0" xfId="0" applyNumberFormat="1" applyFont="1" applyAlignment="1">
      <alignment horizontal="right" vertical="center"/>
    </xf>
    <xf numFmtId="4" fontId="36" fillId="0" borderId="0" xfId="0" applyNumberFormat="1" applyFont="1" applyAlignment="1">
      <alignment horizontal="right" vertical="center"/>
    </xf>
    <xf numFmtId="4" fontId="36" fillId="0" borderId="0" xfId="0" applyNumberFormat="1" applyFont="1" applyAlignment="1">
      <alignment vertical="center"/>
    </xf>
    <xf numFmtId="4" fontId="36" fillId="0" borderId="0" xfId="0" applyNumberFormat="1" applyFont="1"/>
    <xf numFmtId="0" fontId="35" fillId="0" borderId="0" xfId="3" applyFont="1" applyAlignment="1">
      <alignment horizontal="left" vertical="center" shrinkToFit="1"/>
    </xf>
    <xf numFmtId="4" fontId="36" fillId="0" borderId="0" xfId="0" applyNumberFormat="1" applyFont="1" applyAlignment="1">
      <alignment horizontal="right"/>
    </xf>
    <xf numFmtId="4" fontId="16" fillId="0" borderId="0" xfId="3" applyNumberFormat="1" applyFont="1" applyAlignment="1">
      <alignment horizontal="right"/>
    </xf>
    <xf numFmtId="3" fontId="36" fillId="0" borderId="0" xfId="0" applyNumberFormat="1" applyFont="1" applyAlignment="1">
      <alignment horizontal="right" vertical="center"/>
    </xf>
    <xf numFmtId="0" fontId="37" fillId="0" borderId="0" xfId="0" applyFont="1" applyAlignment="1">
      <alignment horizontal="left" vertical="center"/>
    </xf>
    <xf numFmtId="10" fontId="36" fillId="0" borderId="0" xfId="0" applyNumberFormat="1" applyFont="1" applyAlignment="1">
      <alignment horizontal="left" vertical="center"/>
    </xf>
    <xf numFmtId="4" fontId="36" fillId="0" borderId="0" xfId="3" applyNumberFormat="1" applyFont="1" applyAlignment="1">
      <alignment vertical="center"/>
    </xf>
  </cellXfs>
  <cellStyles count="11">
    <cellStyle name="Hyperlink 2" xfId="4" xr:uid="{1F71B507-18EF-45D9-B74A-8F62F7877669}"/>
    <cellStyle name="Input 2" xfId="2" xr:uid="{B2D1D9DB-F275-4F48-A2DA-B44BD55CAF68}"/>
    <cellStyle name="Input 2 2" xfId="7" xr:uid="{E662A518-6B6C-48A3-8AC5-0727E4931343}"/>
    <cellStyle name="Input 3" xfId="9" xr:uid="{163C18D0-4591-416C-B633-ACD5FA0F5889}"/>
    <cellStyle name="Normal 2" xfId="1" xr:uid="{78A81026-51C0-441F-987E-F4342E1FF8C9}"/>
    <cellStyle name="Normal 2 2" xfId="6" xr:uid="{A60C45FC-676D-40FC-8A2D-3A180F49E33D}"/>
    <cellStyle name="Normal 3" xfId="3" xr:uid="{849AD7D5-26F7-4473-A309-6988CCAFBB28}"/>
    <cellStyle name="Normal 4" xfId="5" xr:uid="{4CD594BB-BB40-4962-B286-0D849DB4FDCF}"/>
    <cellStyle name="Normalny" xfId="0" builtinId="0"/>
    <cellStyle name="Note 2" xfId="8" xr:uid="{810F2A54-459A-4A57-A401-0C0C5C4FB623}"/>
    <cellStyle name="Output 2" xfId="10" xr:uid="{8E92A153-B06D-4CCC-8005-0596A16DD8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fmworldcup.com/"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hyperlink" Target="https://www.fmworldcup.com/" TargetMode="External"/><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4</xdr:col>
      <xdr:colOff>2593825</xdr:colOff>
      <xdr:row>3</xdr:row>
      <xdr:rowOff>77199</xdr:rowOff>
    </xdr:from>
    <xdr:to>
      <xdr:col>5</xdr:col>
      <xdr:colOff>2554961</xdr:colOff>
      <xdr:row>6</xdr:row>
      <xdr:rowOff>139700</xdr:rowOff>
    </xdr:to>
    <xdr:pic>
      <xdr:nvPicPr>
        <xdr:cNvPr id="4" name="Picture 3">
          <a:hlinkClick xmlns:r="http://schemas.openxmlformats.org/officeDocument/2006/relationships" r:id="rId1"/>
          <a:extLst>
            <a:ext uri="{FF2B5EF4-FFF2-40B4-BE49-F238E27FC236}">
              <a16:creationId xmlns:a16="http://schemas.microsoft.com/office/drawing/2014/main" id="{469A8AAB-C5B7-4278-8224-46ABD003A7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5550" y="829674"/>
          <a:ext cx="2580511" cy="605426"/>
        </a:xfrm>
        <a:prstGeom prst="rect">
          <a:avLst/>
        </a:prstGeom>
      </xdr:spPr>
    </xdr:pic>
    <xdr:clientData/>
  </xdr:twoCellAnchor>
  <xdr:twoCellAnchor editAs="oneCell">
    <xdr:from>
      <xdr:col>0</xdr:col>
      <xdr:colOff>0</xdr:colOff>
      <xdr:row>1</xdr:row>
      <xdr:rowOff>234950</xdr:rowOff>
    </xdr:from>
    <xdr:to>
      <xdr:col>2</xdr:col>
      <xdr:colOff>84400</xdr:colOff>
      <xdr:row>8</xdr:row>
      <xdr:rowOff>190500</xdr:rowOff>
    </xdr:to>
    <xdr:pic>
      <xdr:nvPicPr>
        <xdr:cNvPr id="5" name="Picture 4">
          <a:extLst>
            <a:ext uri="{FF2B5EF4-FFF2-40B4-BE49-F238E27FC236}">
              <a16:creationId xmlns:a16="http://schemas.microsoft.com/office/drawing/2014/main" id="{D23AE3ED-96DF-49F2-8E72-B8416C14DE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19100"/>
          <a:ext cx="3180025" cy="1428750"/>
        </a:xfrm>
        <a:prstGeom prst="rect">
          <a:avLst/>
        </a:prstGeom>
      </xdr:spPr>
    </xdr:pic>
    <xdr:clientData/>
  </xdr:twoCellAnchor>
  <xdr:twoCellAnchor editAs="oneCell">
    <xdr:from>
      <xdr:col>2</xdr:col>
      <xdr:colOff>2419350</xdr:colOff>
      <xdr:row>2</xdr:row>
      <xdr:rowOff>47625</xdr:rowOff>
    </xdr:from>
    <xdr:to>
      <xdr:col>4</xdr:col>
      <xdr:colOff>283881</xdr:colOff>
      <xdr:row>7</xdr:row>
      <xdr:rowOff>139700</xdr:rowOff>
    </xdr:to>
    <xdr:pic>
      <xdr:nvPicPr>
        <xdr:cNvPr id="6" name="Picture 5" descr="MECC">
          <a:extLst>
            <a:ext uri="{FF2B5EF4-FFF2-40B4-BE49-F238E27FC236}">
              <a16:creationId xmlns:a16="http://schemas.microsoft.com/office/drawing/2014/main" id="{E7FCB5D5-0011-4454-A7C7-9353A4A3DA5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14975" y="615950"/>
          <a:ext cx="950631"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1111312</xdr:colOff>
      <xdr:row>3</xdr:row>
      <xdr:rowOff>39101</xdr:rowOff>
    </xdr:from>
    <xdr:to>
      <xdr:col>5</xdr:col>
      <xdr:colOff>1769107</xdr:colOff>
      <xdr:row>6</xdr:row>
      <xdr:rowOff>66675</xdr:rowOff>
    </xdr:to>
    <xdr:pic>
      <xdr:nvPicPr>
        <xdr:cNvPr id="4" name="Picture 3">
          <a:hlinkClick xmlns:r="http://schemas.openxmlformats.org/officeDocument/2006/relationships" r:id="rId1"/>
          <a:extLst>
            <a:ext uri="{FF2B5EF4-FFF2-40B4-BE49-F238E27FC236}">
              <a16:creationId xmlns:a16="http://schemas.microsoft.com/office/drawing/2014/main" id="{D5932162-4772-441D-B804-86E69DA940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62662" y="791576"/>
          <a:ext cx="2454845" cy="570499"/>
        </a:xfrm>
        <a:prstGeom prst="rect">
          <a:avLst/>
        </a:prstGeom>
      </xdr:spPr>
    </xdr:pic>
    <xdr:clientData/>
  </xdr:twoCellAnchor>
  <xdr:twoCellAnchor editAs="oneCell">
    <xdr:from>
      <xdr:col>0</xdr:col>
      <xdr:colOff>85725</xdr:colOff>
      <xdr:row>1</xdr:row>
      <xdr:rowOff>304800</xdr:rowOff>
    </xdr:from>
    <xdr:to>
      <xdr:col>2</xdr:col>
      <xdr:colOff>570925</xdr:colOff>
      <xdr:row>8</xdr:row>
      <xdr:rowOff>47625</xdr:rowOff>
    </xdr:to>
    <xdr:pic>
      <xdr:nvPicPr>
        <xdr:cNvPr id="5" name="Picture 4">
          <a:extLst>
            <a:ext uri="{FF2B5EF4-FFF2-40B4-BE49-F238E27FC236}">
              <a16:creationId xmlns:a16="http://schemas.microsoft.com/office/drawing/2014/main" id="{A6BC5E66-8402-4C97-9C40-44E2756149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550" y="485775"/>
          <a:ext cx="2717225" cy="1219200"/>
        </a:xfrm>
        <a:prstGeom prst="rect">
          <a:avLst/>
        </a:prstGeom>
      </xdr:spPr>
    </xdr:pic>
    <xdr:clientData/>
  </xdr:twoCellAnchor>
  <xdr:twoCellAnchor editAs="oneCell">
    <xdr:from>
      <xdr:col>2</xdr:col>
      <xdr:colOff>1492250</xdr:colOff>
      <xdr:row>2</xdr:row>
      <xdr:rowOff>44450</xdr:rowOff>
    </xdr:from>
    <xdr:to>
      <xdr:col>4</xdr:col>
      <xdr:colOff>229906</xdr:colOff>
      <xdr:row>7</xdr:row>
      <xdr:rowOff>139700</xdr:rowOff>
    </xdr:to>
    <xdr:pic>
      <xdr:nvPicPr>
        <xdr:cNvPr id="6" name="Picture 5" descr="MECC">
          <a:extLst>
            <a:ext uri="{FF2B5EF4-FFF2-40B4-BE49-F238E27FC236}">
              <a16:creationId xmlns:a16="http://schemas.microsoft.com/office/drawing/2014/main" id="{1414573C-4342-4174-AEB7-273206569D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24275" y="619125"/>
          <a:ext cx="953806" cy="99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0</xdr:row>
      <xdr:rowOff>66675</xdr:rowOff>
    </xdr:from>
    <xdr:to>
      <xdr:col>1</xdr:col>
      <xdr:colOff>570865</xdr:colOff>
      <xdr:row>2</xdr:row>
      <xdr:rowOff>151179</xdr:rowOff>
    </xdr:to>
    <xdr:pic>
      <xdr:nvPicPr>
        <xdr:cNvPr id="2" name="Picture 1" descr="MECC">
          <a:extLst>
            <a:ext uri="{FF2B5EF4-FFF2-40B4-BE49-F238E27FC236}">
              <a16:creationId xmlns:a16="http://schemas.microsoft.com/office/drawing/2014/main" id="{05CA8D78-0D31-4F30-897A-891C0B849D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66675"/>
          <a:ext cx="551815" cy="5417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0</xdr:row>
      <xdr:rowOff>0</xdr:rowOff>
    </xdr:from>
    <xdr:to>
      <xdr:col>13</xdr:col>
      <xdr:colOff>85724</xdr:colOff>
      <xdr:row>3</xdr:row>
      <xdr:rowOff>97980</xdr:rowOff>
    </xdr:to>
    <xdr:pic>
      <xdr:nvPicPr>
        <xdr:cNvPr id="5" name="Picture 4">
          <a:extLst>
            <a:ext uri="{FF2B5EF4-FFF2-40B4-BE49-F238E27FC236}">
              <a16:creationId xmlns:a16="http://schemas.microsoft.com/office/drawing/2014/main" id="{156E4F7B-D6C7-4413-92D3-99E1135859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77300" y="0"/>
          <a:ext cx="1666874" cy="7552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5</xdr:col>
      <xdr:colOff>0</xdr:colOff>
      <xdr:row>17</xdr:row>
      <xdr:rowOff>141861</xdr:rowOff>
    </xdr:to>
    <xdr:pic>
      <xdr:nvPicPr>
        <xdr:cNvPr id="4" name="Picture 3">
          <a:extLst>
            <a:ext uri="{FF2B5EF4-FFF2-40B4-BE49-F238E27FC236}">
              <a16:creationId xmlns:a16="http://schemas.microsoft.com/office/drawing/2014/main" id="{4D44E9CB-509B-19E5-E5B1-06605F277A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1300" y="1257300"/>
          <a:ext cx="10007600" cy="2504061"/>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andrewgri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B0DF-77BD-4178-99D9-83D9C0504489}">
  <sheetPr codeName="Sheet10">
    <tabColor theme="1"/>
    <pageSetUpPr fitToPage="1"/>
  </sheetPr>
  <dimension ref="A1:XX1000"/>
  <sheetViews>
    <sheetView tabSelected="1" topLeftCell="A8" zoomScaleNormal="100" workbookViewId="0">
      <selection activeCell="B13" sqref="B13:F13"/>
    </sheetView>
  </sheetViews>
  <sheetFormatPr defaultColWidth="0" defaultRowHeight="14.45" customHeight="1" zeroHeight="1"/>
  <cols>
    <col min="1" max="1" width="3.35546875" style="5" customWidth="1"/>
    <col min="2" max="3" width="21" style="5" customWidth="1"/>
    <col min="4" max="4" width="3.28515625" style="5" customWidth="1"/>
    <col min="5" max="6" width="20.640625" style="5" customWidth="1"/>
    <col min="7" max="7" width="4.85546875" style="5" customWidth="1"/>
    <col min="8" max="16384" width="4.85546875" style="5" hidden="1"/>
  </cols>
  <sheetData>
    <row r="1" spans="1:10" ht="15"/>
    <row r="2" spans="1:10" ht="30">
      <c r="B2" s="88" t="s">
        <v>0</v>
      </c>
      <c r="C2" s="88"/>
      <c r="D2" s="88"/>
      <c r="E2" s="88"/>
      <c r="F2" s="88"/>
      <c r="H2" s="6"/>
      <c r="I2" s="6"/>
      <c r="J2" s="6"/>
    </row>
    <row r="3" spans="1:10" ht="15">
      <c r="B3" s="7"/>
      <c r="C3" s="7"/>
      <c r="D3" s="7"/>
      <c r="E3" s="7"/>
      <c r="F3" s="7"/>
    </row>
    <row r="4" spans="1:10" ht="15">
      <c r="B4" s="7"/>
      <c r="C4" s="7"/>
      <c r="D4" s="7"/>
      <c r="E4" s="7"/>
      <c r="F4" s="7"/>
    </row>
    <row r="5" spans="1:10" ht="15">
      <c r="B5" s="7"/>
      <c r="C5" s="7"/>
      <c r="D5" s="7"/>
      <c r="E5" s="7"/>
      <c r="F5" s="7"/>
    </row>
    <row r="6" spans="1:10" ht="15">
      <c r="B6" s="7"/>
      <c r="C6" s="7"/>
      <c r="D6" s="7"/>
      <c r="E6" s="7"/>
      <c r="F6" s="7"/>
    </row>
    <row r="7" spans="1:10" ht="15">
      <c r="B7" s="7"/>
      <c r="C7" s="7"/>
      <c r="D7" s="7"/>
      <c r="E7" s="7"/>
      <c r="F7" s="7"/>
    </row>
    <row r="8" spans="1:10" ht="15">
      <c r="B8" s="7"/>
      <c r="C8" s="7"/>
      <c r="D8" s="7"/>
      <c r="E8" s="7"/>
      <c r="F8" s="7"/>
    </row>
    <row r="9" spans="1:10" ht="25.5">
      <c r="B9" s="85" t="s">
        <v>15</v>
      </c>
      <c r="C9" s="85"/>
      <c r="D9" s="85"/>
      <c r="E9" s="85"/>
      <c r="F9" s="85"/>
    </row>
    <row r="10" spans="1:10" ht="15"/>
    <row r="11" spans="1:10" ht="25.5">
      <c r="B11" s="85" t="s">
        <v>5</v>
      </c>
      <c r="C11" s="85"/>
      <c r="D11" s="85"/>
      <c r="E11" s="85"/>
      <c r="F11" s="85"/>
    </row>
    <row r="12" spans="1:10" ht="15"/>
    <row r="13" spans="1:10" ht="68.45" customHeight="1">
      <c r="A13" s="8"/>
      <c r="B13" s="86" t="s">
        <v>19</v>
      </c>
      <c r="C13" s="87"/>
      <c r="D13" s="87"/>
      <c r="E13" s="87"/>
      <c r="F13" s="87"/>
    </row>
    <row r="14" spans="1:10" ht="15">
      <c r="A14" s="8"/>
    </row>
    <row r="15" spans="1:10" ht="25.5">
      <c r="B15" s="85" t="s">
        <v>6</v>
      </c>
      <c r="C15" s="85"/>
      <c r="D15" s="85"/>
      <c r="E15" s="85"/>
      <c r="F15" s="85"/>
    </row>
    <row r="16" spans="1:10" ht="15"/>
    <row r="17" spans="1:6" ht="68.45" customHeight="1">
      <c r="A17" s="8"/>
      <c r="B17" s="86" t="s">
        <v>17</v>
      </c>
      <c r="C17" s="87"/>
      <c r="D17" s="87"/>
      <c r="E17" s="87"/>
      <c r="F17" s="87"/>
    </row>
    <row r="18" spans="1:6" ht="15">
      <c r="A18" s="8"/>
    </row>
    <row r="19" spans="1:6" ht="25.5">
      <c r="B19" s="85" t="s">
        <v>7</v>
      </c>
      <c r="C19" s="85"/>
      <c r="D19" s="85"/>
      <c r="E19" s="85"/>
      <c r="F19" s="85"/>
    </row>
    <row r="20" spans="1:6" ht="15"/>
    <row r="21" spans="1:6" ht="63.6" customHeight="1">
      <c r="A21" s="8"/>
      <c r="B21" s="86" t="s">
        <v>18</v>
      </c>
      <c r="C21" s="87"/>
      <c r="D21" s="87"/>
      <c r="E21" s="87"/>
      <c r="F21" s="87"/>
    </row>
    <row r="22" spans="1:6" ht="14.45" customHeight="1"/>
    <row r="23" spans="1:6" ht="14.45" customHeight="1"/>
    <row r="24" spans="1:6" ht="14.45" customHeight="1"/>
    <row r="25" spans="1:6" ht="14.45" customHeight="1"/>
    <row r="26" spans="1:6" ht="14.45" customHeight="1"/>
    <row r="27" spans="1:6" ht="14.45" customHeight="1"/>
    <row r="28" spans="1:6" ht="14.45" customHeight="1"/>
    <row r="29" spans="1:6" ht="14.45" customHeight="1"/>
    <row r="30" spans="1:6" ht="14.45" customHeight="1"/>
    <row r="31" spans="1:6" ht="14.45" customHeight="1"/>
    <row r="32" spans="1:6"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1000" spans="648:648" ht="15.75">
      <c r="XX1000" s="83">
        <v>125713</v>
      </c>
    </row>
  </sheetData>
  <mergeCells count="8">
    <mergeCell ref="B19:F19"/>
    <mergeCell ref="B21:F21"/>
    <mergeCell ref="B2:F2"/>
    <mergeCell ref="B9:F9"/>
    <mergeCell ref="B11:F11"/>
    <mergeCell ref="B13:F13"/>
    <mergeCell ref="B15:F15"/>
    <mergeCell ref="B17:F17"/>
  </mergeCells>
  <pageMargins left="0.7" right="0.7" top="0.75" bottom="0.75" header="0.3" footer="0.3"/>
  <pageSetup scale="7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3728-4AC6-4ED4-9F5B-B8081D52C57B}">
  <sheetPr codeName="Sheet1">
    <tabColor theme="5" tint="0.59999389629810485"/>
    <pageSetUpPr fitToPage="1"/>
  </sheetPr>
  <dimension ref="A1:XX1000"/>
  <sheetViews>
    <sheetView topLeftCell="B1" zoomScaleNormal="100" workbookViewId="0">
      <selection activeCell="F12" sqref="F12"/>
    </sheetView>
  </sheetViews>
  <sheetFormatPr defaultColWidth="0" defaultRowHeight="14.45" customHeight="1" zeroHeight="1"/>
  <cols>
    <col min="1" max="1" width="3.35546875" style="5" customWidth="1"/>
    <col min="2" max="3" width="14.2109375" style="5" customWidth="1"/>
    <col min="4" max="4" width="3.28515625" style="5" customWidth="1"/>
    <col min="5" max="6" width="14.2109375" style="5" customWidth="1"/>
    <col min="7" max="7" width="4.85546875" style="5" customWidth="1"/>
    <col min="8" max="16384" width="4.85546875" style="5" hidden="1"/>
  </cols>
  <sheetData>
    <row r="1" spans="1:10" ht="15"/>
    <row r="2" spans="1:10" ht="30">
      <c r="B2" s="88" t="s">
        <v>0</v>
      </c>
      <c r="C2" s="88"/>
      <c r="D2" s="88"/>
      <c r="E2" s="88"/>
      <c r="F2" s="88"/>
      <c r="H2" s="6"/>
      <c r="I2" s="6"/>
      <c r="J2" s="6"/>
    </row>
    <row r="3" spans="1:10" ht="15">
      <c r="B3" s="7"/>
      <c r="C3" s="7"/>
      <c r="D3" s="7"/>
      <c r="E3" s="7"/>
      <c r="F3" s="7"/>
    </row>
    <row r="4" spans="1:10" ht="15">
      <c r="B4" s="7"/>
      <c r="C4" s="7"/>
      <c r="D4" s="7"/>
      <c r="E4" s="7"/>
      <c r="F4" s="7"/>
    </row>
    <row r="5" spans="1:10" ht="15">
      <c r="B5" s="7"/>
      <c r="C5" s="7"/>
      <c r="D5" s="7"/>
      <c r="E5" s="7"/>
      <c r="F5" s="7"/>
    </row>
    <row r="6" spans="1:10" ht="15">
      <c r="B6" s="7"/>
      <c r="C6" s="7"/>
      <c r="D6" s="7"/>
      <c r="E6" s="7"/>
      <c r="F6" s="7"/>
    </row>
    <row r="7" spans="1:10" ht="15">
      <c r="B7" s="7"/>
      <c r="C7" s="7"/>
      <c r="D7" s="7"/>
      <c r="E7" s="7"/>
      <c r="F7" s="7"/>
    </row>
    <row r="8" spans="1:10" ht="15">
      <c r="B8" s="7"/>
      <c r="C8" s="7"/>
      <c r="D8" s="7"/>
      <c r="E8" s="7"/>
      <c r="F8" s="7"/>
    </row>
    <row r="9" spans="1:10" ht="25.5">
      <c r="B9" s="85" t="s">
        <v>20</v>
      </c>
      <c r="C9" s="85"/>
      <c r="D9" s="85"/>
      <c r="E9" s="85"/>
      <c r="F9" s="85"/>
    </row>
    <row r="10" spans="1:10" ht="15"/>
    <row r="11" spans="1:10" ht="18.75">
      <c r="B11" s="27" t="s">
        <v>13</v>
      </c>
      <c r="C11" s="26" t="s">
        <v>12</v>
      </c>
    </row>
    <row r="12" spans="1:10" ht="15"/>
    <row r="13" spans="1:10" ht="25.5">
      <c r="B13" s="85" t="s">
        <v>4</v>
      </c>
      <c r="C13" s="85"/>
      <c r="D13" s="85"/>
      <c r="E13" s="85"/>
      <c r="F13" s="85"/>
    </row>
    <row r="14" spans="1:10" ht="15"/>
    <row r="15" spans="1:10" ht="138.6" customHeight="1">
      <c r="A15" s="8"/>
      <c r="B15" s="86" t="s">
        <v>21</v>
      </c>
      <c r="C15" s="87"/>
      <c r="D15" s="87"/>
      <c r="E15" s="87"/>
      <c r="F15" s="87"/>
    </row>
    <row r="16" spans="1:10" ht="15">
      <c r="A16" s="8"/>
    </row>
    <row r="17" spans="1:6" ht="25.5">
      <c r="B17" s="85" t="s">
        <v>22</v>
      </c>
      <c r="C17" s="85"/>
      <c r="D17" s="85"/>
      <c r="E17" s="85"/>
      <c r="F17" s="85"/>
    </row>
    <row r="18" spans="1:6" ht="15"/>
    <row r="19" spans="1:6" ht="335.45" customHeight="1">
      <c r="A19" s="8"/>
      <c r="B19" s="86" t="s">
        <v>136</v>
      </c>
      <c r="C19" s="87"/>
      <c r="D19" s="87"/>
      <c r="E19" s="87"/>
      <c r="F19" s="87"/>
    </row>
    <row r="20" spans="1:6" ht="15"/>
    <row r="21" spans="1:6" ht="25.5">
      <c r="B21" s="85" t="s">
        <v>23</v>
      </c>
      <c r="C21" s="85"/>
      <c r="D21" s="85"/>
      <c r="E21" s="85"/>
      <c r="F21" s="85"/>
    </row>
    <row r="22" spans="1:6" ht="15"/>
    <row r="23" spans="1:6" ht="151.5" customHeight="1">
      <c r="A23" s="8"/>
      <c r="B23" s="86" t="s">
        <v>138</v>
      </c>
      <c r="C23" s="87"/>
      <c r="D23" s="87"/>
      <c r="E23" s="87"/>
      <c r="F23" s="87"/>
    </row>
    <row r="24" spans="1:6" ht="15"/>
    <row r="25" spans="1:6" ht="25.5">
      <c r="B25" s="85" t="s">
        <v>24</v>
      </c>
      <c r="C25" s="85"/>
      <c r="D25" s="85"/>
      <c r="E25" s="85"/>
      <c r="F25" s="85"/>
    </row>
    <row r="26" spans="1:6" ht="15"/>
    <row r="27" spans="1:6" ht="104.1" customHeight="1">
      <c r="A27" s="8"/>
      <c r="B27" s="86" t="s">
        <v>139</v>
      </c>
      <c r="C27" s="87"/>
      <c r="D27" s="87"/>
      <c r="E27" s="87"/>
      <c r="F27" s="87"/>
    </row>
    <row r="28" spans="1:6" ht="15"/>
    <row r="29" spans="1:6" ht="14.45" customHeight="1"/>
    <row r="30" spans="1:6" ht="14.45" customHeight="1"/>
    <row r="31" spans="1:6" ht="14.45" customHeight="1"/>
    <row r="32" spans="1:6" ht="14.45" customHeight="1"/>
    <row r="33" ht="14.45" customHeight="1"/>
    <row r="34" ht="14.45" customHeight="1"/>
    <row r="35" ht="14.45" customHeight="1"/>
    <row r="36" ht="14.45" customHeight="1"/>
    <row r="37" ht="14.45" customHeight="1"/>
    <row r="38" ht="14.45" customHeight="1"/>
    <row r="39" ht="14.45" customHeight="1"/>
    <row r="40" ht="14.45" customHeight="1"/>
    <row r="41" ht="14.45" customHeight="1"/>
    <row r="42" ht="14.45" customHeight="1"/>
    <row r="43" ht="14.45" customHeight="1"/>
    <row r="44" ht="14.45" customHeight="1"/>
    <row r="45" ht="14.45" customHeight="1"/>
    <row r="46" ht="14.45" customHeight="1"/>
    <row r="47" ht="14.45" customHeight="1"/>
    <row r="48"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1000" spans="648:648" ht="15.75">
      <c r="XX1000" s="83">
        <v>125713</v>
      </c>
    </row>
  </sheetData>
  <mergeCells count="10">
    <mergeCell ref="B2:F2"/>
    <mergeCell ref="B9:F9"/>
    <mergeCell ref="B13:F13"/>
    <mergeCell ref="B15:F15"/>
    <mergeCell ref="B17:F17"/>
    <mergeCell ref="B21:F21"/>
    <mergeCell ref="B23:F23"/>
    <mergeCell ref="B25:F25"/>
    <mergeCell ref="B27:F27"/>
    <mergeCell ref="B19:F19"/>
  </mergeCells>
  <hyperlinks>
    <hyperlink ref="C11" r:id="rId1" display="Case Author: Andrew Grigolyunovich, CFA, CFM, FMVA" xr:uid="{6C7BF1D6-398C-424E-89CE-3377ECB0D715}"/>
  </hyperlinks>
  <printOptions horizontalCentered="1" verticalCentered="1"/>
  <pageMargins left="0.25" right="0.25" top="0.75" bottom="0.75" header="0.3" footer="0.3"/>
  <pageSetup scale="83" fitToHeight="0"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F376-99CF-46BD-9CB2-89EA8E880379}">
  <sheetPr codeName="Sheet2">
    <tabColor theme="5" tint="0.59999389629810485"/>
  </sheetPr>
  <dimension ref="A2:XY1025"/>
  <sheetViews>
    <sheetView showGridLines="0" topLeftCell="A32" zoomScaleNormal="100" workbookViewId="0">
      <selection activeCell="D42" sqref="D42"/>
    </sheetView>
  </sheetViews>
  <sheetFormatPr defaultColWidth="4.7109375" defaultRowHeight="12.75"/>
  <cols>
    <col min="1" max="1" width="1.92578125" style="13" customWidth="1"/>
    <col min="2" max="2" width="9" style="13" customWidth="1"/>
    <col min="3" max="3" width="3.42578125" style="13" customWidth="1"/>
    <col min="4" max="6" width="6.92578125" style="13" customWidth="1"/>
    <col min="7" max="8" width="7.0703125" style="13" customWidth="1"/>
    <col min="9" max="12" width="6.92578125" style="13" customWidth="1"/>
    <col min="13" max="13" width="9.0703125" style="13" bestFit="1" customWidth="1"/>
    <col min="14" max="14" width="8.0703125" style="13" customWidth="1"/>
    <col min="15" max="15" width="4.7109375" style="13"/>
    <col min="16" max="16" width="7.7109375" style="13" customWidth="1"/>
    <col min="17" max="17" width="11.28515625" style="13" customWidth="1"/>
    <col min="18" max="19" width="10.28515625" style="13" customWidth="1"/>
    <col min="20" max="20" width="12.28515625" style="13" bestFit="1" customWidth="1"/>
    <col min="21" max="21" width="11.640625" style="13" customWidth="1"/>
    <col min="22" max="22" width="3.7109375" style="13" customWidth="1"/>
    <col min="23" max="23" width="9.78515625" style="13" bestFit="1" customWidth="1"/>
    <col min="24" max="16384" width="4.7109375" style="13"/>
  </cols>
  <sheetData>
    <row r="2" spans="2:15" ht="23.25">
      <c r="B2" s="11" t="s">
        <v>45</v>
      </c>
      <c r="C2" s="11"/>
      <c r="D2" s="11"/>
      <c r="E2" s="12"/>
      <c r="F2" s="12"/>
      <c r="G2" s="12"/>
      <c r="H2" s="12"/>
      <c r="I2" s="12"/>
      <c r="J2" s="12"/>
      <c r="K2" s="12"/>
      <c r="L2" s="12"/>
      <c r="M2" s="12"/>
      <c r="N2" s="12"/>
    </row>
    <row r="3" spans="2:15" ht="16.5" thickBot="1">
      <c r="B3" s="14" t="s">
        <v>8</v>
      </c>
      <c r="C3" s="14"/>
      <c r="D3" s="14"/>
      <c r="E3" s="15"/>
      <c r="F3" s="15"/>
      <c r="G3" s="15"/>
      <c r="H3" s="15"/>
      <c r="I3" s="15"/>
      <c r="J3" s="15"/>
      <c r="K3" s="15"/>
      <c r="L3" s="15"/>
      <c r="M3" s="15"/>
      <c r="N3" s="15"/>
    </row>
    <row r="6" spans="2:15" ht="13.5" thickBot="1">
      <c r="B6" s="16" t="s">
        <v>46</v>
      </c>
      <c r="C6" s="16"/>
      <c r="D6" s="16"/>
      <c r="E6" s="16"/>
      <c r="F6" s="16"/>
      <c r="G6" s="16"/>
      <c r="I6" s="16" t="s">
        <v>47</v>
      </c>
      <c r="J6" s="16"/>
      <c r="K6" s="16"/>
      <c r="L6" s="16"/>
      <c r="M6" s="16"/>
      <c r="N6" s="16"/>
    </row>
    <row r="7" spans="2:15" ht="13.5" thickTop="1"/>
    <row r="8" spans="2:15">
      <c r="B8" s="29" t="s">
        <v>48</v>
      </c>
      <c r="C8" s="29"/>
      <c r="D8" s="29"/>
      <c r="E8" s="30"/>
      <c r="F8" s="30"/>
      <c r="G8" s="30"/>
      <c r="I8" s="18" t="s">
        <v>9</v>
      </c>
      <c r="N8" s="19"/>
    </row>
    <row r="9" spans="2:15">
      <c r="B9" s="31" t="s">
        <v>49</v>
      </c>
      <c r="C9" s="31"/>
      <c r="D9" s="32" t="s">
        <v>50</v>
      </c>
      <c r="E9" s="89" t="s">
        <v>51</v>
      </c>
      <c r="F9" s="89"/>
      <c r="G9" s="89"/>
      <c r="I9" s="22" t="s">
        <v>52</v>
      </c>
      <c r="M9" s="20" t="s">
        <v>53</v>
      </c>
      <c r="N9" s="24">
        <v>357911</v>
      </c>
    </row>
    <row r="10" spans="2:15" ht="14.45" customHeight="1">
      <c r="B10" s="33" t="s">
        <v>54</v>
      </c>
      <c r="C10" s="33"/>
      <c r="D10" s="34" t="s">
        <v>55</v>
      </c>
      <c r="E10" s="90">
        <v>44927</v>
      </c>
      <c r="F10" s="90"/>
      <c r="G10" s="90"/>
      <c r="I10" s="22" t="s">
        <v>56</v>
      </c>
      <c r="M10" s="20" t="s">
        <v>57</v>
      </c>
      <c r="N10" s="35">
        <v>2.5000000000000001E-2</v>
      </c>
      <c r="O10" s="13">
        <f>N10*$K$44</f>
        <v>114515.00268575358</v>
      </c>
    </row>
    <row r="11" spans="2:15">
      <c r="I11" s="22" t="s">
        <v>58</v>
      </c>
      <c r="M11" s="20" t="s">
        <v>57</v>
      </c>
      <c r="N11" s="35">
        <v>0.04</v>
      </c>
      <c r="O11" s="13">
        <f>N11*$K$44</f>
        <v>183224.00429720574</v>
      </c>
    </row>
    <row r="12" spans="2:15">
      <c r="I12" s="22" t="s">
        <v>59</v>
      </c>
      <c r="M12" s="20" t="s">
        <v>53</v>
      </c>
      <c r="N12" s="24">
        <v>511237</v>
      </c>
      <c r="O12" s="84">
        <f>N12</f>
        <v>511237</v>
      </c>
    </row>
    <row r="13" spans="2:15">
      <c r="I13" s="22" t="s">
        <v>60</v>
      </c>
      <c r="M13" s="20" t="s">
        <v>57</v>
      </c>
      <c r="N13" s="35">
        <v>7.4999999999999997E-2</v>
      </c>
      <c r="O13" s="13">
        <f>N13*$K$44</f>
        <v>343545.00805726071</v>
      </c>
    </row>
    <row r="16" spans="2:15" ht="13.5" thickBot="1">
      <c r="B16" s="16" t="s">
        <v>61</v>
      </c>
      <c r="C16" s="16"/>
      <c r="D16" s="16"/>
      <c r="E16" s="16"/>
      <c r="F16" s="16"/>
      <c r="G16" s="16"/>
      <c r="H16" s="16"/>
      <c r="I16" s="16"/>
      <c r="J16" s="16"/>
      <c r="K16" s="16"/>
      <c r="L16" s="16"/>
      <c r="M16" s="16"/>
      <c r="N16" s="16"/>
    </row>
    <row r="17" spans="2:34" ht="13.5" thickTop="1"/>
    <row r="18" spans="2:34">
      <c r="B18" s="18" t="s">
        <v>62</v>
      </c>
      <c r="C18" s="18"/>
      <c r="E18" s="19" t="s">
        <v>63</v>
      </c>
      <c r="F18" s="19" t="s">
        <v>64</v>
      </c>
      <c r="G18" s="19" t="s">
        <v>65</v>
      </c>
      <c r="H18" s="19" t="s">
        <v>66</v>
      </c>
      <c r="I18" s="19" t="s">
        <v>67</v>
      </c>
      <c r="J18" s="19" t="s">
        <v>68</v>
      </c>
    </row>
    <row r="19" spans="2:34">
      <c r="B19" s="21"/>
      <c r="C19" s="21"/>
      <c r="E19" s="20" t="s">
        <v>69</v>
      </c>
      <c r="F19" s="20" t="s">
        <v>70</v>
      </c>
      <c r="G19" s="20" t="s">
        <v>69</v>
      </c>
      <c r="H19" s="20" t="s">
        <v>69</v>
      </c>
      <c r="I19" s="20" t="s">
        <v>69</v>
      </c>
      <c r="J19" s="20" t="s">
        <v>69</v>
      </c>
    </row>
    <row r="20" spans="2:34">
      <c r="B20" s="22" t="s">
        <v>71</v>
      </c>
      <c r="C20" s="22"/>
      <c r="E20" s="23">
        <v>11.4885</v>
      </c>
      <c r="F20" s="24">
        <v>60443</v>
      </c>
      <c r="G20" s="23">
        <v>3.6</v>
      </c>
      <c r="H20" s="23">
        <v>1.9</v>
      </c>
      <c r="I20" s="23">
        <v>1</v>
      </c>
      <c r="J20" s="23">
        <v>0.2</v>
      </c>
      <c r="L20" s="36"/>
      <c r="N20" s="25"/>
      <c r="P20" s="25"/>
      <c r="Q20" s="25"/>
      <c r="R20" s="25"/>
    </row>
    <row r="21" spans="2:34">
      <c r="B21" s="22" t="s">
        <v>72</v>
      </c>
      <c r="C21" s="22"/>
      <c r="E21" s="23">
        <v>14.536</v>
      </c>
      <c r="F21" s="24">
        <v>98407</v>
      </c>
      <c r="G21" s="23">
        <v>5.18</v>
      </c>
      <c r="H21" s="23">
        <v>2.15</v>
      </c>
      <c r="I21" s="23">
        <v>1.52</v>
      </c>
      <c r="J21" s="23">
        <v>0.25</v>
      </c>
      <c r="L21" s="36"/>
      <c r="N21" s="25"/>
      <c r="P21" s="25"/>
      <c r="Q21" s="25"/>
    </row>
    <row r="22" spans="2:34">
      <c r="B22" s="22" t="s">
        <v>73</v>
      </c>
      <c r="C22" s="22"/>
      <c r="E22" s="23">
        <v>17.779</v>
      </c>
      <c r="F22" s="24">
        <v>91122</v>
      </c>
      <c r="G22" s="23">
        <v>6.96</v>
      </c>
      <c r="H22" s="23">
        <v>2.4700000000000002</v>
      </c>
      <c r="I22" s="23">
        <v>1.55</v>
      </c>
      <c r="J22" s="23">
        <v>0.31</v>
      </c>
      <c r="L22" s="36"/>
      <c r="N22" s="25"/>
      <c r="P22" s="25"/>
      <c r="Q22" s="25"/>
    </row>
    <row r="23" spans="2:34">
      <c r="B23" s="22" t="s">
        <v>74</v>
      </c>
      <c r="C23" s="22"/>
      <c r="E23" s="23">
        <v>21.079499999999996</v>
      </c>
      <c r="F23" s="24">
        <v>23562</v>
      </c>
      <c r="G23" s="23">
        <v>7.33</v>
      </c>
      <c r="H23" s="23">
        <v>3.3</v>
      </c>
      <c r="I23" s="23">
        <v>2.2000000000000002</v>
      </c>
      <c r="J23" s="23">
        <v>0.55000000000000004</v>
      </c>
    </row>
    <row r="24" spans="2:34">
      <c r="B24" s="22" t="s">
        <v>75</v>
      </c>
      <c r="C24" s="22"/>
      <c r="E24" s="23">
        <v>28.497</v>
      </c>
      <c r="F24" s="24">
        <v>28909</v>
      </c>
      <c r="G24" s="23">
        <v>10.66</v>
      </c>
      <c r="H24" s="23">
        <v>4.71</v>
      </c>
      <c r="I24" s="23">
        <v>3.72</v>
      </c>
      <c r="J24" s="23">
        <v>0.5</v>
      </c>
      <c r="L24" s="25"/>
      <c r="M24" s="25"/>
      <c r="N24" s="25"/>
      <c r="O24" s="25"/>
      <c r="P24" s="25"/>
      <c r="Q24" s="25"/>
      <c r="R24" s="25"/>
      <c r="S24" s="25"/>
      <c r="T24" s="25"/>
      <c r="U24" s="25"/>
    </row>
    <row r="25" spans="2:34">
      <c r="D25" s="13" t="s">
        <v>137</v>
      </c>
      <c r="E25" s="13">
        <f t="shared" ref="E25" si="0">SUMPRODUCT($F$20:$F$24,E20:E24)</f>
        <v>5065396.5474999994</v>
      </c>
      <c r="F25" s="84">
        <f>SUMPRODUCT(F20:F24)</f>
        <v>302443</v>
      </c>
      <c r="G25" s="13">
        <f>SUMPRODUCT($F$20:$F$24,G20:G24)</f>
        <v>1842431.5799999998</v>
      </c>
      <c r="H25" s="13">
        <f t="shared" ref="H25:J25" si="1">SUMPRODUCT($F$20:$F$24,H20:H24)</f>
        <v>765404.08000000007</v>
      </c>
      <c r="I25" s="13">
        <f t="shared" si="1"/>
        <v>510638.62</v>
      </c>
      <c r="J25" s="13">
        <f t="shared" si="1"/>
        <v>92351.77</v>
      </c>
    </row>
    <row r="26" spans="2:34">
      <c r="D26" s="13" t="s">
        <v>140</v>
      </c>
      <c r="E26" s="13">
        <f>E25/$F$25</f>
        <v>16.748268425786012</v>
      </c>
      <c r="G26" s="13">
        <f>G25/$F$25</f>
        <v>6.0918307912565339</v>
      </c>
      <c r="H26" s="13">
        <f>H25/$F$25</f>
        <v>2.5307382878757321</v>
      </c>
      <c r="I26" s="13">
        <f>I25/$F$25</f>
        <v>1.6883796946862715</v>
      </c>
      <c r="J26" s="13">
        <f>J25/$F$25</f>
        <v>0.30535264496119929</v>
      </c>
    </row>
    <row r="27" spans="2:34" ht="13.5" thickBot="1">
      <c r="B27" s="16" t="s">
        <v>76</v>
      </c>
      <c r="C27" s="16"/>
      <c r="D27" s="16"/>
      <c r="E27" s="16"/>
      <c r="F27" s="16"/>
      <c r="G27" s="16"/>
      <c r="H27" s="16"/>
      <c r="I27" s="16"/>
      <c r="J27" s="16"/>
      <c r="K27" s="16"/>
      <c r="L27" s="16"/>
      <c r="M27" s="16"/>
      <c r="N27" s="16"/>
      <c r="V27" s="91"/>
    </row>
    <row r="28" spans="2:34" ht="13.5" thickTop="1"/>
    <row r="29" spans="2:34">
      <c r="K29" s="92"/>
      <c r="L29" s="92"/>
      <c r="M29" s="92"/>
      <c r="N29" s="92"/>
      <c r="O29" s="92"/>
      <c r="P29" s="92"/>
      <c r="Q29" s="92"/>
      <c r="R29" s="92"/>
      <c r="S29" s="92"/>
      <c r="T29" s="92"/>
    </row>
    <row r="30" spans="2:34">
      <c r="B30" s="18" t="s">
        <v>77</v>
      </c>
      <c r="C30" s="18"/>
      <c r="E30" s="19" t="s">
        <v>78</v>
      </c>
      <c r="F30" s="19" t="s">
        <v>79</v>
      </c>
      <c r="G30" s="19" t="s">
        <v>80</v>
      </c>
      <c r="H30" s="19" t="s">
        <v>81</v>
      </c>
      <c r="I30" s="91" t="s">
        <v>141</v>
      </c>
      <c r="J30" s="107" t="s">
        <v>143</v>
      </c>
      <c r="K30" s="107" t="s">
        <v>142</v>
      </c>
      <c r="L30" s="107" t="s">
        <v>144</v>
      </c>
      <c r="M30" s="107" t="s">
        <v>155</v>
      </c>
      <c r="N30" s="107"/>
      <c r="O30" s="107"/>
      <c r="P30" s="107"/>
      <c r="Q30" s="107"/>
      <c r="R30" s="107"/>
      <c r="S30" s="107"/>
      <c r="T30" s="107"/>
      <c r="U30" s="91"/>
      <c r="W30" s="107"/>
      <c r="X30" s="107"/>
      <c r="Y30" s="107"/>
      <c r="Z30" s="107"/>
      <c r="AA30" s="107"/>
      <c r="AB30" s="107"/>
      <c r="AC30" s="107"/>
      <c r="AD30" s="107"/>
      <c r="AE30" s="107"/>
      <c r="AF30" s="107"/>
      <c r="AG30" s="107"/>
      <c r="AH30" s="91"/>
    </row>
    <row r="31" spans="2:34">
      <c r="B31" s="21"/>
      <c r="C31" s="21"/>
      <c r="E31" s="20" t="s">
        <v>82</v>
      </c>
      <c r="F31" s="20" t="s">
        <v>82</v>
      </c>
      <c r="G31" s="20" t="s">
        <v>83</v>
      </c>
      <c r="H31" s="20" t="s">
        <v>84</v>
      </c>
      <c r="J31" s="25"/>
    </row>
    <row r="32" spans="2:34">
      <c r="B32" s="22" t="s">
        <v>85</v>
      </c>
      <c r="C32" s="22"/>
      <c r="E32" s="35">
        <v>0.1074</v>
      </c>
      <c r="F32" s="35">
        <v>0.09</v>
      </c>
      <c r="G32" s="35">
        <v>2.3099999999999999E-2</v>
      </c>
      <c r="H32" s="35">
        <v>1.9E-2</v>
      </c>
      <c r="I32" s="25" cm="1">
        <f t="array" ref="I32:I41">F25*E32:E41</f>
        <v>32482.378199999999</v>
      </c>
      <c r="J32" s="25" cm="1">
        <f t="array" ref="J32:J41">E26*_xlfn.ANCHORARRAY(I32)</f>
        <v>544023.58920149982</v>
      </c>
      <c r="K32" s="25" cm="1">
        <f t="array" ref="K32:K41">_xlfn.ANCHORARRAY(J32)* (1-F32:F41)</f>
        <v>495061.46617336484</v>
      </c>
      <c r="L32" s="25" cm="1">
        <f t="array" ref="L32:L41">G32:G41*_xlfn.ANCHORARRAY(J32)</f>
        <v>12566.944910554645</v>
      </c>
      <c r="M32" s="106">
        <f>G32*(1+E$54)/(1+E$49)</f>
        <v>1.952193238981358E-2</v>
      </c>
    </row>
    <row r="33" spans="2:14">
      <c r="B33" s="22" t="s">
        <v>86</v>
      </c>
      <c r="C33" s="22"/>
      <c r="E33" s="35">
        <v>0.1653</v>
      </c>
      <c r="F33" s="35">
        <v>0.12</v>
      </c>
      <c r="G33" s="35">
        <v>1.89E-2</v>
      </c>
      <c r="H33" s="35">
        <v>1.4E-2</v>
      </c>
      <c r="I33" s="25">
        <v>49993.827900000004</v>
      </c>
      <c r="J33" s="25">
        <v>837310.04930174991</v>
      </c>
      <c r="K33" s="25">
        <v>736832.84338553995</v>
      </c>
      <c r="L33" s="25">
        <v>15825.159931803073</v>
      </c>
      <c r="M33" s="106">
        <f t="shared" ref="M33:M41" si="2">G33*(1+E$54)/(1+E$49)</f>
        <v>1.5972490137120203E-2</v>
      </c>
    </row>
    <row r="34" spans="2:14">
      <c r="B34" s="22" t="s">
        <v>87</v>
      </c>
      <c r="C34" s="22"/>
      <c r="E34" s="35">
        <v>6.6100000000000006E-2</v>
      </c>
      <c r="F34" s="35">
        <v>7.4999999999999997E-2</v>
      </c>
      <c r="G34" s="35">
        <v>2.5499999999999998E-2</v>
      </c>
      <c r="H34" s="35">
        <v>4.0000000000000001E-3</v>
      </c>
      <c r="I34" s="25">
        <v>19991.482300000003</v>
      </c>
      <c r="J34" s="25">
        <v>334822.71178974997</v>
      </c>
      <c r="K34" s="25">
        <v>309711.00840551872</v>
      </c>
      <c r="L34" s="25">
        <v>8537.9791506386246</v>
      </c>
      <c r="M34" s="106">
        <f t="shared" si="2"/>
        <v>2.1550185105638369E-2</v>
      </c>
    </row>
    <row r="35" spans="2:14">
      <c r="B35" s="22" t="s">
        <v>88</v>
      </c>
      <c r="C35" s="22"/>
      <c r="E35" s="35">
        <v>5.8099999999999999E-2</v>
      </c>
      <c r="F35" s="35">
        <v>7.0000000000000007E-2</v>
      </c>
      <c r="G35" s="35">
        <v>1.7500000000000002E-2</v>
      </c>
      <c r="H35" s="35">
        <v>1.2999999999999999E-2</v>
      </c>
      <c r="I35" s="25">
        <v>17571.938299999998</v>
      </c>
      <c r="J35" s="25">
        <v>294299.53940974991</v>
      </c>
      <c r="K35" s="25">
        <v>273698.57165106741</v>
      </c>
      <c r="L35" s="25">
        <v>5150.2419396706237</v>
      </c>
      <c r="M35" s="106">
        <f t="shared" si="2"/>
        <v>1.4789342719555745E-2</v>
      </c>
    </row>
    <row r="36" spans="2:14">
      <c r="B36" s="22" t="s">
        <v>89</v>
      </c>
      <c r="C36" s="22"/>
      <c r="E36" s="35">
        <v>5.7700000000000001E-2</v>
      </c>
      <c r="F36" s="35">
        <v>7.0000000000000007E-2</v>
      </c>
      <c r="G36" s="35">
        <v>3.0800000000000001E-2</v>
      </c>
      <c r="H36" s="35">
        <v>7.0000000000000001E-3</v>
      </c>
      <c r="I36" s="25">
        <v>17450.9611</v>
      </c>
      <c r="J36" s="25">
        <v>292273.38079074991</v>
      </c>
      <c r="K36" s="25">
        <v>271814.24413539743</v>
      </c>
      <c r="L36" s="25">
        <v>9002.0201283550978</v>
      </c>
      <c r="M36" s="106">
        <f t="shared" si="2"/>
        <v>2.6029243186418111E-2</v>
      </c>
    </row>
    <row r="37" spans="2:14">
      <c r="B37" s="22" t="s">
        <v>90</v>
      </c>
      <c r="C37" s="22"/>
      <c r="E37" s="35">
        <v>9.9199999999999997E-2</v>
      </c>
      <c r="F37" s="35">
        <v>0.09</v>
      </c>
      <c r="G37" s="35">
        <v>2.3800000000000002E-2</v>
      </c>
      <c r="H37" s="35">
        <v>1.4E-2</v>
      </c>
      <c r="I37" s="25">
        <v>30002.345600000001</v>
      </c>
      <c r="J37" s="25">
        <v>502487.33751199988</v>
      </c>
      <c r="K37" s="25">
        <v>457263.47713591991</v>
      </c>
      <c r="L37" s="25">
        <v>11959.198632785598</v>
      </c>
      <c r="M37" s="106">
        <f t="shared" si="2"/>
        <v>2.0113506098595812E-2</v>
      </c>
    </row>
    <row r="38" spans="2:14">
      <c r="B38" s="22" t="s">
        <v>91</v>
      </c>
      <c r="C38" s="22"/>
      <c r="E38" s="35">
        <v>0.1653</v>
      </c>
      <c r="F38" s="35">
        <v>0.12</v>
      </c>
      <c r="G38" s="35">
        <v>1.9600000000000003E-2</v>
      </c>
      <c r="H38" s="35">
        <v>0.04</v>
      </c>
      <c r="I38" s="25">
        <v>49993.827900000004</v>
      </c>
      <c r="J38" s="25">
        <v>837310.04930174991</v>
      </c>
      <c r="K38" s="25">
        <v>736832.84338553995</v>
      </c>
      <c r="L38" s="25">
        <v>16411.276966314301</v>
      </c>
      <c r="M38" s="106">
        <f t="shared" si="2"/>
        <v>1.6564063845902435E-2</v>
      </c>
    </row>
    <row r="39" spans="2:14">
      <c r="B39" s="22" t="s">
        <v>92</v>
      </c>
      <c r="C39" s="22"/>
      <c r="E39" s="35">
        <v>9.0899999999999995E-2</v>
      </c>
      <c r="F39" s="35">
        <v>9.5000000000000001E-2</v>
      </c>
      <c r="G39" s="35">
        <v>3.0800000000000001E-2</v>
      </c>
      <c r="H39" s="35">
        <v>0.02</v>
      </c>
      <c r="I39" s="25">
        <v>27492.0687</v>
      </c>
      <c r="J39" s="25">
        <v>460444.54616774991</v>
      </c>
      <c r="K39" s="25">
        <v>416702.31428181368</v>
      </c>
      <c r="L39" s="25">
        <v>14181.692021966697</v>
      </c>
      <c r="M39" s="106">
        <f t="shared" si="2"/>
        <v>2.6029243186418111E-2</v>
      </c>
    </row>
    <row r="40" spans="2:14">
      <c r="B40" s="22" t="s">
        <v>93</v>
      </c>
      <c r="C40" s="22"/>
      <c r="E40" s="35">
        <v>0.14050000000000001</v>
      </c>
      <c r="F40" s="35">
        <v>0.105</v>
      </c>
      <c r="G40" s="35">
        <v>2.4199999999999999E-2</v>
      </c>
      <c r="H40" s="35">
        <v>1.0999999999999999E-2</v>
      </c>
      <c r="I40" s="25">
        <v>42493.241500000004</v>
      </c>
      <c r="J40" s="25">
        <v>711688.21492374991</v>
      </c>
      <c r="K40" s="25">
        <v>636960.9523567562</v>
      </c>
      <c r="L40" s="25">
        <v>17222.854801154746</v>
      </c>
      <c r="M40" s="106">
        <f t="shared" si="2"/>
        <v>2.0451548217899941E-2</v>
      </c>
    </row>
    <row r="41" spans="2:14">
      <c r="B41" s="22" t="s">
        <v>94</v>
      </c>
      <c r="C41" s="22"/>
      <c r="E41" s="35">
        <v>4.9500000000000002E-2</v>
      </c>
      <c r="F41" s="35">
        <v>0.02</v>
      </c>
      <c r="G41" s="35">
        <v>2.4499999999999997E-2</v>
      </c>
      <c r="H41" s="35">
        <v>1.9E-2</v>
      </c>
      <c r="I41" s="25">
        <v>14970.9285</v>
      </c>
      <c r="J41" s="25">
        <v>250737.12910124994</v>
      </c>
      <c r="K41" s="25">
        <v>245722.38651922494</v>
      </c>
      <c r="L41" s="25">
        <v>6143.0596629806232</v>
      </c>
      <c r="M41" s="106">
        <f t="shared" si="2"/>
        <v>2.0705079807378041E-2</v>
      </c>
    </row>
    <row r="42" spans="2:14">
      <c r="B42" s="22"/>
      <c r="C42" s="22"/>
      <c r="D42" s="84">
        <f>'Model Template'!$I$29</f>
        <v>-3.5157427191734314E-8</v>
      </c>
    </row>
    <row r="43" spans="2:14">
      <c r="B43" s="22" t="s">
        <v>95</v>
      </c>
      <c r="C43" s="22"/>
      <c r="E43" s="37">
        <v>0</v>
      </c>
      <c r="F43" s="35">
        <v>7.0000000000000007E-2</v>
      </c>
      <c r="G43" s="35">
        <v>2.5000000000000001E-2</v>
      </c>
      <c r="H43" s="37" t="s">
        <v>96</v>
      </c>
      <c r="J43" s="25"/>
    </row>
    <row r="44" spans="2:14">
      <c r="I44" s="25"/>
      <c r="J44" s="25">
        <f t="shared" ref="J44:L44" si="3">SUM(J32:J43)</f>
        <v>5065396.5474999994</v>
      </c>
      <c r="K44" s="25">
        <f t="shared" si="3"/>
        <v>4580600.1074301433</v>
      </c>
      <c r="L44" s="25">
        <f t="shared" si="3"/>
        <v>117000.42814622402</v>
      </c>
    </row>
    <row r="45" spans="2:14">
      <c r="L45" s="25">
        <f>L44/F25</f>
        <v>0.38685116913343676</v>
      </c>
    </row>
    <row r="46" spans="2:14" ht="13.5" thickBot="1">
      <c r="B46" s="16" t="s">
        <v>97</v>
      </c>
      <c r="C46" s="16"/>
      <c r="D46" s="16"/>
      <c r="E46" s="16"/>
      <c r="F46" s="16"/>
      <c r="G46" s="16"/>
      <c r="H46" s="16"/>
      <c r="I46" s="16"/>
      <c r="J46" s="16"/>
      <c r="K46" s="16"/>
      <c r="L46" s="16"/>
      <c r="M46" s="16"/>
      <c r="N46" s="16"/>
    </row>
    <row r="47" spans="2:14" ht="13.5" thickTop="1"/>
    <row r="48" spans="2:14">
      <c r="B48" s="18" t="s">
        <v>9</v>
      </c>
      <c r="C48" s="18"/>
      <c r="E48" s="17">
        <f>YEAR(E10)</f>
        <v>2023</v>
      </c>
      <c r="F48" s="17">
        <f t="shared" ref="F48:N48" si="4">E48+1</f>
        <v>2024</v>
      </c>
      <c r="G48" s="17">
        <f t="shared" si="4"/>
        <v>2025</v>
      </c>
      <c r="H48" s="17">
        <f t="shared" si="4"/>
        <v>2026</v>
      </c>
      <c r="I48" s="17">
        <f t="shared" si="4"/>
        <v>2027</v>
      </c>
      <c r="J48" s="17">
        <f t="shared" si="4"/>
        <v>2028</v>
      </c>
      <c r="K48" s="17">
        <f t="shared" si="4"/>
        <v>2029</v>
      </c>
      <c r="L48" s="17">
        <f t="shared" si="4"/>
        <v>2030</v>
      </c>
      <c r="M48" s="17">
        <f t="shared" si="4"/>
        <v>2031</v>
      </c>
      <c r="N48" s="17">
        <f t="shared" si="4"/>
        <v>2032</v>
      </c>
    </row>
    <row r="49" spans="1:20">
      <c r="B49" s="13" t="s">
        <v>98</v>
      </c>
      <c r="D49" s="20" t="s">
        <v>84</v>
      </c>
      <c r="E49" s="35">
        <v>0.47910562455726907</v>
      </c>
      <c r="F49" s="35">
        <v>7.0000000000000007E-2</v>
      </c>
      <c r="G49" s="35">
        <v>0.05</v>
      </c>
      <c r="H49" s="35">
        <v>0.03</v>
      </c>
      <c r="I49" s="35">
        <v>0.03</v>
      </c>
      <c r="J49" s="35">
        <v>0.03</v>
      </c>
      <c r="K49" s="35">
        <v>0.03</v>
      </c>
      <c r="L49" s="35">
        <v>0.03</v>
      </c>
      <c r="M49" s="35">
        <v>0.03</v>
      </c>
      <c r="N49" s="35">
        <v>0.03</v>
      </c>
    </row>
    <row r="50" spans="1:20">
      <c r="B50" s="13" t="s">
        <v>99</v>
      </c>
      <c r="D50" s="20" t="s">
        <v>84</v>
      </c>
      <c r="E50" s="35">
        <f>25%-MAX(E49-25%,0)</f>
        <v>2.0894375442730928E-2</v>
      </c>
      <c r="F50" s="35">
        <v>0.15</v>
      </c>
      <c r="G50" s="35">
        <v>0.1</v>
      </c>
      <c r="H50" s="35">
        <v>0.05</v>
      </c>
      <c r="I50" s="35">
        <v>0.03</v>
      </c>
      <c r="J50" s="35">
        <v>0.03</v>
      </c>
      <c r="K50" s="35">
        <v>0.03</v>
      </c>
      <c r="L50" s="35">
        <v>0.03</v>
      </c>
      <c r="M50" s="35">
        <v>0.03</v>
      </c>
      <c r="N50" s="35">
        <v>0.03</v>
      </c>
    </row>
    <row r="52" spans="1:20">
      <c r="B52" s="13" t="s">
        <v>100</v>
      </c>
      <c r="D52" s="20" t="s">
        <v>84</v>
      </c>
      <c r="E52" s="35">
        <v>0.2</v>
      </c>
      <c r="F52" s="35">
        <v>7.0000000000000007E-2</v>
      </c>
      <c r="G52" s="35">
        <v>0.05</v>
      </c>
      <c r="H52" s="35">
        <v>0.03</v>
      </c>
      <c r="I52" s="35">
        <v>0.03</v>
      </c>
      <c r="J52" s="35">
        <v>0.03</v>
      </c>
      <c r="K52" s="35">
        <v>0.03</v>
      </c>
      <c r="L52" s="35">
        <v>0.03</v>
      </c>
      <c r="M52" s="35">
        <v>0.03</v>
      </c>
      <c r="N52" s="35">
        <v>0.03</v>
      </c>
    </row>
    <row r="53" spans="1:20">
      <c r="B53" s="13" t="s">
        <v>101</v>
      </c>
      <c r="D53" s="20" t="s">
        <v>84</v>
      </c>
      <c r="E53" s="35">
        <v>2.5</v>
      </c>
      <c r="F53" s="35">
        <v>0</v>
      </c>
      <c r="G53" s="35">
        <v>-0.25</v>
      </c>
      <c r="H53" s="35">
        <v>0.03</v>
      </c>
      <c r="I53" s="35">
        <v>0.03</v>
      </c>
      <c r="J53" s="35">
        <v>0.03</v>
      </c>
      <c r="K53" s="35">
        <v>0.03</v>
      </c>
      <c r="L53" s="35">
        <v>0.03</v>
      </c>
      <c r="M53" s="35">
        <v>0.03</v>
      </c>
      <c r="N53" s="35">
        <v>0.03</v>
      </c>
    </row>
    <row r="54" spans="1:20">
      <c r="B54" s="13" t="s">
        <v>102</v>
      </c>
      <c r="D54" s="20" t="s">
        <v>84</v>
      </c>
      <c r="E54" s="35">
        <v>0.25</v>
      </c>
      <c r="F54" s="35">
        <v>0.05</v>
      </c>
      <c r="G54" s="35">
        <v>0.03</v>
      </c>
      <c r="H54" s="35">
        <v>0.03</v>
      </c>
      <c r="I54" s="35">
        <v>0.03</v>
      </c>
      <c r="J54" s="35">
        <v>0.03</v>
      </c>
      <c r="K54" s="35">
        <v>0.03</v>
      </c>
      <c r="L54" s="35">
        <v>0.03</v>
      </c>
      <c r="M54" s="35">
        <v>0.03</v>
      </c>
      <c r="N54" s="35">
        <v>0.03</v>
      </c>
    </row>
    <row r="56" spans="1:20" ht="26.25">
      <c r="A56"/>
      <c r="B56" s="97" t="s">
        <v>145</v>
      </c>
      <c r="C56" s="97"/>
      <c r="D56"/>
      <c r="E56"/>
      <c r="F56"/>
      <c r="G56"/>
      <c r="H56"/>
      <c r="I56"/>
      <c r="J56"/>
      <c r="K56"/>
      <c r="L56"/>
      <c r="P56"/>
      <c r="Q56"/>
      <c r="R56"/>
      <c r="S56"/>
      <c r="T56"/>
    </row>
    <row r="57" spans="1:20" ht="18.75" customHeight="1">
      <c r="B57" s="13" t="s">
        <v>98</v>
      </c>
      <c r="D57" s="108">
        <v>1</v>
      </c>
      <c r="E57" s="109">
        <f>D57*(1+E49)</f>
        <v>1.4791056245572691</v>
      </c>
      <c r="F57" s="109">
        <f t="shared" ref="F57:N58" si="5">E57*(1+F49)</f>
        <v>1.5826430182762781</v>
      </c>
      <c r="G57" s="109">
        <f t="shared" si="5"/>
        <v>1.6617751691900919</v>
      </c>
      <c r="H57" s="109">
        <f t="shared" si="5"/>
        <v>1.7116284242657946</v>
      </c>
      <c r="I57" s="109">
        <f t="shared" si="5"/>
        <v>1.7629772769937686</v>
      </c>
      <c r="J57" s="109">
        <f t="shared" si="5"/>
        <v>1.8158665953035817</v>
      </c>
      <c r="K57" s="109">
        <f t="shared" si="5"/>
        <v>1.8703425931626891</v>
      </c>
      <c r="L57" s="109">
        <f t="shared" si="5"/>
        <v>1.9264528709575699</v>
      </c>
      <c r="M57" s="109">
        <f t="shared" si="5"/>
        <v>1.984246457086297</v>
      </c>
      <c r="N57" s="109">
        <f t="shared" si="5"/>
        <v>2.0437738507988858</v>
      </c>
      <c r="O57" s="96"/>
      <c r="P57"/>
      <c r="Q57"/>
      <c r="R57"/>
      <c r="S57"/>
      <c r="T57"/>
    </row>
    <row r="58" spans="1:20" ht="18.75" customHeight="1">
      <c r="B58" s="13" t="s">
        <v>99</v>
      </c>
      <c r="D58" s="108">
        <v>1</v>
      </c>
      <c r="E58" s="109">
        <f>D58*(1+E50)</f>
        <v>1.0208943754427309</v>
      </c>
      <c r="F58" s="109">
        <f t="shared" si="5"/>
        <v>1.1740285317591403</v>
      </c>
      <c r="G58" s="109">
        <f t="shared" si="5"/>
        <v>1.2914313849350545</v>
      </c>
      <c r="H58" s="109">
        <f t="shared" si="5"/>
        <v>1.3560029541818073</v>
      </c>
      <c r="I58" s="109">
        <f t="shared" si="5"/>
        <v>1.3966830428072616</v>
      </c>
      <c r="J58" s="109">
        <f t="shared" si="5"/>
        <v>1.4385835340914794</v>
      </c>
      <c r="K58" s="109">
        <f t="shared" si="5"/>
        <v>1.4817410401142239</v>
      </c>
      <c r="L58" s="109">
        <f t="shared" si="5"/>
        <v>1.5261932713176507</v>
      </c>
      <c r="M58" s="109">
        <f t="shared" si="5"/>
        <v>1.5719790694571802</v>
      </c>
      <c r="N58" s="109">
        <f t="shared" si="5"/>
        <v>1.6191384415408956</v>
      </c>
      <c r="O58" s="96"/>
      <c r="P58"/>
      <c r="Q58"/>
      <c r="R58"/>
      <c r="S58"/>
      <c r="T58"/>
    </row>
    <row r="59" spans="1:20" ht="18.75" customHeight="1">
      <c r="D59" s="108"/>
      <c r="E59" s="101"/>
      <c r="F59" s="103"/>
      <c r="G59" s="102"/>
      <c r="H59" s="102"/>
      <c r="I59" s="101"/>
      <c r="J59" s="101"/>
      <c r="K59" s="101"/>
      <c r="L59" s="98"/>
      <c r="M59" s="98"/>
      <c r="N59" s="98"/>
      <c r="O59" s="96"/>
      <c r="P59"/>
      <c r="Q59"/>
      <c r="R59"/>
      <c r="S59"/>
      <c r="T59"/>
    </row>
    <row r="60" spans="1:20" ht="18.75" customHeight="1">
      <c r="B60" s="13" t="s">
        <v>100</v>
      </c>
      <c r="D60" s="108">
        <v>1</v>
      </c>
      <c r="E60" s="109">
        <f t="shared" ref="E60:N60" si="6">D60*(1+E52)</f>
        <v>1.2</v>
      </c>
      <c r="F60" s="109">
        <f t="shared" si="6"/>
        <v>1.284</v>
      </c>
      <c r="G60" s="109">
        <f t="shared" si="6"/>
        <v>1.3482000000000001</v>
      </c>
      <c r="H60" s="109">
        <f t="shared" si="6"/>
        <v>1.388646</v>
      </c>
      <c r="I60" s="109">
        <f t="shared" si="6"/>
        <v>1.4303053800000001</v>
      </c>
      <c r="J60" s="109">
        <f t="shared" si="6"/>
        <v>1.4732145414000002</v>
      </c>
      <c r="K60" s="109">
        <f t="shared" si="6"/>
        <v>1.5174109776420002</v>
      </c>
      <c r="L60" s="109">
        <f t="shared" si="6"/>
        <v>1.5629333069712603</v>
      </c>
      <c r="M60" s="109">
        <f t="shared" si="6"/>
        <v>1.6098213061803981</v>
      </c>
      <c r="N60" s="109">
        <f t="shared" si="6"/>
        <v>1.6581159453658101</v>
      </c>
      <c r="O60" s="96"/>
      <c r="P60"/>
      <c r="Q60"/>
      <c r="R60"/>
      <c r="S60"/>
      <c r="T60"/>
    </row>
    <row r="61" spans="1:20" ht="18.75" customHeight="1">
      <c r="B61" s="13" t="s">
        <v>101</v>
      </c>
      <c r="D61" s="108">
        <v>1</v>
      </c>
      <c r="E61" s="109">
        <f t="shared" ref="E61:N61" si="7">D61*(1+E53)</f>
        <v>3.5</v>
      </c>
      <c r="F61" s="109">
        <f t="shared" si="7"/>
        <v>3.5</v>
      </c>
      <c r="G61" s="109">
        <f t="shared" si="7"/>
        <v>2.625</v>
      </c>
      <c r="H61" s="109">
        <f t="shared" si="7"/>
        <v>2.7037499999999999</v>
      </c>
      <c r="I61" s="109">
        <f t="shared" si="7"/>
        <v>2.7848625</v>
      </c>
      <c r="J61" s="109">
        <f t="shared" si="7"/>
        <v>2.868408375</v>
      </c>
      <c r="K61" s="109">
        <f t="shared" si="7"/>
        <v>2.9544606262499999</v>
      </c>
      <c r="L61" s="109">
        <f t="shared" si="7"/>
        <v>3.0430944450375002</v>
      </c>
      <c r="M61" s="109">
        <f t="shared" si="7"/>
        <v>3.1343872783886253</v>
      </c>
      <c r="N61" s="109">
        <f t="shared" si="7"/>
        <v>3.2284188967402843</v>
      </c>
      <c r="O61" s="96"/>
      <c r="P61"/>
      <c r="Q61"/>
      <c r="R61"/>
      <c r="S61"/>
      <c r="T61"/>
    </row>
    <row r="62" spans="1:20" ht="18.75" customHeight="1">
      <c r="B62" s="13" t="s">
        <v>102</v>
      </c>
      <c r="D62" s="108">
        <v>1</v>
      </c>
      <c r="E62" s="109">
        <f t="shared" ref="E62:N62" si="8">D62*(1+E54)</f>
        <v>1.25</v>
      </c>
      <c r="F62" s="109">
        <f t="shared" si="8"/>
        <v>1.3125</v>
      </c>
      <c r="G62" s="109">
        <f t="shared" si="8"/>
        <v>1.3518749999999999</v>
      </c>
      <c r="H62" s="109">
        <f t="shared" si="8"/>
        <v>1.39243125</v>
      </c>
      <c r="I62" s="109">
        <f t="shared" si="8"/>
        <v>1.4342041875</v>
      </c>
      <c r="J62" s="109">
        <f t="shared" si="8"/>
        <v>1.477230313125</v>
      </c>
      <c r="K62" s="109">
        <f t="shared" si="8"/>
        <v>1.5215472225187501</v>
      </c>
      <c r="L62" s="109">
        <f t="shared" si="8"/>
        <v>1.5671936391943126</v>
      </c>
      <c r="M62" s="109">
        <f t="shared" si="8"/>
        <v>1.6142094483701421</v>
      </c>
      <c r="N62" s="109">
        <f t="shared" si="8"/>
        <v>1.6626357318212464</v>
      </c>
      <c r="O62" s="96"/>
      <c r="P62"/>
      <c r="Q62"/>
      <c r="R62"/>
      <c r="S62"/>
      <c r="T62"/>
    </row>
    <row r="63" spans="1:20" ht="18.75" customHeight="1">
      <c r="B63" s="99"/>
      <c r="C63" s="99"/>
      <c r="D63" s="108"/>
      <c r="E63" s="101"/>
      <c r="F63" s="103"/>
      <c r="G63" s="102"/>
      <c r="H63" s="102"/>
      <c r="I63" s="101"/>
      <c r="J63" s="101"/>
      <c r="K63" s="101"/>
      <c r="L63" s="98"/>
      <c r="M63" s="98"/>
      <c r="N63" s="98"/>
      <c r="O63" s="96"/>
      <c r="P63"/>
      <c r="Q63"/>
      <c r="R63"/>
      <c r="S63"/>
      <c r="T63"/>
    </row>
    <row r="64" spans="1:20" ht="18.75" customHeight="1">
      <c r="B64" s="116" t="s">
        <v>146</v>
      </c>
      <c r="C64" s="99"/>
      <c r="D64" s="115">
        <f>F25</f>
        <v>302443</v>
      </c>
      <c r="E64" s="109">
        <f>$D$64*E58</f>
        <v>308762.35759202583</v>
      </c>
      <c r="F64" s="109">
        <f t="shared" ref="F64:N64" si="9">$D$64*F58</f>
        <v>355076.71123082971</v>
      </c>
      <c r="G64" s="109">
        <f t="shared" si="9"/>
        <v>390584.38235391269</v>
      </c>
      <c r="H64" s="109">
        <f t="shared" si="9"/>
        <v>410113.60147160833</v>
      </c>
      <c r="I64" s="109">
        <f t="shared" si="9"/>
        <v>422417.00951575662</v>
      </c>
      <c r="J64" s="109">
        <f t="shared" si="9"/>
        <v>435089.5198012293</v>
      </c>
      <c r="K64" s="109">
        <f t="shared" si="9"/>
        <v>448142.20539526624</v>
      </c>
      <c r="L64" s="109">
        <f t="shared" si="9"/>
        <v>461586.47155712423</v>
      </c>
      <c r="M64" s="109">
        <f t="shared" si="9"/>
        <v>475434.06570383796</v>
      </c>
      <c r="N64" s="109">
        <f t="shared" si="9"/>
        <v>489697.0876749531</v>
      </c>
      <c r="O64" s="96"/>
      <c r="P64"/>
      <c r="Q64"/>
      <c r="R64"/>
      <c r="S64"/>
      <c r="T64"/>
    </row>
    <row r="65" spans="2:21" ht="18.75" customHeight="1">
      <c r="B65" s="99"/>
      <c r="C65" s="99"/>
      <c r="D65" s="108"/>
      <c r="E65" s="101"/>
      <c r="F65" s="103"/>
      <c r="G65" s="102"/>
      <c r="H65" s="102"/>
      <c r="I65" s="101"/>
      <c r="J65" s="101"/>
      <c r="K65" s="101"/>
      <c r="L65" s="98"/>
      <c r="M65" s="98"/>
      <c r="N65" s="98"/>
      <c r="O65" s="96"/>
      <c r="P65"/>
      <c r="Q65"/>
      <c r="R65"/>
      <c r="S65"/>
      <c r="T65"/>
    </row>
    <row r="66" spans="2:21" ht="18.75" customHeight="1">
      <c r="B66" s="116" t="s">
        <v>147</v>
      </c>
      <c r="C66" s="99"/>
      <c r="D66" s="93"/>
      <c r="E66" s="101"/>
      <c r="F66" s="103"/>
      <c r="G66" s="102"/>
      <c r="H66" s="102"/>
      <c r="I66" s="101"/>
      <c r="J66" s="101"/>
      <c r="K66" s="101"/>
      <c r="L66" s="98"/>
      <c r="M66" s="98"/>
      <c r="N66" s="98"/>
      <c r="O66" s="96"/>
      <c r="P66"/>
      <c r="Q66"/>
      <c r="R66"/>
      <c r="S66"/>
      <c r="T66"/>
    </row>
    <row r="67" spans="2:21" ht="18.75" customHeight="1">
      <c r="B67" s="99" t="str" cm="1">
        <f t="array" ref="B67:B76">B32:B41</f>
        <v>Food Tigers</v>
      </c>
      <c r="C67" s="99"/>
      <c r="D67" s="109" cm="1">
        <f t="array" ref="D67:D76">_xlfn.ANCHORARRAY(I32)</f>
        <v>32482.378199999999</v>
      </c>
      <c r="E67" s="109" cm="1">
        <f t="array" ref="E67:E76">_xlfn.ANCHORARRAY(D67)*(1+$H$32:$H$41)</f>
        <v>33099.543385799996</v>
      </c>
      <c r="F67" s="109" cm="1">
        <f t="array" ref="F67:F76">_xlfn.ANCHORARRAY(E67)*(1+$H$32:$H$41)</f>
        <v>33728.43471013019</v>
      </c>
      <c r="G67" s="109" cm="1">
        <f t="array" ref="G67:G76">_xlfn.ANCHORARRAY(F67)*(1+$H$32:$H$41)</f>
        <v>34369.27496962266</v>
      </c>
      <c r="H67" s="109" cm="1">
        <f t="array" ref="H67:H76">_xlfn.ANCHORARRAY(G67)*(1+$H$32:$H$41)</f>
        <v>35022.291194045487</v>
      </c>
      <c r="I67" s="109" cm="1">
        <f t="array" ref="I67:I76">_xlfn.ANCHORARRAY(H67)*(1+$H$32:$H$41)</f>
        <v>35687.714726732345</v>
      </c>
      <c r="J67" s="109" cm="1">
        <f t="array" ref="J67:J76">_xlfn.ANCHORARRAY(I67)*(1+$H$32:$H$41)</f>
        <v>36365.781306540259</v>
      </c>
      <c r="K67" s="109" cm="1">
        <f t="array" ref="K67:K76">_xlfn.ANCHORARRAY(J67)*(1+$H$32:$H$41)</f>
        <v>37056.731151364518</v>
      </c>
      <c r="L67" s="109" cm="1">
        <f t="array" ref="L67:L76">_xlfn.ANCHORARRAY(K67)*(1+$H$32:$H$41)</f>
        <v>37760.809043240442</v>
      </c>
      <c r="M67" s="109" cm="1">
        <f t="array" ref="M67:M76">_xlfn.ANCHORARRAY(L67)*(1+$H$32:$H$41)</f>
        <v>38478.264415062011</v>
      </c>
      <c r="N67" s="109" cm="1">
        <f t="array" ref="N67:N76">_xlfn.ANCHORARRAY(M67)*(1+$H$32:$H$41)</f>
        <v>39209.351438948186</v>
      </c>
      <c r="O67" s="96"/>
      <c r="P67" s="96"/>
    </row>
    <row r="68" spans="2:21" ht="18.75" customHeight="1">
      <c r="B68" s="13" t="str">
        <v>Gain A Lot</v>
      </c>
      <c r="D68" s="109">
        <v>49993.827900000004</v>
      </c>
      <c r="E68" s="109">
        <v>50693.741490600005</v>
      </c>
      <c r="F68" s="109">
        <v>51403.453871468402</v>
      </c>
      <c r="G68" s="109">
        <v>52123.102225668961</v>
      </c>
      <c r="H68" s="109">
        <v>52852.825656828325</v>
      </c>
      <c r="I68" s="109">
        <v>53592.765216023923</v>
      </c>
      <c r="J68" s="109">
        <v>54343.063929048258</v>
      </c>
      <c r="K68" s="109">
        <v>55103.86682405493</v>
      </c>
      <c r="L68" s="109">
        <v>55875.3209595917</v>
      </c>
      <c r="M68" s="109">
        <v>56657.575453025987</v>
      </c>
      <c r="N68" s="109">
        <v>57450.781509368353</v>
      </c>
      <c r="O68" s="96"/>
      <c r="P68"/>
      <c r="Q68"/>
      <c r="R68"/>
      <c r="S68"/>
      <c r="T68"/>
      <c r="U68"/>
    </row>
    <row r="69" spans="2:21" ht="18.75" customHeight="1">
      <c r="B69" s="99" t="str">
        <v>Hostco</v>
      </c>
      <c r="C69" s="99"/>
      <c r="D69" s="109">
        <v>19991.482300000003</v>
      </c>
      <c r="E69" s="109">
        <v>20071.448229200003</v>
      </c>
      <c r="F69" s="109">
        <v>20151.734022116801</v>
      </c>
      <c r="G69" s="109">
        <v>20232.34095820527</v>
      </c>
      <c r="H69" s="109">
        <v>20313.27032203809</v>
      </c>
      <c r="I69" s="109">
        <v>20394.523403326242</v>
      </c>
      <c r="J69" s="109">
        <v>20476.101496939547</v>
      </c>
      <c r="K69" s="109">
        <v>20558.005902927307</v>
      </c>
      <c r="L69" s="109">
        <v>20640.237926539015</v>
      </c>
      <c r="M69" s="109">
        <v>20722.798878245172</v>
      </c>
      <c r="N69" s="109">
        <v>20805.690073758153</v>
      </c>
      <c r="O69" s="96"/>
      <c r="P69"/>
      <c r="Q69"/>
      <c r="R69"/>
      <c r="S69"/>
      <c r="T69"/>
      <c r="U69"/>
    </row>
    <row r="70" spans="2:21" ht="18.75" customHeight="1">
      <c r="B70" s="99" t="str">
        <v>I-Mart</v>
      </c>
      <c r="C70" s="99"/>
      <c r="D70" s="109">
        <v>17571.938299999998</v>
      </c>
      <c r="E70" s="109">
        <v>17800.373497899996</v>
      </c>
      <c r="F70" s="109">
        <v>18031.778353372694</v>
      </c>
      <c r="G70" s="109">
        <v>18266.191471966536</v>
      </c>
      <c r="H70" s="109">
        <v>18503.651961102099</v>
      </c>
      <c r="I70" s="109">
        <v>18744.199436596424</v>
      </c>
      <c r="J70" s="109">
        <v>18987.874029272174</v>
      </c>
      <c r="K70" s="109">
        <v>19234.71639165271</v>
      </c>
      <c r="L70" s="109">
        <v>19484.767704744194</v>
      </c>
      <c r="M70" s="109">
        <v>19738.069684905866</v>
      </c>
      <c r="N70" s="109">
        <v>19994.66459080964</v>
      </c>
      <c r="O70" s="96"/>
      <c r="P70"/>
      <c r="Q70"/>
      <c r="R70"/>
      <c r="S70"/>
      <c r="T70"/>
      <c r="U70"/>
    </row>
    <row r="71" spans="2:21" ht="18.75" customHeight="1">
      <c r="B71" s="99" t="str">
        <v>Joe's A Trader</v>
      </c>
      <c r="C71" s="99"/>
      <c r="D71" s="109">
        <v>17450.9611</v>
      </c>
      <c r="E71" s="109">
        <v>17573.1178277</v>
      </c>
      <c r="F71" s="109">
        <v>17696.129652493899</v>
      </c>
      <c r="G71" s="109">
        <v>17820.002560061355</v>
      </c>
      <c r="H71" s="109">
        <v>17944.742577981782</v>
      </c>
      <c r="I71" s="109">
        <v>18070.355776027653</v>
      </c>
      <c r="J71" s="109">
        <v>18196.848266459845</v>
      </c>
      <c r="K71" s="109">
        <v>18324.226204325063</v>
      </c>
      <c r="L71" s="109">
        <v>18452.495787755335</v>
      </c>
      <c r="M71" s="109">
        <v>18581.663258269622</v>
      </c>
      <c r="N71" s="109">
        <v>18711.734901077507</v>
      </c>
      <c r="O71" s="96"/>
      <c r="P71"/>
      <c r="Q71"/>
      <c r="R71"/>
      <c r="S71"/>
      <c r="T71"/>
      <c r="U71"/>
    </row>
    <row r="72" spans="2:21" ht="18.75" customHeight="1">
      <c r="B72" s="99" t="str">
        <v>K-Smart</v>
      </c>
      <c r="C72" s="99"/>
      <c r="D72" s="109">
        <v>30002.345600000001</v>
      </c>
      <c r="E72" s="109">
        <v>30422.378438399999</v>
      </c>
      <c r="F72" s="109">
        <v>30848.291736537598</v>
      </c>
      <c r="G72" s="109">
        <v>31280.167820849125</v>
      </c>
      <c r="H72" s="109">
        <v>31718.090170341013</v>
      </c>
      <c r="I72" s="109">
        <v>32162.143432725788</v>
      </c>
      <c r="J72" s="109">
        <v>32612.413440783948</v>
      </c>
      <c r="K72" s="109">
        <v>33068.987228954924</v>
      </c>
      <c r="L72" s="109">
        <v>33531.953050160293</v>
      </c>
      <c r="M72" s="109">
        <v>34001.400392862539</v>
      </c>
      <c r="N72" s="109">
        <v>34477.419998362617</v>
      </c>
      <c r="O72" s="96"/>
      <c r="P72"/>
      <c r="Q72"/>
      <c r="R72"/>
      <c r="S72"/>
      <c r="T72"/>
      <c r="U72"/>
    </row>
    <row r="73" spans="2:21" ht="18.75" customHeight="1">
      <c r="B73" s="99" t="str">
        <v>Liddle</v>
      </c>
      <c r="C73" s="99"/>
      <c r="D73" s="109">
        <v>49993.827900000004</v>
      </c>
      <c r="E73" s="109">
        <v>51993.581016000004</v>
      </c>
      <c r="F73" s="109">
        <v>54073.324256640008</v>
      </c>
      <c r="G73" s="109">
        <v>56236.257226905611</v>
      </c>
      <c r="H73" s="109">
        <v>58485.707515981834</v>
      </c>
      <c r="I73" s="109">
        <v>60825.135816621107</v>
      </c>
      <c r="J73" s="109">
        <v>63258.141249285953</v>
      </c>
      <c r="K73" s="109">
        <v>65788.466899257386</v>
      </c>
      <c r="L73" s="109">
        <v>68420.005575227682</v>
      </c>
      <c r="M73" s="109">
        <v>71156.80579823679</v>
      </c>
      <c r="N73" s="109">
        <v>74003.07803016626</v>
      </c>
      <c r="O73" s="96"/>
      <c r="P73"/>
      <c r="Q73"/>
      <c r="R73"/>
      <c r="S73"/>
      <c r="T73"/>
      <c r="U73"/>
    </row>
    <row r="74" spans="2:21" ht="18.75" customHeight="1">
      <c r="B74" s="99" t="str">
        <v>Mega</v>
      </c>
      <c r="C74" s="99"/>
      <c r="D74" s="109">
        <v>27492.0687</v>
      </c>
      <c r="E74" s="109">
        <v>28041.910073999999</v>
      </c>
      <c r="F74" s="109">
        <v>28602.74827548</v>
      </c>
      <c r="G74" s="109">
        <v>29174.8032409896</v>
      </c>
      <c r="H74" s="109">
        <v>29758.299305809393</v>
      </c>
      <c r="I74" s="109">
        <v>30353.465291925582</v>
      </c>
      <c r="J74" s="109">
        <v>30960.534597764094</v>
      </c>
      <c r="K74" s="109">
        <v>31579.745289719376</v>
      </c>
      <c r="L74" s="109">
        <v>32211.340195513763</v>
      </c>
      <c r="M74" s="109">
        <v>32855.566999424038</v>
      </c>
      <c r="N74" s="109">
        <v>33512.678339412516</v>
      </c>
      <c r="O74" s="96"/>
      <c r="P74"/>
      <c r="Q74"/>
      <c r="R74"/>
      <c r="S74"/>
      <c r="T74"/>
      <c r="U74"/>
    </row>
    <row r="75" spans="2:21" ht="18.75" customHeight="1">
      <c r="B75" s="99" t="str">
        <v>No Target</v>
      </c>
      <c r="C75" s="99"/>
      <c r="D75" s="109">
        <v>42493.241500000004</v>
      </c>
      <c r="E75" s="109">
        <v>42960.6671565</v>
      </c>
      <c r="F75" s="109">
        <v>43433.234495221499</v>
      </c>
      <c r="G75" s="109">
        <v>43911.000074668933</v>
      </c>
      <c r="H75" s="109">
        <v>44394.021075490287</v>
      </c>
      <c r="I75" s="109">
        <v>44882.355307320679</v>
      </c>
      <c r="J75" s="109">
        <v>45376.0612157012</v>
      </c>
      <c r="K75" s="109">
        <v>45875.197889073912</v>
      </c>
      <c r="L75" s="109">
        <v>46379.825065853722</v>
      </c>
      <c r="M75" s="109">
        <v>46890.003141578105</v>
      </c>
      <c r="N75" s="109">
        <v>47405.793176135463</v>
      </c>
      <c r="O75" s="96"/>
      <c r="P75"/>
      <c r="Q75"/>
      <c r="R75"/>
      <c r="S75"/>
      <c r="T75"/>
      <c r="U75"/>
    </row>
    <row r="76" spans="2:21" ht="18.75" customHeight="1">
      <c r="B76" s="99" t="str">
        <v>Other Stores</v>
      </c>
      <c r="C76" s="99"/>
      <c r="D76" s="109">
        <v>14970.9285</v>
      </c>
      <c r="E76" s="109">
        <v>15255.376141499999</v>
      </c>
      <c r="F76" s="109">
        <v>15545.228288188497</v>
      </c>
      <c r="G76" s="109">
        <v>15840.587625664077</v>
      </c>
      <c r="H76" s="109">
        <v>16141.558790551693</v>
      </c>
      <c r="I76" s="109">
        <v>16448.248407572173</v>
      </c>
      <c r="J76" s="109">
        <v>16760.765127316045</v>
      </c>
      <c r="K76" s="109">
        <v>17079.219664735047</v>
      </c>
      <c r="L76" s="109">
        <v>17403.724838365011</v>
      </c>
      <c r="M76" s="109">
        <v>17734.395610293945</v>
      </c>
      <c r="N76" s="109">
        <v>18071.349126889527</v>
      </c>
      <c r="O76" s="96"/>
      <c r="P76"/>
      <c r="Q76"/>
      <c r="R76"/>
      <c r="S76"/>
      <c r="T76"/>
      <c r="U76"/>
    </row>
    <row r="77" spans="2:21" ht="18.75" customHeight="1">
      <c r="B77" s="99"/>
      <c r="C77" s="99"/>
      <c r="D77" s="109"/>
      <c r="E77" s="109"/>
      <c r="F77" s="109"/>
      <c r="G77" s="95"/>
      <c r="H77" s="95"/>
      <c r="I77" s="109"/>
      <c r="J77" s="109"/>
      <c r="K77" s="109"/>
      <c r="L77" s="113"/>
      <c r="M77" s="113"/>
      <c r="N77" s="113"/>
      <c r="O77" s="96"/>
      <c r="P77"/>
      <c r="Q77"/>
      <c r="R77"/>
      <c r="S77"/>
      <c r="T77"/>
      <c r="U77"/>
    </row>
    <row r="78" spans="2:21" ht="18.75" customHeight="1">
      <c r="B78" s="99" t="str">
        <f>B43</f>
        <v>New Sales Channels</v>
      </c>
      <c r="C78" s="99"/>
      <c r="D78" s="109">
        <f>D64-SUM(_xlfn.ANCHORARRAY(D67))</f>
        <v>0</v>
      </c>
      <c r="E78" s="109">
        <f>E64-SUM(_xlfn.ANCHORARRAY(E67))</f>
        <v>850.22033442580141</v>
      </c>
      <c r="F78" s="109">
        <f t="shared" ref="F78:M78" si="10">F64-SUM(_xlfn.ANCHORARRAY(F67))</f>
        <v>41562.353569180123</v>
      </c>
      <c r="G78" s="109">
        <f t="shared" si="10"/>
        <v>71330.654179310543</v>
      </c>
      <c r="H78" s="109">
        <f t="shared" si="10"/>
        <v>84979.142901438347</v>
      </c>
      <c r="I78" s="109">
        <f t="shared" si="10"/>
        <v>91256.102700884803</v>
      </c>
      <c r="J78" s="109">
        <f t="shared" si="10"/>
        <v>97751.935142117902</v>
      </c>
      <c r="K78" s="109">
        <f t="shared" si="10"/>
        <v>104473.04194920108</v>
      </c>
      <c r="L78" s="109">
        <f t="shared" si="10"/>
        <v>111425.99141013314</v>
      </c>
      <c r="M78" s="109">
        <f t="shared" si="10"/>
        <v>118617.5220719339</v>
      </c>
      <c r="N78" s="109">
        <f>N64-SUM(_xlfn.ANCHORARRAY(N67))</f>
        <v>126054.54649002489</v>
      </c>
      <c r="O78" s="96"/>
      <c r="P78"/>
      <c r="Q78"/>
      <c r="R78"/>
      <c r="S78"/>
      <c r="T78"/>
      <c r="U78"/>
    </row>
    <row r="79" spans="2:21" ht="18.75" customHeight="1">
      <c r="B79" s="99"/>
      <c r="C79" s="99"/>
      <c r="D79" s="108"/>
      <c r="E79" s="101"/>
      <c r="F79" s="103"/>
      <c r="G79" s="102"/>
      <c r="H79" s="102"/>
      <c r="I79" s="101"/>
      <c r="J79" s="101"/>
      <c r="K79" s="101"/>
      <c r="L79" s="98"/>
      <c r="M79" s="98"/>
      <c r="N79" s="98"/>
      <c r="O79" s="96"/>
      <c r="P79"/>
      <c r="Q79"/>
      <c r="R79"/>
      <c r="S79"/>
      <c r="T79"/>
      <c r="U79"/>
    </row>
    <row r="80" spans="2:21" ht="18.75" customHeight="1">
      <c r="B80" s="116" t="s">
        <v>63</v>
      </c>
      <c r="C80" s="99"/>
      <c r="D80" s="109">
        <f>$E$26*D57</f>
        <v>16.748268425786012</v>
      </c>
      <c r="E80" s="109">
        <f t="shared" ref="E80:N80" si="11">$E$26*E57</f>
        <v>24.772458030175009</v>
      </c>
      <c r="F80" s="109">
        <f t="shared" si="11"/>
        <v>26.506530092287264</v>
      </c>
      <c r="G80" s="109">
        <f t="shared" si="11"/>
        <v>27.831856596901623</v>
      </c>
      <c r="H80" s="109">
        <f t="shared" si="11"/>
        <v>28.666812294808672</v>
      </c>
      <c r="I80" s="109">
        <f t="shared" si="11"/>
        <v>29.526816663652934</v>
      </c>
      <c r="J80" s="109">
        <f t="shared" si="11"/>
        <v>30.412621163562523</v>
      </c>
      <c r="K80" s="109">
        <f t="shared" si="11"/>
        <v>31.324999798469399</v>
      </c>
      <c r="L80" s="109">
        <f t="shared" si="11"/>
        <v>32.26474979242348</v>
      </c>
      <c r="M80" s="109">
        <f t="shared" si="11"/>
        <v>33.23269228619619</v>
      </c>
      <c r="N80" s="109">
        <f t="shared" si="11"/>
        <v>34.229673054782069</v>
      </c>
      <c r="O80" s="96"/>
      <c r="P80"/>
      <c r="Q80"/>
      <c r="R80"/>
      <c r="S80"/>
      <c r="T80"/>
      <c r="U80"/>
    </row>
    <row r="81" spans="2:21" ht="18.75" customHeight="1">
      <c r="B81" s="116"/>
      <c r="C81" s="99"/>
      <c r="D81" s="108"/>
      <c r="E81" s="108"/>
      <c r="F81" s="108"/>
      <c r="G81" s="108"/>
      <c r="H81" s="108"/>
      <c r="I81" s="108"/>
      <c r="J81" s="108"/>
      <c r="K81" s="108"/>
      <c r="L81" s="108"/>
      <c r="M81" s="108"/>
      <c r="N81" s="108"/>
      <c r="O81" s="96"/>
      <c r="P81"/>
      <c r="Q81"/>
      <c r="R81"/>
      <c r="S81"/>
      <c r="T81"/>
      <c r="U81"/>
    </row>
    <row r="82" spans="2:21" ht="18.75" customHeight="1">
      <c r="B82" s="116" t="s">
        <v>127</v>
      </c>
      <c r="C82" s="99"/>
      <c r="D82" s="109">
        <f>D80*D64</f>
        <v>5065396.5474999985</v>
      </c>
      <c r="E82" s="109">
        <f t="shared" ref="E82:N82" si="12">E80*E64</f>
        <v>7648802.5447463477</v>
      </c>
      <c r="F82" s="109">
        <f t="shared" si="12"/>
        <v>9411851.5313103832</v>
      </c>
      <c r="G82" s="109">
        <f t="shared" si="12"/>
        <v>10870688.51866349</v>
      </c>
      <c r="H82" s="109">
        <f t="shared" si="12"/>
        <v>11756649.632934565</v>
      </c>
      <c r="I82" s="109">
        <f t="shared" si="12"/>
        <v>12472629.595580282</v>
      </c>
      <c r="J82" s="109">
        <f t="shared" si="12"/>
        <v>13232212.737951122</v>
      </c>
      <c r="K82" s="109">
        <f t="shared" si="12"/>
        <v>14038054.493692348</v>
      </c>
      <c r="L82" s="109">
        <f t="shared" si="12"/>
        <v>14892972.012358211</v>
      </c>
      <c r="M82" s="109">
        <f t="shared" si="12"/>
        <v>15799954.007910829</v>
      </c>
      <c r="N82" s="109">
        <f t="shared" si="12"/>
        <v>16762171.206992595</v>
      </c>
      <c r="O82" s="96"/>
      <c r="P82"/>
      <c r="Q82"/>
      <c r="R82"/>
      <c r="S82"/>
      <c r="T82"/>
      <c r="U82"/>
    </row>
    <row r="83" spans="2:21" ht="18.75" customHeight="1">
      <c r="B83" s="99"/>
      <c r="C83" s="99"/>
      <c r="D83" s="108"/>
      <c r="E83" s="101"/>
      <c r="F83" s="103"/>
      <c r="G83" s="102"/>
      <c r="H83" s="102"/>
      <c r="I83" s="101"/>
      <c r="J83" s="101"/>
      <c r="K83" s="101"/>
      <c r="L83" s="98"/>
      <c r="M83" s="98"/>
      <c r="N83" s="98"/>
      <c r="O83" s="96"/>
      <c r="P83"/>
      <c r="Q83"/>
      <c r="R83"/>
      <c r="S83"/>
      <c r="T83"/>
      <c r="U83"/>
    </row>
    <row r="84" spans="2:21" ht="18.75" customHeight="1">
      <c r="B84" s="116" t="s">
        <v>152</v>
      </c>
      <c r="C84" s="99"/>
      <c r="D84" s="108"/>
      <c r="E84" s="101"/>
      <c r="F84" s="103"/>
      <c r="G84" s="102"/>
      <c r="H84" s="102"/>
      <c r="I84" s="101"/>
      <c r="J84" s="101"/>
      <c r="K84" s="101"/>
      <c r="L84" s="98"/>
      <c r="M84" s="98"/>
      <c r="N84" s="98"/>
      <c r="O84" s="96"/>
      <c r="P84"/>
      <c r="Q84"/>
      <c r="R84"/>
      <c r="S84"/>
      <c r="T84"/>
      <c r="U84"/>
    </row>
    <row r="85" spans="2:21" ht="18.75" customHeight="1">
      <c r="B85" s="99"/>
      <c r="C85" s="99"/>
      <c r="D85" s="108"/>
      <c r="E85" s="101"/>
      <c r="F85" s="103"/>
      <c r="G85" s="102"/>
      <c r="H85" s="102"/>
      <c r="I85" s="101"/>
      <c r="J85" s="101"/>
      <c r="K85" s="101"/>
      <c r="L85" s="98"/>
      <c r="M85" s="98"/>
      <c r="N85" s="98"/>
      <c r="O85" s="96"/>
      <c r="P85"/>
      <c r="Q85"/>
      <c r="R85"/>
      <c r="S85"/>
      <c r="T85"/>
      <c r="U85"/>
    </row>
    <row r="86" spans="2:21" ht="18.75" customHeight="1">
      <c r="B86" s="99" t="s">
        <v>147</v>
      </c>
      <c r="C86" s="99"/>
      <c r="D86" s="108"/>
      <c r="E86" s="101"/>
      <c r="F86" s="103"/>
      <c r="G86" s="102"/>
      <c r="H86" s="102"/>
      <c r="I86" s="101"/>
      <c r="J86" s="101"/>
      <c r="K86" s="101"/>
      <c r="L86" s="98"/>
      <c r="M86" s="98"/>
      <c r="N86" s="98"/>
      <c r="O86" s="96"/>
      <c r="P86"/>
      <c r="Q86"/>
      <c r="R86"/>
      <c r="S86"/>
      <c r="T86"/>
      <c r="U86"/>
    </row>
    <row r="87" spans="2:21" ht="18.75" customHeight="1">
      <c r="B87" s="99" t="s">
        <v>85</v>
      </c>
      <c r="C87" s="99"/>
      <c r="D87" s="109" cm="1">
        <f t="array" ref="D87:D96">_xlfn.ANCHORARRAY(D67)*D80*$F$32:$F$41</f>
        <v>48962.123028134985</v>
      </c>
      <c r="E87" s="109" cm="1">
        <f t="array" ref="E87:E96">_xlfn.ANCHORARRAY(E67)*E80*$F$32:$F$41</f>
        <v>73796.134440841852</v>
      </c>
      <c r="F87" s="109" cm="1">
        <f t="array" ref="F87:F96">_xlfn.ANCHORARRAY(F67)*F80*$F$32:$F$41</f>
        <v>80462.139264883095</v>
      </c>
      <c r="G87" s="109" cm="1">
        <f t="array" ref="G87:G96">_xlfn.ANCHORARRAY(G67)*G80*$F$32:$F$41</f>
        <v>86090.465906461643</v>
      </c>
      <c r="H87" s="109" cm="1">
        <f t="array" ref="H87:H96">_xlfn.ANCHORARRAY(H67)*H80*$F$32:$F$41</f>
        <v>90357.970301444933</v>
      </c>
      <c r="I87" s="109" cm="1">
        <f t="array" ref="I87:I96">_xlfn.ANCHORARRAY(I67)*I80*$F$32:$F$41</f>
        <v>94837.014889287559</v>
      </c>
      <c r="J87" s="109" cm="1">
        <f t="array" ref="J87:J96">_xlfn.ANCHORARRAY(J67)*J80*$F$32:$F$41</f>
        <v>99538.085717349531</v>
      </c>
      <c r="K87" s="109" cm="1">
        <f t="array" ref="K87:K96">_xlfn.ANCHORARRAY(K67)*K80*$F$32:$F$41</f>
        <v>104472.18862635855</v>
      </c>
      <c r="L87" s="109" cm="1">
        <f t="array" ref="L87:L96">_xlfn.ANCHORARRAY(L67)*L80*$F$32:$F$41</f>
        <v>109650.87501656712</v>
      </c>
      <c r="M87" s="109" cm="1">
        <f t="array" ref="M87:M96">_xlfn.ANCHORARRAY(M67)*M80*$F$32:$F$41</f>
        <v>115086.26889113839</v>
      </c>
      <c r="N87" s="109" cm="1">
        <f t="array" ref="N87:N96">_xlfn.ANCHORARRAY(N67)*N80*$F$32:$F$41</f>
        <v>120791.09524007207</v>
      </c>
      <c r="O87" s="96"/>
      <c r="P87"/>
      <c r="Q87"/>
      <c r="R87"/>
      <c r="S87"/>
      <c r="T87"/>
      <c r="U87"/>
    </row>
    <row r="88" spans="2:21" ht="18.75" customHeight="1">
      <c r="B88" s="99" t="s">
        <v>86</v>
      </c>
      <c r="C88" s="99"/>
      <c r="D88" s="109">
        <v>100477.20591620999</v>
      </c>
      <c r="E88" s="109">
        <v>150697.03001621162</v>
      </c>
      <c r="F88" s="109">
        <v>163503.2636269893</v>
      </c>
      <c r="G88" s="109">
        <v>174081.92478365547</v>
      </c>
      <c r="H88" s="109">
        <v>181814.64388254547</v>
      </c>
      <c r="I88" s="109">
        <v>189890.85036380813</v>
      </c>
      <c r="J88" s="109">
        <v>198325.80193696849</v>
      </c>
      <c r="K88" s="109">
        <v>207135.43405900864</v>
      </c>
      <c r="L88" s="109">
        <v>216336.39003990978</v>
      </c>
      <c r="M88" s="109">
        <v>225946.05248548265</v>
      </c>
      <c r="N88" s="109">
        <v>235982.57613688771</v>
      </c>
      <c r="O88" s="96"/>
      <c r="P88"/>
      <c r="Q88"/>
      <c r="R88"/>
      <c r="S88"/>
      <c r="T88"/>
      <c r="U88"/>
    </row>
    <row r="89" spans="2:21" ht="18.75" customHeight="1">
      <c r="B89" s="99" t="s">
        <v>87</v>
      </c>
      <c r="C89" s="99"/>
      <c r="D89" s="109">
        <v>25111.703384231248</v>
      </c>
      <c r="E89" s="109">
        <v>37291.433164701572</v>
      </c>
      <c r="F89" s="109">
        <v>40061.440820175609</v>
      </c>
      <c r="G89" s="109">
        <v>42232.770912629116</v>
      </c>
      <c r="H89" s="109">
        <v>43673.753056168025</v>
      </c>
      <c r="I89" s="109">
        <v>45163.901510444477</v>
      </c>
      <c r="J89" s="109">
        <v>46704.893829980843</v>
      </c>
      <c r="K89" s="109">
        <v>48298.464807459801</v>
      </c>
      <c r="L89" s="109">
        <v>49946.408426690316</v>
      </c>
      <c r="M89" s="109">
        <v>51650.579882209</v>
      </c>
      <c r="N89" s="109">
        <v>53412.89766778997</v>
      </c>
      <c r="O89" s="96"/>
      <c r="P89"/>
      <c r="Q89"/>
      <c r="R89"/>
      <c r="S89"/>
      <c r="T89"/>
      <c r="U89"/>
    </row>
    <row r="90" spans="2:21" ht="18.75" customHeight="1">
      <c r="B90" s="99" t="s">
        <v>88</v>
      </c>
      <c r="C90" s="99"/>
      <c r="D90" s="109">
        <v>20600.967758682495</v>
      </c>
      <c r="E90" s="109">
        <v>30867.130377871705</v>
      </c>
      <c r="F90" s="109">
        <v>33457.191287878923</v>
      </c>
      <c r="G90" s="109">
        <v>35586.741513352405</v>
      </c>
      <c r="H90" s="109">
        <v>37130.850227616764</v>
      </c>
      <c r="I90" s="109">
        <v>38741.957818993047</v>
      </c>
      <c r="J90" s="109">
        <v>40422.97136875915</v>
      </c>
      <c r="K90" s="109">
        <v>42176.924096449613</v>
      </c>
      <c r="L90" s="109">
        <v>44006.980832994552</v>
      </c>
      <c r="M90" s="109">
        <v>45916.443731338186</v>
      </c>
      <c r="N90" s="109">
        <v>47908.758224840931</v>
      </c>
      <c r="O90" s="96"/>
      <c r="P90"/>
      <c r="Q90"/>
      <c r="R90"/>
      <c r="S90"/>
      <c r="T90"/>
      <c r="U90"/>
    </row>
    <row r="91" spans="2:21" ht="18.75" customHeight="1">
      <c r="B91" s="99" t="s">
        <v>89</v>
      </c>
      <c r="C91" s="99"/>
      <c r="D91" s="109">
        <v>20459.136655352497</v>
      </c>
      <c r="E91" s="109">
        <v>30473.052669221295</v>
      </c>
      <c r="F91" s="109">
        <v>32834.40952055926</v>
      </c>
      <c r="G91" s="109">
        <v>34717.46290656332</v>
      </c>
      <c r="H91" s="109">
        <v>36009.299701316544</v>
      </c>
      <c r="I91" s="109">
        <v>37349.205743202525</v>
      </c>
      <c r="J91" s="109">
        <v>38738.969688907091</v>
      </c>
      <c r="K91" s="109">
        <v>40180.446751031319</v>
      </c>
      <c r="L91" s="109">
        <v>41675.561174637194</v>
      </c>
      <c r="M91" s="109">
        <v>43226.308805945446</v>
      </c>
      <c r="N91" s="109">
        <v>44834.759756614658</v>
      </c>
      <c r="O91" s="96"/>
      <c r="P91"/>
      <c r="Q91"/>
      <c r="R91"/>
      <c r="S91"/>
      <c r="T91"/>
      <c r="U91"/>
    </row>
    <row r="92" spans="2:21" ht="18.75" customHeight="1">
      <c r="B92" s="99" t="s">
        <v>90</v>
      </c>
      <c r="C92" s="99"/>
      <c r="D92" s="109">
        <v>45223.860376079989</v>
      </c>
      <c r="E92" s="109">
        <v>67827.338373902865</v>
      </c>
      <c r="F92" s="109">
        <v>73591.305588917137</v>
      </c>
      <c r="G92" s="109">
        <v>78352.663060520063</v>
      </c>
      <c r="H92" s="109">
        <v>81833.088353668369</v>
      </c>
      <c r="I92" s="109">
        <v>85468.114138338322</v>
      </c>
      <c r="J92" s="109">
        <v>89264.607768363305</v>
      </c>
      <c r="K92" s="109">
        <v>93229.741645433998</v>
      </c>
      <c r="L92" s="109">
        <v>97371.006769324173</v>
      </c>
      <c r="M92" s="109">
        <v>101696.22689001758</v>
      </c>
      <c r="N92" s="109">
        <v>106213.57328847215</v>
      </c>
      <c r="O92" s="96"/>
      <c r="P92"/>
      <c r="Q92"/>
      <c r="R92"/>
      <c r="S92"/>
      <c r="T92"/>
      <c r="U92"/>
    </row>
    <row r="93" spans="2:21" ht="18.75" customHeight="1">
      <c r="B93" s="99" t="s">
        <v>91</v>
      </c>
      <c r="C93" s="99"/>
      <c r="D93" s="109">
        <v>100477.20591620999</v>
      </c>
      <c r="E93" s="109">
        <v>154561.0564268837</v>
      </c>
      <c r="F93" s="109">
        <v>171995.54359183623</v>
      </c>
      <c r="G93" s="109">
        <v>187819.13360228515</v>
      </c>
      <c r="H93" s="109">
        <v>201191.85591476783</v>
      </c>
      <c r="I93" s="109">
        <v>215516.71605589931</v>
      </c>
      <c r="J93" s="109">
        <v>230861.50623907935</v>
      </c>
      <c r="K93" s="109">
        <v>247298.84548330179</v>
      </c>
      <c r="L93" s="109">
        <v>264906.52328171284</v>
      </c>
      <c r="M93" s="109">
        <v>283767.86773937085</v>
      </c>
      <c r="N93" s="109">
        <v>303972.13992241398</v>
      </c>
      <c r="O93" s="96"/>
      <c r="P93"/>
      <c r="Q93"/>
      <c r="R93"/>
      <c r="S93"/>
      <c r="T93"/>
      <c r="U93"/>
    </row>
    <row r="94" spans="2:21" ht="18.75" customHeight="1">
      <c r="B94" s="99" t="s">
        <v>92</v>
      </c>
      <c r="C94" s="99"/>
      <c r="D94" s="109">
        <v>43742.231885936242</v>
      </c>
      <c r="E94" s="109">
        <v>65993.368837440139</v>
      </c>
      <c r="F94" s="109">
        <v>72025.162749182186</v>
      </c>
      <c r="G94" s="109">
        <v>77138.949304374109</v>
      </c>
      <c r="H94" s="109">
        <v>81042.180139175442</v>
      </c>
      <c r="I94" s="109">
        <v>85142.914454217738</v>
      </c>
      <c r="J94" s="109">
        <v>89451.145925601144</v>
      </c>
      <c r="K94" s="109">
        <v>93977.373909436574</v>
      </c>
      <c r="L94" s="109">
        <v>98732.629029254051</v>
      </c>
      <c r="M94" s="109">
        <v>103728.50005813432</v>
      </c>
      <c r="N94" s="109">
        <v>108977.1621610759</v>
      </c>
      <c r="O94" s="96"/>
      <c r="P94"/>
      <c r="Q94"/>
      <c r="R94"/>
      <c r="S94"/>
      <c r="T94"/>
      <c r="U94"/>
    </row>
    <row r="95" spans="2:21" ht="18.75" customHeight="1">
      <c r="B95" s="99" t="s">
        <v>93</v>
      </c>
      <c r="C95" s="99"/>
      <c r="D95" s="109">
        <v>74727.262566993741</v>
      </c>
      <c r="E95" s="109">
        <v>111745.33902868499</v>
      </c>
      <c r="F95" s="109">
        <v>120882.75540106058</v>
      </c>
      <c r="G95" s="109">
        <v>128323.08899599583</v>
      </c>
      <c r="H95" s="109">
        <v>133626.68226420032</v>
      </c>
      <c r="I95" s="109">
        <v>139149.47304217971</v>
      </c>
      <c r="J95" s="109">
        <v>144900.52076301299</v>
      </c>
      <c r="K95" s="109">
        <v>150889.25928614833</v>
      </c>
      <c r="L95" s="109">
        <v>157125.51237244482</v>
      </c>
      <c r="M95" s="109">
        <v>163619.50979879798</v>
      </c>
      <c r="N95" s="109">
        <v>170381.90413878224</v>
      </c>
      <c r="O95" s="96"/>
      <c r="P95"/>
      <c r="Q95"/>
      <c r="R95"/>
      <c r="S95"/>
      <c r="T95"/>
      <c r="U95"/>
    </row>
    <row r="96" spans="2:21" ht="18.75" customHeight="1">
      <c r="B96" s="99" t="s">
        <v>94</v>
      </c>
      <c r="C96" s="99"/>
      <c r="D96" s="109">
        <v>5014.7425820249991</v>
      </c>
      <c r="E96" s="109">
        <v>7558.2633039968377</v>
      </c>
      <c r="F96" s="109">
        <v>8241.0012282468724</v>
      </c>
      <c r="G96" s="109">
        <v>8817.4592641627387</v>
      </c>
      <c r="H96" s="109">
        <v>9254.5407198872854</v>
      </c>
      <c r="I96" s="109">
        <v>9713.2883033720973</v>
      </c>
      <c r="J96" s="109">
        <v>10194.776004570254</v>
      </c>
      <c r="K96" s="109">
        <v>10700.131051116798</v>
      </c>
      <c r="L96" s="109">
        <v>11230.536547320658</v>
      </c>
      <c r="M96" s="109">
        <v>11787.234243971343</v>
      </c>
      <c r="N96" s="109">
        <v>12371.527445444997</v>
      </c>
      <c r="O96" s="96"/>
      <c r="P96"/>
      <c r="Q96"/>
      <c r="R96"/>
      <c r="S96"/>
      <c r="T96"/>
      <c r="U96"/>
    </row>
    <row r="97" spans="2:21" ht="18.75" customHeight="1">
      <c r="B97" s="99"/>
      <c r="C97" s="99"/>
      <c r="D97" s="108"/>
      <c r="E97" s="101"/>
      <c r="F97" s="103"/>
      <c r="G97" s="102"/>
      <c r="H97" s="102"/>
      <c r="I97" s="101"/>
      <c r="J97" s="101"/>
      <c r="K97" s="101"/>
      <c r="L97" s="98"/>
      <c r="M97" s="98"/>
      <c r="N97" s="98"/>
      <c r="O97" s="96"/>
      <c r="P97"/>
      <c r="Q97"/>
      <c r="R97"/>
      <c r="S97"/>
      <c r="T97"/>
      <c r="U97"/>
    </row>
    <row r="98" spans="2:21" ht="18.75" customHeight="1">
      <c r="B98" s="99" t="s">
        <v>95</v>
      </c>
      <c r="C98" s="99"/>
      <c r="D98" s="109">
        <f>D78*D80*$F$43</f>
        <v>0</v>
      </c>
      <c r="E98" s="109">
        <f t="shared" ref="E98:N98" si="13">E78*E80*$F$43</f>
        <v>1474.3433285675169</v>
      </c>
      <c r="F98" s="109">
        <f t="shared" si="13"/>
        <v>77117.164291142923</v>
      </c>
      <c r="G98" s="109">
        <f t="shared" si="13"/>
        <v>138968.51766572267</v>
      </c>
      <c r="H98" s="109">
        <f t="shared" si="13"/>
        <v>170525.67969704795</v>
      </c>
      <c r="I98" s="109">
        <f t="shared" si="13"/>
        <v>188615.15497219563</v>
      </c>
      <c r="J98" s="109">
        <f t="shared" si="13"/>
        <v>208102.48000376564</v>
      </c>
      <c r="K98" s="109">
        <f t="shared" si="13"/>
        <v>229083.26126029468</v>
      </c>
      <c r="L98" s="109">
        <f t="shared" si="13"/>
        <v>251659.22132544717</v>
      </c>
      <c r="M98" s="109">
        <f t="shared" si="13"/>
        <v>275938.57275373652</v>
      </c>
      <c r="N98" s="109">
        <f t="shared" si="13"/>
        <v>302036.41393956653</v>
      </c>
      <c r="O98" s="96"/>
      <c r="P98"/>
      <c r="Q98"/>
      <c r="R98"/>
      <c r="S98"/>
      <c r="T98"/>
      <c r="U98"/>
    </row>
    <row r="99" spans="2:21" ht="18.75" customHeight="1">
      <c r="B99" s="99"/>
      <c r="C99" s="99"/>
      <c r="D99" s="109"/>
      <c r="E99" s="109"/>
      <c r="F99" s="109"/>
      <c r="G99" s="109"/>
      <c r="H99" s="109"/>
      <c r="I99" s="109"/>
      <c r="J99" s="109"/>
      <c r="K99" s="109"/>
      <c r="L99" s="109"/>
      <c r="M99" s="109"/>
      <c r="N99" s="109"/>
      <c r="O99" s="96"/>
      <c r="P99"/>
      <c r="Q99"/>
      <c r="R99"/>
      <c r="S99"/>
      <c r="T99"/>
      <c r="U99"/>
    </row>
    <row r="100" spans="2:21" ht="18.75" customHeight="1">
      <c r="B100" s="116" t="s">
        <v>153</v>
      </c>
      <c r="C100" s="99"/>
      <c r="D100" s="109">
        <f>SUM(D87:D98)</f>
        <v>484796.44006985612</v>
      </c>
      <c r="E100" s="109">
        <f t="shared" ref="E100:N100" si="14">SUM(E87:E98)</f>
        <v>732284.4899683242</v>
      </c>
      <c r="F100" s="109">
        <f t="shared" si="14"/>
        <v>874171.37737087207</v>
      </c>
      <c r="G100" s="109">
        <f t="shared" si="14"/>
        <v>992129.17791572248</v>
      </c>
      <c r="H100" s="109">
        <f t="shared" si="14"/>
        <v>1066460.544257839</v>
      </c>
      <c r="I100" s="109">
        <f t="shared" si="14"/>
        <v>1129588.5912919384</v>
      </c>
      <c r="J100" s="109">
        <f t="shared" si="14"/>
        <v>1196505.7592463577</v>
      </c>
      <c r="K100" s="109">
        <f t="shared" si="14"/>
        <v>1267442.0709760399</v>
      </c>
      <c r="L100" s="109">
        <f t="shared" si="14"/>
        <v>1342641.6448163025</v>
      </c>
      <c r="M100" s="109">
        <f t="shared" si="14"/>
        <v>1422363.5652801422</v>
      </c>
      <c r="N100" s="109">
        <f t="shared" si="14"/>
        <v>1506882.8079219612</v>
      </c>
      <c r="O100" s="96"/>
      <c r="P100"/>
      <c r="Q100"/>
      <c r="R100"/>
      <c r="S100"/>
      <c r="T100"/>
      <c r="U100"/>
    </row>
    <row r="101" spans="2:21" ht="18.75" customHeight="1">
      <c r="B101" s="116"/>
      <c r="C101" s="99"/>
      <c r="D101" s="109"/>
      <c r="E101" s="109"/>
      <c r="F101" s="109"/>
      <c r="G101" s="109"/>
      <c r="H101" s="109"/>
      <c r="I101" s="109"/>
      <c r="J101" s="109"/>
      <c r="K101" s="109"/>
      <c r="L101" s="109"/>
      <c r="M101" s="109"/>
      <c r="N101" s="109"/>
      <c r="O101" s="96"/>
      <c r="P101"/>
      <c r="Q101"/>
      <c r="R101"/>
      <c r="S101"/>
      <c r="T101"/>
      <c r="U101"/>
    </row>
    <row r="102" spans="2:21" ht="18.75" customHeight="1">
      <c r="B102" s="116" t="s">
        <v>154</v>
      </c>
      <c r="C102" s="99"/>
      <c r="D102" s="109" cm="1">
        <f t="array" ref="D102:N102">D82:N82-D100:N100</f>
        <v>4580600.1074301424</v>
      </c>
      <c r="E102" s="109">
        <v>6916518.0547780236</v>
      </c>
      <c r="F102" s="109">
        <v>8537680.1539395116</v>
      </c>
      <c r="G102" s="109">
        <v>9878559.3407477681</v>
      </c>
      <c r="H102" s="109">
        <v>10690189.088676726</v>
      </c>
      <c r="I102" s="109">
        <v>11343041.004288344</v>
      </c>
      <c r="J102" s="109">
        <v>12035706.978704765</v>
      </c>
      <c r="K102" s="109">
        <v>12770612.422716308</v>
      </c>
      <c r="L102" s="109">
        <v>13550330.367541909</v>
      </c>
      <c r="M102" s="109">
        <v>14377590.442630686</v>
      </c>
      <c r="N102" s="109">
        <v>15255288.399070634</v>
      </c>
      <c r="O102" s="96"/>
      <c r="P102"/>
      <c r="Q102"/>
      <c r="R102"/>
      <c r="S102"/>
      <c r="T102"/>
      <c r="U102"/>
    </row>
    <row r="103" spans="2:21" ht="18.75" customHeight="1">
      <c r="B103" s="99"/>
      <c r="C103" s="99"/>
      <c r="D103" s="108"/>
      <c r="E103" s="101"/>
      <c r="F103" s="103"/>
      <c r="G103" s="102"/>
      <c r="H103" s="102"/>
      <c r="I103" s="101"/>
      <c r="J103" s="101"/>
      <c r="K103" s="101"/>
      <c r="L103" s="98"/>
      <c r="M103" s="98"/>
      <c r="N103" s="98"/>
      <c r="O103" s="96"/>
      <c r="P103"/>
      <c r="Q103"/>
      <c r="R103"/>
      <c r="S103"/>
      <c r="T103"/>
      <c r="U103"/>
    </row>
    <row r="104" spans="2:21" ht="18.75" customHeight="1">
      <c r="B104" s="112" t="s">
        <v>65</v>
      </c>
      <c r="C104" s="100">
        <v>3</v>
      </c>
      <c r="D104" s="114" cm="1">
        <f t="array" ref="D104:D107">TRANSPOSE($G$26:$J$26)*INDEX(D$60:D$62,$C$104:$C$107) * D64</f>
        <v>1842431.5799999998</v>
      </c>
      <c r="E104" s="114" cm="1">
        <f t="array" ref="E104:E107">TRANSPOSE($G$26:$J$26)*INDEX(E$60:E$62,$C$104:$C$107) * E64</f>
        <v>2351160.0464500794</v>
      </c>
      <c r="F104" s="114" cm="1">
        <f t="array" ref="F104:F107">TRANSPOSE($G$26:$J$26)*INDEX(F$60:F$62,$C$104:$C$107) * F64</f>
        <v>2839025.756088471</v>
      </c>
      <c r="G104" s="114" cm="1">
        <f t="array" ref="G104:G107">TRANSPOSE($G$26:$J$26)*INDEX(G$60:G$62,$C$104:$C$107) * G64</f>
        <v>3216616.1816482376</v>
      </c>
      <c r="H104" s="114" cm="1">
        <f t="array" ref="H104:H107">TRANSPOSE($G$26:$J$26)*INDEX(H$60:H$62,$C$104:$C$107) * H64</f>
        <v>3478770.4004525691</v>
      </c>
      <c r="I104" s="114" cm="1">
        <f t="array" ref="I104:I107">TRANSPOSE($G$26:$J$26)*INDEX(I$60:I$62,$C$104:$C$107) * I64</f>
        <v>3690627.5178401307</v>
      </c>
      <c r="J104" s="114" cm="1">
        <f t="array" ref="J104:J107">TRANSPOSE($G$26:$J$26)*INDEX(J$60:J$62,$C$104:$C$107) * J64</f>
        <v>3915386.7336765947</v>
      </c>
      <c r="K104" s="114" cm="1">
        <f t="array" ref="K104:K107">TRANSPOSE($G$26:$J$26)*INDEX(K$60:K$62,$C$104:$C$107) * K64</f>
        <v>4153833.7857574997</v>
      </c>
      <c r="L104" s="114" cm="1">
        <f t="array" ref="L104:L107">TRANSPOSE($G$26:$J$26)*INDEX(L$60:L$62,$C$104:$C$107) * L64</f>
        <v>4406802.2633101316</v>
      </c>
      <c r="M104" s="114" cm="1">
        <f t="array" ref="M104:M107">TRANSPOSE($G$26:$J$26)*INDEX(M$60:M$62,$C$104:$C$107) * M64</f>
        <v>4675176.5211457191</v>
      </c>
      <c r="N104" s="114" cm="1">
        <f t="array" ref="N104:N107">TRANSPOSE($G$26:$J$26)*INDEX(N$60:N$62,$C$104:$C$107) * N64</f>
        <v>4959894.7712834943</v>
      </c>
      <c r="O104" s="96"/>
      <c r="P104"/>
      <c r="Q104"/>
      <c r="R104"/>
      <c r="S104"/>
      <c r="T104"/>
      <c r="U104"/>
    </row>
    <row r="105" spans="2:21" ht="18.75" customHeight="1">
      <c r="B105" s="112" t="s">
        <v>66</v>
      </c>
      <c r="C105" s="100">
        <v>1</v>
      </c>
      <c r="D105" s="114">
        <v>765404.08000000007</v>
      </c>
      <c r="E105" s="109">
        <v>937676.06425550149</v>
      </c>
      <c r="F105" s="109">
        <v>1153810.3970663948</v>
      </c>
      <c r="G105" s="95">
        <v>1332651.0086116861</v>
      </c>
      <c r="H105" s="95">
        <v>1441262.0658135384</v>
      </c>
      <c r="I105" s="109">
        <v>1529034.9256215831</v>
      </c>
      <c r="J105" s="109">
        <v>1622153.1525919377</v>
      </c>
      <c r="K105" s="109">
        <v>1720942.2795847866</v>
      </c>
      <c r="L105" s="113">
        <v>1825747.6644115003</v>
      </c>
      <c r="M105" s="113">
        <v>1936935.6971741607</v>
      </c>
      <c r="N105" s="113">
        <v>2054895.0811320674</v>
      </c>
      <c r="O105" s="96"/>
      <c r="P105"/>
      <c r="Q105"/>
      <c r="R105"/>
      <c r="S105"/>
      <c r="T105"/>
      <c r="U105"/>
    </row>
    <row r="106" spans="2:21" ht="18.75" customHeight="1">
      <c r="B106" s="112" t="s">
        <v>67</v>
      </c>
      <c r="C106" s="100">
        <v>2</v>
      </c>
      <c r="D106" s="114">
        <v>510638.62</v>
      </c>
      <c r="E106" s="109">
        <v>1824578.3326464326</v>
      </c>
      <c r="F106" s="109">
        <v>2098265.0825433978</v>
      </c>
      <c r="G106" s="95">
        <v>1731068.6930983032</v>
      </c>
      <c r="H106" s="95">
        <v>1872150.7915858149</v>
      </c>
      <c r="I106" s="109">
        <v>1986164.7747933913</v>
      </c>
      <c r="J106" s="109">
        <v>2107122.2095783087</v>
      </c>
      <c r="K106" s="109">
        <v>2235445.9521416277</v>
      </c>
      <c r="L106" s="113">
        <v>2371584.6106270533</v>
      </c>
      <c r="M106" s="113">
        <v>2516014.113414241</v>
      </c>
      <c r="N106" s="113">
        <v>2669239.3729211683</v>
      </c>
      <c r="O106" s="96"/>
      <c r="P106"/>
      <c r="Q106"/>
      <c r="R106"/>
      <c r="S106"/>
      <c r="T106"/>
      <c r="U106"/>
    </row>
    <row r="107" spans="2:21" ht="18.75" customHeight="1">
      <c r="B107" s="112" t="s">
        <v>68</v>
      </c>
      <c r="C107" s="100">
        <v>3</v>
      </c>
      <c r="D107" s="114">
        <v>92351.77</v>
      </c>
      <c r="E107" s="109">
        <v>117851.75319397589</v>
      </c>
      <c r="F107" s="109">
        <v>142305.99198172591</v>
      </c>
      <c r="G107" s="95">
        <v>161232.68891529544</v>
      </c>
      <c r="H107" s="95">
        <v>174373.15306189202</v>
      </c>
      <c r="I107" s="109">
        <v>184992.47808336129</v>
      </c>
      <c r="J107" s="109">
        <v>196258.51999863796</v>
      </c>
      <c r="K107" s="109">
        <v>208210.66386655506</v>
      </c>
      <c r="L107" s="113">
        <v>220890.69329602827</v>
      </c>
      <c r="M107" s="113">
        <v>234342.9365177564</v>
      </c>
      <c r="N107" s="113">
        <v>248614.42135168778</v>
      </c>
      <c r="O107" s="96"/>
      <c r="P107"/>
      <c r="Q107"/>
      <c r="R107"/>
      <c r="S107"/>
      <c r="T107"/>
      <c r="U107"/>
    </row>
    <row r="108" spans="2:21" ht="18.75" customHeight="1">
      <c r="B108" s="99"/>
      <c r="C108" s="99"/>
      <c r="D108" s="100"/>
      <c r="E108" s="101"/>
      <c r="F108" s="103"/>
      <c r="G108" s="102"/>
      <c r="H108" s="102"/>
      <c r="I108" s="101"/>
      <c r="J108" s="101"/>
      <c r="K108" s="104"/>
      <c r="L108" s="96"/>
      <c r="M108" s="96"/>
      <c r="N108" s="96"/>
      <c r="O108" s="96"/>
      <c r="P108"/>
      <c r="Q108"/>
      <c r="R108"/>
      <c r="S108"/>
      <c r="T108"/>
      <c r="U108"/>
    </row>
    <row r="109" spans="2:21" ht="18.75" customHeight="1">
      <c r="B109" s="99" t="s">
        <v>80</v>
      </c>
      <c r="C109" s="99"/>
      <c r="D109" s="109">
        <f>D$64*$L$45*D62</f>
        <v>117000.42814622402</v>
      </c>
      <c r="E109" s="109">
        <f>E$64*$L$45*E62</f>
        <v>149306.34877358933</v>
      </c>
      <c r="F109" s="109">
        <f>F$64*$L$45*F62</f>
        <v>180287.4161441091</v>
      </c>
      <c r="G109" s="109">
        <f>G$64*$L$45*G62</f>
        <v>204265.64249127562</v>
      </c>
      <c r="H109" s="109">
        <f>H$64*$L$45*H62</f>
        <v>220913.29235431462</v>
      </c>
      <c r="I109" s="109">
        <f>I$64*$L$45*I62</f>
        <v>234366.91185869239</v>
      </c>
      <c r="J109" s="109">
        <f>J$64*$L$45*J62</f>
        <v>248639.85679088676</v>
      </c>
      <c r="K109" s="109">
        <f>K$64*$L$45*K62</f>
        <v>263782.02406945179</v>
      </c>
      <c r="L109" s="109">
        <f>L$64*$L$45*L62</f>
        <v>279846.34933528141</v>
      </c>
      <c r="M109" s="109">
        <f>M$64*$L$45*M62</f>
        <v>296888.9920098001</v>
      </c>
      <c r="N109" s="109">
        <f>N$64*$L$45*N62</f>
        <v>314969.5316231969</v>
      </c>
      <c r="O109" s="96"/>
      <c r="P109"/>
      <c r="Q109"/>
      <c r="R109"/>
      <c r="S109"/>
      <c r="T109"/>
      <c r="U109"/>
    </row>
    <row r="110" spans="2:21" ht="18.75" customHeight="1">
      <c r="B110" s="99"/>
      <c r="C110" s="99"/>
      <c r="D110" s="108"/>
      <c r="E110" s="101"/>
      <c r="F110" s="103"/>
      <c r="G110" s="102"/>
      <c r="H110" s="102"/>
      <c r="I110" s="101"/>
      <c r="J110" s="101"/>
      <c r="K110" s="101"/>
      <c r="L110" s="98"/>
      <c r="M110" s="98"/>
      <c r="N110" s="98"/>
      <c r="O110" s="96"/>
      <c r="P110"/>
      <c r="Q110"/>
      <c r="R110"/>
      <c r="S110"/>
      <c r="T110"/>
      <c r="U110"/>
    </row>
    <row r="111" spans="2:21" ht="18.75" customHeight="1">
      <c r="B111" s="99" t="s">
        <v>148</v>
      </c>
      <c r="C111" s="99"/>
      <c r="D111" s="115">
        <f>N9</f>
        <v>357911</v>
      </c>
      <c r="E111" s="109">
        <f>$D$111*E62</f>
        <v>447388.75</v>
      </c>
      <c r="F111" s="109">
        <f t="shared" ref="F111:N111" si="15">$D$111*F62</f>
        <v>469758.1875</v>
      </c>
      <c r="G111" s="109">
        <f t="shared" si="15"/>
        <v>483850.93312499998</v>
      </c>
      <c r="H111" s="109">
        <f t="shared" si="15"/>
        <v>498366.46111874998</v>
      </c>
      <c r="I111" s="109">
        <f t="shared" si="15"/>
        <v>513317.45495231252</v>
      </c>
      <c r="J111" s="109">
        <f t="shared" si="15"/>
        <v>528716.97860088188</v>
      </c>
      <c r="K111" s="109">
        <f t="shared" si="15"/>
        <v>544578.48795890831</v>
      </c>
      <c r="L111" s="109">
        <f t="shared" si="15"/>
        <v>560915.84259767563</v>
      </c>
      <c r="M111" s="109">
        <f t="shared" si="15"/>
        <v>577743.31787560589</v>
      </c>
      <c r="N111" s="109">
        <f t="shared" si="15"/>
        <v>595075.61741187412</v>
      </c>
      <c r="O111" s="96"/>
      <c r="P111"/>
      <c r="Q111"/>
      <c r="R111"/>
      <c r="S111"/>
      <c r="T111"/>
      <c r="U111"/>
    </row>
    <row r="112" spans="2:21" ht="18.75" customHeight="1">
      <c r="B112" s="99" t="s">
        <v>56</v>
      </c>
      <c r="C112" s="117">
        <f>N10</f>
        <v>2.5000000000000001E-2</v>
      </c>
      <c r="D112" s="109" cm="1">
        <f t="array" ref="D112:N112">$C112*_xlfn.ANCHORARRAY($D$102)</f>
        <v>114515.00268575357</v>
      </c>
      <c r="E112" s="109">
        <v>172912.9513694506</v>
      </c>
      <c r="F112" s="109">
        <v>213442.0038484878</v>
      </c>
      <c r="G112" s="95">
        <v>246963.98351869421</v>
      </c>
      <c r="H112" s="95">
        <v>267254.7272169182</v>
      </c>
      <c r="I112" s="109">
        <v>283576.02510720858</v>
      </c>
      <c r="J112" s="109">
        <v>300892.67446761916</v>
      </c>
      <c r="K112" s="109">
        <v>319265.31056790776</v>
      </c>
      <c r="L112" s="113">
        <v>338758.25918854773</v>
      </c>
      <c r="M112" s="113">
        <v>359439.76106576715</v>
      </c>
      <c r="N112" s="113">
        <v>381382.20997676585</v>
      </c>
      <c r="O112" s="96"/>
      <c r="P112"/>
      <c r="Q112"/>
      <c r="R112"/>
      <c r="S112"/>
      <c r="T112"/>
      <c r="U112"/>
    </row>
    <row r="113" spans="2:21" ht="18.75" customHeight="1">
      <c r="B113" s="99" t="s">
        <v>58</v>
      </c>
      <c r="C113" s="117">
        <f>N11</f>
        <v>0.04</v>
      </c>
      <c r="D113" s="109" cm="1">
        <f t="array" ref="D113:N113">$C113*_xlfn.ANCHORARRAY($D$102)</f>
        <v>183224.00429720568</v>
      </c>
      <c r="E113" s="109">
        <v>276660.72219112096</v>
      </c>
      <c r="F113" s="109">
        <v>341507.20615758048</v>
      </c>
      <c r="G113" s="95">
        <v>395142.37362991075</v>
      </c>
      <c r="H113" s="95">
        <v>427607.56354706909</v>
      </c>
      <c r="I113" s="109">
        <v>453721.64017153374</v>
      </c>
      <c r="J113" s="109">
        <v>481428.27914819063</v>
      </c>
      <c r="K113" s="109">
        <v>510824.49690865236</v>
      </c>
      <c r="L113" s="113">
        <v>542013.21470167639</v>
      </c>
      <c r="M113" s="113">
        <v>575103.61770522746</v>
      </c>
      <c r="N113" s="113">
        <v>610211.53596282541</v>
      </c>
      <c r="O113" s="96"/>
      <c r="P113"/>
      <c r="Q113"/>
      <c r="R113"/>
      <c r="S113"/>
      <c r="T113"/>
      <c r="U113"/>
    </row>
    <row r="114" spans="2:21" ht="18.75" customHeight="1">
      <c r="B114" s="99" t="s">
        <v>149</v>
      </c>
      <c r="C114" s="117"/>
      <c r="D114" s="115">
        <f>MAX(D116:D117)</f>
        <v>511237</v>
      </c>
      <c r="E114" s="115">
        <f t="shared" ref="E114:N114" si="16">MAX(E116:E117)</f>
        <v>639046.25</v>
      </c>
      <c r="F114" s="115">
        <f t="shared" si="16"/>
        <v>670998.5625</v>
      </c>
      <c r="G114" s="115">
        <f t="shared" si="16"/>
        <v>740891.95055608253</v>
      </c>
      <c r="H114" s="115">
        <f t="shared" si="16"/>
        <v>801764.18165075441</v>
      </c>
      <c r="I114" s="115">
        <f t="shared" si="16"/>
        <v>850728.0753216258</v>
      </c>
      <c r="J114" s="115">
        <f t="shared" si="16"/>
        <v>902678.02340285736</v>
      </c>
      <c r="K114" s="115">
        <f t="shared" si="16"/>
        <v>957795.93170372304</v>
      </c>
      <c r="L114" s="115">
        <f t="shared" si="16"/>
        <v>1016274.7775656432</v>
      </c>
      <c r="M114" s="115">
        <f t="shared" si="16"/>
        <v>1078319.2831973014</v>
      </c>
      <c r="N114" s="115">
        <f t="shared" si="16"/>
        <v>1144146.6299302974</v>
      </c>
      <c r="O114" s="96"/>
      <c r="P114"/>
      <c r="Q114"/>
      <c r="R114"/>
      <c r="S114"/>
      <c r="T114"/>
      <c r="U114"/>
    </row>
    <row r="115" spans="2:21" ht="18.75" customHeight="1">
      <c r="B115" s="99"/>
      <c r="C115" s="99"/>
      <c r="D115" s="108"/>
      <c r="E115" s="101"/>
      <c r="F115" s="103"/>
      <c r="G115" s="102"/>
      <c r="H115" s="102"/>
      <c r="I115" s="101"/>
      <c r="J115" s="101"/>
      <c r="K115" s="101"/>
      <c r="L115" s="98"/>
      <c r="M115" s="98"/>
      <c r="N115" s="98"/>
      <c r="O115" s="96"/>
      <c r="P115"/>
      <c r="Q115"/>
      <c r="R115"/>
      <c r="S115"/>
      <c r="T115"/>
      <c r="U115"/>
    </row>
    <row r="116" spans="2:21" ht="18.75" customHeight="1">
      <c r="B116" s="99" t="s">
        <v>150</v>
      </c>
      <c r="C116" s="99"/>
      <c r="D116" s="109">
        <f>O12</f>
        <v>511237</v>
      </c>
      <c r="E116" s="109" cm="1">
        <f t="array" ref="E116:N116">D116*E62:N62</f>
        <v>639046.25</v>
      </c>
      <c r="F116" s="109">
        <v>670998.5625</v>
      </c>
      <c r="G116" s="95">
        <v>691128.51937499992</v>
      </c>
      <c r="H116" s="95">
        <v>711862.37495624996</v>
      </c>
      <c r="I116" s="109">
        <v>733218.24620493746</v>
      </c>
      <c r="J116" s="109">
        <v>755214.79359108559</v>
      </c>
      <c r="K116" s="109">
        <v>777871.23739881825</v>
      </c>
      <c r="L116" s="113">
        <v>801207.37452078285</v>
      </c>
      <c r="M116" s="113">
        <v>825243.59575640631</v>
      </c>
      <c r="N116" s="113">
        <v>850000.90362909855</v>
      </c>
      <c r="O116" s="96"/>
      <c r="P116"/>
      <c r="Q116"/>
      <c r="R116"/>
      <c r="S116"/>
      <c r="T116"/>
      <c r="U116"/>
    </row>
    <row r="117" spans="2:21" ht="18.75" customHeight="1">
      <c r="B117" s="99" t="s">
        <v>151</v>
      </c>
      <c r="C117" s="117">
        <f>N13</f>
        <v>7.4999999999999997E-2</v>
      </c>
      <c r="D117" s="109" cm="1">
        <f t="array" ref="D117:N117">C117*_xlfn.ANCHORARRAY(D102)</f>
        <v>343545.00805726065</v>
      </c>
      <c r="E117" s="109">
        <v>518738.85410835175</v>
      </c>
      <c r="F117" s="109">
        <v>640326.01154546335</v>
      </c>
      <c r="G117" s="95">
        <v>740891.95055608253</v>
      </c>
      <c r="H117" s="95">
        <v>801764.18165075441</v>
      </c>
      <c r="I117" s="109">
        <v>850728.0753216258</v>
      </c>
      <c r="J117" s="109">
        <v>902678.02340285736</v>
      </c>
      <c r="K117" s="109">
        <v>957795.93170372304</v>
      </c>
      <c r="L117" s="113">
        <v>1016274.7775656432</v>
      </c>
      <c r="M117" s="113">
        <v>1078319.2831973014</v>
      </c>
      <c r="N117" s="113">
        <v>1144146.6299302974</v>
      </c>
      <c r="O117" s="96"/>
      <c r="P117"/>
      <c r="Q117"/>
      <c r="R117"/>
      <c r="S117"/>
      <c r="T117"/>
      <c r="U117"/>
    </row>
    <row r="118" spans="2:21" ht="18.75" customHeight="1">
      <c r="B118" s="99"/>
      <c r="C118" s="99"/>
      <c r="D118" s="108"/>
      <c r="E118" s="101"/>
      <c r="F118" s="103"/>
      <c r="G118" s="102"/>
      <c r="H118" s="102"/>
      <c r="I118" s="101"/>
      <c r="J118" s="101"/>
      <c r="K118" s="101"/>
      <c r="L118" s="98"/>
      <c r="M118" s="98"/>
      <c r="N118" s="98"/>
      <c r="O118" s="96"/>
      <c r="P118"/>
      <c r="Q118"/>
      <c r="R118"/>
      <c r="S118"/>
      <c r="T118"/>
      <c r="U118"/>
    </row>
    <row r="119" spans="2:21" ht="18.75" customHeight="1">
      <c r="B119" s="116" t="s">
        <v>156</v>
      </c>
      <c r="C119" s="99"/>
      <c r="D119" s="108"/>
      <c r="E119" s="101"/>
      <c r="F119" s="103"/>
      <c r="G119" s="102"/>
      <c r="H119" s="102"/>
      <c r="I119" s="101"/>
      <c r="J119" s="101"/>
      <c r="K119" s="101"/>
      <c r="L119" s="98"/>
      <c r="M119" s="98"/>
      <c r="N119" s="98"/>
      <c r="O119" s="96"/>
      <c r="P119"/>
      <c r="Q119"/>
      <c r="R119"/>
      <c r="S119"/>
      <c r="T119"/>
      <c r="U119"/>
    </row>
    <row r="120" spans="2:21" ht="18.75" customHeight="1">
      <c r="B120" s="99" t="s">
        <v>85</v>
      </c>
      <c r="C120" s="99"/>
      <c r="D120" s="110" cm="1">
        <f t="array" ref="D120:D129">$E$26*$G$32:$G$41</f>
        <v>0.38688500063565684</v>
      </c>
      <c r="E120" s="109" cm="1">
        <f t="array" ref="E120:E129">_xlfn.ANCHORARRAY($D$120)*E62</f>
        <v>0.48360625079457104</v>
      </c>
      <c r="F120" s="109" cm="1">
        <f t="array" ref="F120:F129">_xlfn.ANCHORARRAY($D$120)*F62</f>
        <v>0.50778656333429961</v>
      </c>
      <c r="G120" s="109" cm="1">
        <f t="array" ref="G120:G129">_xlfn.ANCHORARRAY($D$120)*G62</f>
        <v>0.52302016023432851</v>
      </c>
      <c r="H120" s="109" cm="1">
        <f t="array" ref="H120:H129">_xlfn.ANCHORARRAY($D$120)*H62</f>
        <v>0.5387107650413584</v>
      </c>
      <c r="I120" s="109" cm="1">
        <f t="array" ref="I120:I129">_xlfn.ANCHORARRAY($D$120)*I62</f>
        <v>0.55487208799259924</v>
      </c>
      <c r="J120" s="109" cm="1">
        <f t="array" ref="J120:J129">_xlfn.ANCHORARRAY($D$120)*J62</f>
        <v>0.57151825063237716</v>
      </c>
      <c r="K120" s="109" cm="1">
        <f t="array" ref="K120:K129">_xlfn.ANCHORARRAY($D$120)*K62</f>
        <v>0.58866379815134851</v>
      </c>
      <c r="L120" s="109" cm="1">
        <f t="array" ref="L120:L129">_xlfn.ANCHORARRAY($D$120)*L62</f>
        <v>0.60632371209588898</v>
      </c>
      <c r="M120" s="109" cm="1">
        <f t="array" ref="M120:M129">_xlfn.ANCHORARRAY($D$120)*M62</f>
        <v>0.6245134234587657</v>
      </c>
      <c r="N120" s="109" cm="1">
        <f t="array" ref="N120:N129">_xlfn.ANCHORARRAY($D$120)*N62</f>
        <v>0.64324882616252865</v>
      </c>
      <c r="O120" s="96"/>
      <c r="P120"/>
      <c r="Q120"/>
      <c r="R120"/>
      <c r="S120"/>
      <c r="T120"/>
      <c r="U120"/>
    </row>
    <row r="121" spans="2:21" ht="18.75" customHeight="1">
      <c r="B121" s="99" t="s">
        <v>86</v>
      </c>
      <c r="C121" s="99"/>
      <c r="D121" s="110">
        <v>0.31654227324735562</v>
      </c>
      <c r="E121" s="109">
        <v>0.3956778415591945</v>
      </c>
      <c r="F121" s="109">
        <v>0.41546173363715427</v>
      </c>
      <c r="G121" s="95">
        <v>0.42792558564626887</v>
      </c>
      <c r="H121" s="95">
        <v>0.44076335321565696</v>
      </c>
      <c r="I121" s="109">
        <v>0.45398625381212665</v>
      </c>
      <c r="J121" s="109">
        <v>0.46760584142649042</v>
      </c>
      <c r="K121" s="110">
        <v>0.48163401666928518</v>
      </c>
      <c r="L121" s="111">
        <v>0.49608303716936375</v>
      </c>
      <c r="M121" s="111">
        <v>0.51096552828444475</v>
      </c>
      <c r="N121" s="111">
        <v>0.52629449413297802</v>
      </c>
      <c r="O121" s="96"/>
      <c r="P121"/>
      <c r="Q121"/>
      <c r="R121"/>
      <c r="S121"/>
      <c r="T121"/>
      <c r="U121"/>
    </row>
    <row r="122" spans="2:21" ht="18.75" customHeight="1">
      <c r="B122" s="99" t="s">
        <v>87</v>
      </c>
      <c r="C122" s="94"/>
      <c r="D122" s="110">
        <v>0.42708084485754327</v>
      </c>
      <c r="E122" s="109">
        <v>0.53385105607192906</v>
      </c>
      <c r="F122" s="109">
        <v>0.56054360887552557</v>
      </c>
      <c r="G122" s="95">
        <v>0.57735991714179125</v>
      </c>
      <c r="H122" s="95">
        <v>0.59468071465604511</v>
      </c>
      <c r="I122" s="109">
        <v>0.61252113609572645</v>
      </c>
      <c r="J122" s="109">
        <v>0.63089677017859813</v>
      </c>
      <c r="K122" s="118">
        <v>0.64982367328395618</v>
      </c>
      <c r="L122" s="25">
        <v>0.66931838348247485</v>
      </c>
      <c r="M122" s="25">
        <v>0.68939793498694923</v>
      </c>
      <c r="N122" s="25">
        <v>0.71007987303655762</v>
      </c>
      <c r="P122"/>
      <c r="Q122"/>
      <c r="R122"/>
      <c r="S122"/>
      <c r="T122"/>
      <c r="U122"/>
    </row>
    <row r="123" spans="2:21" ht="18.75" customHeight="1">
      <c r="B123" s="99" t="s">
        <v>88</v>
      </c>
      <c r="C123" s="94"/>
      <c r="D123" s="110">
        <v>0.29309469745125522</v>
      </c>
      <c r="E123" s="109">
        <v>0.366368371814069</v>
      </c>
      <c r="F123" s="109">
        <v>0.38468679040477249</v>
      </c>
      <c r="G123" s="95">
        <v>0.3962273941169156</v>
      </c>
      <c r="H123" s="95">
        <v>0.40811421594042313</v>
      </c>
      <c r="I123" s="109">
        <v>0.42035764241863582</v>
      </c>
      <c r="J123" s="109">
        <v>0.4329683716911949</v>
      </c>
      <c r="K123" s="118">
        <v>0.44595742284193074</v>
      </c>
      <c r="L123" s="25">
        <v>0.45933614552718871</v>
      </c>
      <c r="M123" s="25">
        <v>0.47311622989300439</v>
      </c>
      <c r="N123" s="25">
        <v>0.48730971678979451</v>
      </c>
      <c r="P123"/>
      <c r="Q123"/>
      <c r="R123"/>
      <c r="S123"/>
      <c r="T123"/>
      <c r="U123"/>
    </row>
    <row r="124" spans="2:21" ht="18.75" customHeight="1">
      <c r="B124" s="99" t="s">
        <v>89</v>
      </c>
      <c r="C124" s="94"/>
      <c r="D124" s="110">
        <v>0.51584666751420916</v>
      </c>
      <c r="E124" s="109">
        <v>0.64480833439276142</v>
      </c>
      <c r="F124" s="109">
        <v>0.67704875111239948</v>
      </c>
      <c r="G124" s="95">
        <v>0.6973602136457715</v>
      </c>
      <c r="H124" s="95">
        <v>0.7182810200551446</v>
      </c>
      <c r="I124" s="109">
        <v>0.73982945065679895</v>
      </c>
      <c r="J124" s="109">
        <v>0.76202433417650295</v>
      </c>
      <c r="K124" s="118">
        <v>0.78488506420179804</v>
      </c>
      <c r="L124" s="25">
        <v>0.80843161612785208</v>
      </c>
      <c r="M124" s="25">
        <v>0.83268456461168772</v>
      </c>
      <c r="N124" s="25">
        <v>0.85766510155003828</v>
      </c>
      <c r="P124"/>
      <c r="Q124"/>
      <c r="R124"/>
      <c r="S124"/>
      <c r="T124"/>
      <c r="U124"/>
    </row>
    <row r="125" spans="2:21" ht="18.75" customHeight="1">
      <c r="B125" s="99" t="s">
        <v>90</v>
      </c>
      <c r="C125" s="94"/>
      <c r="D125" s="110">
        <v>0.39860878853370713</v>
      </c>
      <c r="E125" s="109">
        <v>0.49826098566713389</v>
      </c>
      <c r="F125" s="109">
        <v>0.52317403495049064</v>
      </c>
      <c r="G125" s="95">
        <v>0.53886925599900526</v>
      </c>
      <c r="H125" s="95">
        <v>0.55503533367897551</v>
      </c>
      <c r="I125" s="109">
        <v>0.57168639368934471</v>
      </c>
      <c r="J125" s="109">
        <v>0.58883698550002506</v>
      </c>
      <c r="K125" s="118">
        <v>0.60650209506502584</v>
      </c>
      <c r="L125" s="25">
        <v>0.62469715791697666</v>
      </c>
      <c r="M125" s="25">
        <v>0.64343807265448605</v>
      </c>
      <c r="N125" s="25">
        <v>0.66274121483412063</v>
      </c>
      <c r="P125"/>
      <c r="Q125"/>
      <c r="R125"/>
      <c r="S125"/>
      <c r="T125"/>
      <c r="U125"/>
    </row>
    <row r="126" spans="2:21" ht="18.75" customHeight="1">
      <c r="B126" s="99" t="s">
        <v>91</v>
      </c>
      <c r="C126" s="94"/>
      <c r="D126" s="110">
        <v>0.32826606114540591</v>
      </c>
      <c r="E126" s="109">
        <v>0.41033257643175736</v>
      </c>
      <c r="F126" s="109">
        <v>0.43084920525334525</v>
      </c>
      <c r="G126" s="95">
        <v>0.44377468141094562</v>
      </c>
      <c r="H126" s="95">
        <v>0.45708792185327396</v>
      </c>
      <c r="I126" s="109">
        <v>0.47080055950887217</v>
      </c>
      <c r="J126" s="109">
        <v>0.48492457629413838</v>
      </c>
      <c r="K126" s="118">
        <v>0.49947231358296257</v>
      </c>
      <c r="L126" s="25">
        <v>0.51445648299045144</v>
      </c>
      <c r="M126" s="25">
        <v>0.52989017748016498</v>
      </c>
      <c r="N126" s="25">
        <v>0.54578688280456999</v>
      </c>
      <c r="P126"/>
      <c r="Q126"/>
      <c r="R126"/>
      <c r="S126"/>
      <c r="T126"/>
      <c r="U126"/>
    </row>
    <row r="127" spans="2:21" ht="18.75" customHeight="1">
      <c r="B127" s="99" t="s">
        <v>92</v>
      </c>
      <c r="C127" s="94"/>
      <c r="D127" s="110">
        <v>0.51584666751420916</v>
      </c>
      <c r="E127" s="109">
        <v>0.64480833439276142</v>
      </c>
      <c r="F127" s="109">
        <v>0.67704875111239948</v>
      </c>
      <c r="G127" s="95">
        <v>0.6973602136457715</v>
      </c>
      <c r="H127" s="95">
        <v>0.7182810200551446</v>
      </c>
      <c r="I127" s="109">
        <v>0.73982945065679895</v>
      </c>
      <c r="J127" s="109">
        <v>0.76202433417650295</v>
      </c>
      <c r="K127" s="118">
        <v>0.78488506420179804</v>
      </c>
      <c r="L127" s="25">
        <v>0.80843161612785208</v>
      </c>
      <c r="M127" s="25">
        <v>0.83268456461168772</v>
      </c>
      <c r="N127" s="25">
        <v>0.85766510155003828</v>
      </c>
      <c r="P127"/>
      <c r="Q127"/>
      <c r="R127"/>
      <c r="S127"/>
      <c r="T127"/>
      <c r="U127"/>
    </row>
    <row r="128" spans="2:21" ht="18.75" customHeight="1">
      <c r="B128" s="99" t="s">
        <v>93</v>
      </c>
      <c r="C128" s="94"/>
      <c r="D128" s="110">
        <v>0.4053080959040215</v>
      </c>
      <c r="E128" s="109">
        <v>0.50663511988002685</v>
      </c>
      <c r="F128" s="109">
        <v>0.53196687587402824</v>
      </c>
      <c r="G128" s="95">
        <v>0.54792588215024907</v>
      </c>
      <c r="H128" s="95">
        <v>0.56436365861475657</v>
      </c>
      <c r="I128" s="109">
        <v>0.58129456837319926</v>
      </c>
      <c r="J128" s="109">
        <v>0.59873340542439524</v>
      </c>
      <c r="K128" s="118">
        <v>0.61669540758712715</v>
      </c>
      <c r="L128" s="25">
        <v>0.63519626981474098</v>
      </c>
      <c r="M128" s="25">
        <v>0.65425215790918323</v>
      </c>
      <c r="N128" s="25">
        <v>0.67387972264645868</v>
      </c>
      <c r="P128"/>
      <c r="Q128"/>
      <c r="R128"/>
      <c r="S128"/>
      <c r="T128"/>
      <c r="U128"/>
    </row>
    <row r="129" spans="2:21" ht="18.75" customHeight="1">
      <c r="B129" s="99" t="s">
        <v>94</v>
      </c>
      <c r="C129" s="94"/>
      <c r="D129" s="110">
        <v>0.41033257643175725</v>
      </c>
      <c r="E129" s="109">
        <v>0.51291572053969658</v>
      </c>
      <c r="F129" s="109">
        <v>0.53856150656668134</v>
      </c>
      <c r="G129" s="95">
        <v>0.55471835176368178</v>
      </c>
      <c r="H129" s="95">
        <v>0.57135990231659228</v>
      </c>
      <c r="I129" s="109">
        <v>0.58850069938609006</v>
      </c>
      <c r="J129" s="109">
        <v>0.60615572036767273</v>
      </c>
      <c r="K129" s="118">
        <v>0.62434039197870295</v>
      </c>
      <c r="L129" s="25">
        <v>0.64307060373806413</v>
      </c>
      <c r="M129" s="25">
        <v>0.66236272185020606</v>
      </c>
      <c r="N129" s="25">
        <v>0.68223360350571216</v>
      </c>
      <c r="P129"/>
      <c r="Q129"/>
      <c r="R129"/>
      <c r="S129"/>
      <c r="T129"/>
      <c r="U129"/>
    </row>
    <row r="130" spans="2:21" ht="18.75" customHeight="1">
      <c r="B130" s="99"/>
      <c r="C130" s="94"/>
      <c r="D130" s="100"/>
      <c r="E130" s="101"/>
      <c r="F130" s="103"/>
      <c r="G130" s="102"/>
      <c r="H130" s="102"/>
      <c r="I130" s="101"/>
      <c r="J130" s="101"/>
      <c r="K130" s="105"/>
      <c r="P130"/>
      <c r="Q130"/>
      <c r="R130"/>
      <c r="S130"/>
      <c r="T130"/>
      <c r="U130"/>
    </row>
    <row r="131" spans="2:21" ht="18.75" customHeight="1">
      <c r="B131" s="99" t="s">
        <v>95</v>
      </c>
      <c r="D131" s="25">
        <f>$E$26*$G$43</f>
        <v>0.41870671064465032</v>
      </c>
      <c r="E131" s="25">
        <f>$E$26*$G$43*E62</f>
        <v>0.52338338830581288</v>
      </c>
      <c r="F131" s="25">
        <f t="shared" ref="F131:N131" si="17">$E$26*$G$43*F62</f>
        <v>0.54955255772110356</v>
      </c>
      <c r="G131" s="25">
        <f t="shared" si="17"/>
        <v>0.56603913445273657</v>
      </c>
      <c r="H131" s="25">
        <f t="shared" si="17"/>
        <v>0.58302030848631869</v>
      </c>
      <c r="I131" s="25">
        <f t="shared" si="17"/>
        <v>0.60051091774090826</v>
      </c>
      <c r="J131" s="25">
        <f t="shared" si="17"/>
        <v>0.61852624527313549</v>
      </c>
      <c r="K131" s="25">
        <f t="shared" si="17"/>
        <v>0.63708203263132968</v>
      </c>
      <c r="L131" s="25">
        <f t="shared" si="17"/>
        <v>0.6561944936102696</v>
      </c>
      <c r="M131" s="25">
        <f t="shared" si="17"/>
        <v>0.6758803284185777</v>
      </c>
      <c r="N131" s="25">
        <f t="shared" si="17"/>
        <v>0.696156738271135</v>
      </c>
      <c r="P131"/>
      <c r="Q131"/>
      <c r="R131"/>
      <c r="S131"/>
      <c r="T131"/>
      <c r="U131"/>
    </row>
    <row r="132" spans="2:21" ht="18.75" customHeight="1">
      <c r="P132"/>
      <c r="Q132"/>
      <c r="R132"/>
      <c r="S132"/>
      <c r="T132"/>
      <c r="U132"/>
    </row>
    <row r="133" spans="2:21" ht="18.75" customHeight="1">
      <c r="B133" s="91" t="s">
        <v>157</v>
      </c>
      <c r="D133" s="25">
        <f>SUMPRODUCT(D120:D131,D67:D78)</f>
        <v>117000.42814622402</v>
      </c>
      <c r="E133" s="25">
        <f>SUMPRODUCT(E120:E131,E67:E78)</f>
        <v>149243.1846714968</v>
      </c>
      <c r="F133" s="25">
        <f>SUMPRODUCT(F120:F131,F67:F78)</f>
        <v>181816.39952112915</v>
      </c>
      <c r="G133" s="25">
        <f>SUMPRODUCT(G120:G131,G67:G78)</f>
        <v>207006.9764656763</v>
      </c>
      <c r="H133" s="25">
        <f>SUMPRODUCT(H120:H131,H67:H78)</f>
        <v>224217.52604018975</v>
      </c>
      <c r="I133" s="25">
        <f>SUMPRODUCT(I120:I131,I67:I78)</f>
        <v>237922.33736358103</v>
      </c>
      <c r="J133" s="25">
        <f>SUMPRODUCT(J120:J131,J67:J78)</f>
        <v>252462.17628753709</v>
      </c>
      <c r="K133" s="25">
        <f>SUMPRODUCT(K120:K131,K67:K78)</f>
        <v>267887.77443746949</v>
      </c>
      <c r="L133" s="25">
        <f>SUMPRODUCT(L120:L131,L67:L78)</f>
        <v>284252.93734439707</v>
      </c>
      <c r="M133" s="25">
        <f>SUMPRODUCT(M120:M131,M67:M78)</f>
        <v>301614.73021214351</v>
      </c>
      <c r="N133" s="25">
        <f>SUMPRODUCT(N120:N131,N67:N78)</f>
        <v>320033.67488132621</v>
      </c>
      <c r="P133"/>
      <c r="Q133"/>
      <c r="R133"/>
      <c r="S133"/>
      <c r="T133"/>
      <c r="U133"/>
    </row>
    <row r="134" spans="2:21" ht="18.75" customHeight="1">
      <c r="P134"/>
      <c r="Q134"/>
      <c r="R134"/>
      <c r="S134"/>
      <c r="T134"/>
      <c r="U134"/>
    </row>
    <row r="135" spans="2:21" ht="18.75" customHeight="1">
      <c r="P135"/>
      <c r="Q135"/>
      <c r="R135"/>
      <c r="S135"/>
      <c r="T135"/>
      <c r="U135"/>
    </row>
    <row r="136" spans="2:21" ht="18.75" customHeight="1">
      <c r="P136"/>
      <c r="Q136"/>
      <c r="R136"/>
      <c r="S136"/>
      <c r="T136"/>
      <c r="U136"/>
    </row>
    <row r="137" spans="2:21" ht="18.75" customHeight="1">
      <c r="P137"/>
      <c r="Q137"/>
      <c r="R137"/>
      <c r="S137"/>
      <c r="T137"/>
      <c r="U137"/>
    </row>
    <row r="138" spans="2:21" ht="18.75" customHeight="1">
      <c r="P138"/>
      <c r="Q138"/>
      <c r="R138"/>
      <c r="S138"/>
      <c r="T138"/>
      <c r="U138"/>
    </row>
    <row r="139" spans="2:21" ht="18.75" customHeight="1">
      <c r="P139"/>
      <c r="Q139"/>
      <c r="R139"/>
      <c r="S139"/>
      <c r="T139"/>
      <c r="U139"/>
    </row>
    <row r="140" spans="2:21" ht="18.75" customHeight="1">
      <c r="P140"/>
      <c r="Q140"/>
      <c r="R140"/>
      <c r="S140"/>
      <c r="T140"/>
      <c r="U140"/>
    </row>
    <row r="141" spans="2:21" ht="18.75" customHeight="1">
      <c r="P141"/>
      <c r="Q141"/>
      <c r="R141"/>
      <c r="S141"/>
      <c r="T141"/>
      <c r="U141"/>
    </row>
    <row r="142" spans="2:21" ht="18.75" customHeight="1">
      <c r="P142"/>
      <c r="Q142"/>
      <c r="R142"/>
      <c r="S142"/>
      <c r="T142"/>
      <c r="U142"/>
    </row>
    <row r="143" spans="2:21" ht="18.75" customHeight="1">
      <c r="P143"/>
      <c r="Q143"/>
      <c r="R143"/>
      <c r="S143"/>
      <c r="T143"/>
      <c r="U143"/>
    </row>
    <row r="144" spans="2:21" ht="18.75" customHeight="1">
      <c r="P144"/>
      <c r="Q144"/>
      <c r="R144"/>
      <c r="S144"/>
      <c r="T144"/>
      <c r="U144"/>
    </row>
    <row r="145" spans="16:21" ht="18.75" customHeight="1">
      <c r="P145"/>
      <c r="Q145"/>
      <c r="R145"/>
      <c r="S145"/>
      <c r="T145"/>
      <c r="U145"/>
    </row>
    <row r="146" spans="16:21" ht="18.75" customHeight="1">
      <c r="P146"/>
      <c r="Q146"/>
      <c r="R146"/>
      <c r="S146"/>
      <c r="T146"/>
      <c r="U146"/>
    </row>
    <row r="147" spans="16:21" ht="18.75" customHeight="1">
      <c r="P147"/>
      <c r="Q147"/>
      <c r="R147"/>
      <c r="S147"/>
      <c r="T147"/>
      <c r="U147"/>
    </row>
    <row r="148" spans="16:21" ht="18.75" customHeight="1">
      <c r="P148"/>
      <c r="Q148"/>
      <c r="R148"/>
      <c r="S148"/>
      <c r="T148"/>
      <c r="U148"/>
    </row>
    <row r="149" spans="16:21" ht="18.75" customHeight="1">
      <c r="P149"/>
      <c r="Q149"/>
      <c r="R149"/>
      <c r="S149"/>
      <c r="T149"/>
      <c r="U149"/>
    </row>
    <row r="150" spans="16:21" ht="18.75" customHeight="1">
      <c r="P150"/>
      <c r="Q150"/>
      <c r="R150"/>
      <c r="S150"/>
      <c r="T150"/>
      <c r="U150"/>
    </row>
    <row r="151" spans="16:21" ht="21.75" customHeight="1">
      <c r="P151"/>
      <c r="Q151"/>
      <c r="R151"/>
      <c r="S151"/>
      <c r="T151"/>
      <c r="U151"/>
    </row>
    <row r="152" spans="16:21" ht="21.75" customHeight="1">
      <c r="P152"/>
      <c r="Q152"/>
      <c r="R152"/>
      <c r="S152"/>
      <c r="T152"/>
      <c r="U152"/>
    </row>
    <row r="153" spans="16:21" ht="21.75" customHeight="1">
      <c r="P153"/>
      <c r="Q153"/>
      <c r="R153"/>
      <c r="S153"/>
      <c r="T153"/>
      <c r="U153"/>
    </row>
    <row r="154" spans="16:21" ht="21.75" customHeight="1">
      <c r="P154"/>
      <c r="Q154"/>
      <c r="R154"/>
      <c r="S154"/>
      <c r="T154"/>
      <c r="U154"/>
    </row>
    <row r="155" spans="16:21" ht="21.75" customHeight="1">
      <c r="P155"/>
      <c r="Q155"/>
      <c r="R155"/>
      <c r="S155"/>
      <c r="T155"/>
      <c r="U155"/>
    </row>
    <row r="156" spans="16:21" ht="21.75" customHeight="1">
      <c r="P156"/>
      <c r="Q156"/>
      <c r="R156"/>
      <c r="S156"/>
      <c r="T156"/>
      <c r="U156"/>
    </row>
    <row r="157" spans="16:21" ht="21.75" customHeight="1">
      <c r="P157"/>
      <c r="Q157"/>
      <c r="R157"/>
      <c r="S157"/>
      <c r="T157"/>
      <c r="U157"/>
    </row>
    <row r="158" spans="16:21" ht="21.75" customHeight="1">
      <c r="P158"/>
      <c r="Q158"/>
      <c r="R158"/>
      <c r="S158"/>
      <c r="T158"/>
      <c r="U158"/>
    </row>
    <row r="159" spans="16:21" ht="21.75" customHeight="1">
      <c r="P159"/>
      <c r="Q159"/>
      <c r="R159"/>
      <c r="S159"/>
      <c r="T159"/>
      <c r="U159"/>
    </row>
    <row r="160" spans="16:21" ht="26.25">
      <c r="P160"/>
      <c r="Q160"/>
      <c r="R160"/>
      <c r="S160"/>
      <c r="T160"/>
      <c r="U160"/>
    </row>
    <row r="161" spans="16:21" ht="26.25">
      <c r="P161"/>
      <c r="Q161"/>
      <c r="R161"/>
      <c r="S161"/>
      <c r="T161"/>
      <c r="U161"/>
    </row>
    <row r="162" spans="16:21" ht="26.25">
      <c r="P162"/>
      <c r="Q162"/>
      <c r="R162"/>
      <c r="S162"/>
      <c r="T162"/>
      <c r="U162"/>
    </row>
    <row r="163" spans="16:21" ht="26.25">
      <c r="P163"/>
      <c r="Q163"/>
      <c r="R163"/>
      <c r="S163"/>
      <c r="T163"/>
      <c r="U163"/>
    </row>
    <row r="164" spans="16:21" ht="26.25">
      <c r="P164"/>
      <c r="Q164"/>
      <c r="R164"/>
      <c r="S164"/>
      <c r="T164"/>
      <c r="U164"/>
    </row>
    <row r="165" spans="16:21" ht="26.25">
      <c r="P165"/>
      <c r="Q165"/>
      <c r="R165"/>
      <c r="S165"/>
      <c r="T165"/>
      <c r="U165"/>
    </row>
    <row r="166" spans="16:21" ht="26.25">
      <c r="P166"/>
      <c r="Q166"/>
      <c r="R166"/>
      <c r="S166"/>
      <c r="T166"/>
      <c r="U166"/>
    </row>
    <row r="167" spans="16:21" ht="26.25">
      <c r="P167"/>
      <c r="Q167"/>
      <c r="R167"/>
      <c r="S167"/>
      <c r="T167"/>
      <c r="U167"/>
    </row>
    <row r="168" spans="16:21" ht="26.25">
      <c r="P168"/>
      <c r="Q168"/>
      <c r="R168"/>
      <c r="S168"/>
      <c r="T168"/>
      <c r="U168"/>
    </row>
    <row r="169" spans="16:21" ht="26.25">
      <c r="P169"/>
      <c r="Q169"/>
      <c r="R169"/>
      <c r="S169"/>
      <c r="T169"/>
      <c r="U169"/>
    </row>
    <row r="170" spans="16:21" ht="26.25">
      <c r="P170"/>
      <c r="Q170"/>
      <c r="R170"/>
      <c r="S170"/>
      <c r="T170"/>
      <c r="U170"/>
    </row>
    <row r="171" spans="16:21" ht="26.25">
      <c r="P171"/>
      <c r="Q171"/>
      <c r="R171"/>
      <c r="S171"/>
      <c r="T171"/>
      <c r="U171"/>
    </row>
    <row r="172" spans="16:21" ht="26.25">
      <c r="P172"/>
      <c r="Q172"/>
      <c r="R172"/>
      <c r="S172"/>
      <c r="T172"/>
      <c r="U172"/>
    </row>
    <row r="173" spans="16:21" ht="26.25">
      <c r="P173"/>
      <c r="Q173"/>
      <c r="R173"/>
      <c r="S173"/>
      <c r="T173"/>
      <c r="U173"/>
    </row>
    <row r="174" spans="16:21" ht="26.25">
      <c r="P174"/>
      <c r="Q174"/>
      <c r="R174"/>
      <c r="S174"/>
      <c r="T174"/>
      <c r="U174"/>
    </row>
    <row r="175" spans="16:21" ht="26.25">
      <c r="P175"/>
      <c r="Q175"/>
      <c r="R175"/>
      <c r="S175"/>
      <c r="T175"/>
      <c r="U175"/>
    </row>
    <row r="176" spans="16:21" ht="26.25">
      <c r="P176"/>
      <c r="Q176"/>
      <c r="R176"/>
      <c r="S176"/>
      <c r="T176"/>
      <c r="U176"/>
    </row>
    <row r="177" spans="16:21" ht="26.25">
      <c r="P177"/>
      <c r="Q177"/>
      <c r="R177"/>
      <c r="S177"/>
      <c r="T177"/>
      <c r="U177"/>
    </row>
    <row r="178" spans="16:21" ht="26.25">
      <c r="P178"/>
      <c r="Q178"/>
      <c r="R178"/>
      <c r="S178"/>
      <c r="T178"/>
      <c r="U178"/>
    </row>
    <row r="179" spans="16:21" ht="26.25">
      <c r="P179"/>
      <c r="Q179"/>
      <c r="R179"/>
      <c r="S179"/>
      <c r="T179"/>
      <c r="U179"/>
    </row>
    <row r="180" spans="16:21" ht="26.25">
      <c r="P180"/>
      <c r="Q180"/>
      <c r="R180"/>
      <c r="S180"/>
      <c r="T180"/>
      <c r="U180"/>
    </row>
    <row r="181" spans="16:21" ht="26.25">
      <c r="P181"/>
      <c r="Q181"/>
      <c r="R181"/>
      <c r="S181"/>
      <c r="T181"/>
      <c r="U181"/>
    </row>
    <row r="182" spans="16:21" ht="26.25">
      <c r="P182"/>
      <c r="Q182"/>
      <c r="R182"/>
      <c r="S182"/>
      <c r="T182"/>
      <c r="U182"/>
    </row>
    <row r="183" spans="16:21" ht="26.25">
      <c r="P183"/>
      <c r="Q183"/>
      <c r="R183"/>
      <c r="S183"/>
      <c r="T183"/>
      <c r="U183"/>
    </row>
    <row r="184" spans="16:21" ht="26.25">
      <c r="P184"/>
      <c r="Q184"/>
      <c r="R184"/>
      <c r="S184"/>
      <c r="T184"/>
      <c r="U184"/>
    </row>
    <row r="185" spans="16:21" ht="26.25">
      <c r="P185"/>
      <c r="Q185"/>
      <c r="R185"/>
      <c r="S185"/>
      <c r="T185"/>
      <c r="U185"/>
    </row>
    <row r="186" spans="16:21" ht="26.25">
      <c r="P186"/>
      <c r="Q186"/>
      <c r="R186"/>
      <c r="S186"/>
      <c r="T186"/>
      <c r="U186"/>
    </row>
    <row r="187" spans="16:21" ht="26.25">
      <c r="P187"/>
      <c r="Q187"/>
      <c r="R187"/>
      <c r="S187"/>
      <c r="T187"/>
      <c r="U187"/>
    </row>
    <row r="188" spans="16:21" ht="26.25">
      <c r="P188"/>
      <c r="Q188"/>
      <c r="R188"/>
      <c r="S188"/>
      <c r="T188"/>
      <c r="U188"/>
    </row>
    <row r="189" spans="16:21" ht="26.25">
      <c r="P189"/>
      <c r="Q189"/>
      <c r="R189"/>
      <c r="S189"/>
      <c r="T189"/>
      <c r="U189"/>
    </row>
    <row r="190" spans="16:21" ht="26.25">
      <c r="P190"/>
      <c r="Q190"/>
      <c r="R190"/>
      <c r="S190"/>
      <c r="T190"/>
      <c r="U190"/>
    </row>
    <row r="191" spans="16:21" ht="26.25">
      <c r="P191"/>
      <c r="Q191"/>
      <c r="R191"/>
      <c r="S191"/>
      <c r="T191"/>
      <c r="U191"/>
    </row>
    <row r="192" spans="16:21" ht="26.25">
      <c r="P192"/>
      <c r="Q192"/>
      <c r="R192"/>
      <c r="S192"/>
      <c r="T192"/>
      <c r="U192"/>
    </row>
    <row r="193" spans="16:21" ht="26.25">
      <c r="P193"/>
      <c r="Q193"/>
      <c r="R193"/>
      <c r="S193"/>
      <c r="T193"/>
      <c r="U193"/>
    </row>
    <row r="194" spans="16:21" ht="26.25">
      <c r="P194"/>
      <c r="Q194"/>
      <c r="R194"/>
      <c r="S194"/>
      <c r="T194"/>
      <c r="U194"/>
    </row>
    <row r="195" spans="16:21" ht="26.25">
      <c r="P195"/>
      <c r="Q195"/>
      <c r="R195"/>
      <c r="S195"/>
      <c r="T195"/>
      <c r="U195"/>
    </row>
    <row r="196" spans="16:21" ht="26.25">
      <c r="P196"/>
      <c r="Q196"/>
      <c r="R196"/>
      <c r="S196"/>
      <c r="T196"/>
      <c r="U196"/>
    </row>
    <row r="197" spans="16:21" ht="26.25">
      <c r="P197"/>
      <c r="Q197"/>
      <c r="R197"/>
      <c r="S197"/>
      <c r="T197"/>
      <c r="U197"/>
    </row>
    <row r="198" spans="16:21" ht="26.25">
      <c r="P198"/>
      <c r="Q198"/>
      <c r="R198"/>
      <c r="S198"/>
      <c r="T198"/>
      <c r="U198"/>
    </row>
    <row r="199" spans="16:21" ht="26.25">
      <c r="P199"/>
      <c r="Q199"/>
      <c r="R199"/>
      <c r="S199"/>
      <c r="T199"/>
      <c r="U199"/>
    </row>
    <row r="200" spans="16:21" ht="26.25">
      <c r="P200"/>
      <c r="Q200"/>
      <c r="R200"/>
      <c r="S200"/>
      <c r="T200"/>
      <c r="U200"/>
    </row>
    <row r="201" spans="16:21" ht="26.25">
      <c r="P201"/>
      <c r="Q201"/>
      <c r="R201"/>
      <c r="S201"/>
      <c r="T201"/>
      <c r="U201"/>
    </row>
    <row r="202" spans="16:21" ht="26.25">
      <c r="P202"/>
      <c r="Q202"/>
      <c r="R202"/>
      <c r="S202"/>
      <c r="T202"/>
      <c r="U202"/>
    </row>
    <row r="1025" spans="649:649" ht="15">
      <c r="XY1025" s="83">
        <v>125713</v>
      </c>
    </row>
  </sheetData>
  <mergeCells count="2">
    <mergeCell ref="E9:G9"/>
    <mergeCell ref="E10:G10"/>
  </mergeCells>
  <phoneticPr fontId="16"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A2B08-F451-4900-9BAD-498AE2614C1E}">
  <sheetPr codeName="Sheet3">
    <tabColor theme="5" tint="0.59999389629810485"/>
  </sheetPr>
  <dimension ref="B1:XX1000"/>
  <sheetViews>
    <sheetView showGridLines="0" zoomScaleNormal="100" workbookViewId="0">
      <pane xSplit="7" ySplit="6" topLeftCell="H9" activePane="bottomRight" state="frozen"/>
      <selection activeCell="B1" sqref="B1"/>
      <selection pane="topRight" activeCell="B1" sqref="B1"/>
      <selection pane="bottomLeft" activeCell="B1" sqref="B1"/>
      <selection pane="bottomRight" activeCell="I29" sqref="I29"/>
    </sheetView>
  </sheetViews>
  <sheetFormatPr defaultColWidth="4.7109375" defaultRowHeight="15"/>
  <cols>
    <col min="1" max="3" width="1.92578125" style="9" customWidth="1"/>
    <col min="4" max="4" width="23.2109375" style="9" customWidth="1"/>
    <col min="5" max="6" width="6.28515625" style="9" bestFit="1" customWidth="1"/>
    <col min="7" max="7" width="5.5703125" style="9" bestFit="1" customWidth="1"/>
    <col min="8" max="18" width="7.0703125" style="9" bestFit="1" customWidth="1"/>
    <col min="19" max="129" width="4.7109375" style="9" customWidth="1"/>
    <col min="130" max="16384" width="4.7109375" style="9"/>
  </cols>
  <sheetData>
    <row r="1" spans="2:18">
      <c r="C1" s="10"/>
    </row>
    <row r="2" spans="2:18" ht="16.5" thickBot="1">
      <c r="B2" s="42"/>
      <c r="C2" s="42"/>
      <c r="D2" s="43" t="s">
        <v>135</v>
      </c>
      <c r="E2" s="43"/>
      <c r="F2" s="43"/>
      <c r="G2" s="43"/>
      <c r="H2" s="43"/>
      <c r="I2" s="43"/>
      <c r="J2" s="43"/>
      <c r="K2" s="43"/>
      <c r="L2" s="43"/>
      <c r="M2" s="43"/>
      <c r="N2" s="43"/>
      <c r="O2" s="43"/>
      <c r="P2" s="43"/>
      <c r="Q2" s="43"/>
      <c r="R2" s="43"/>
    </row>
    <row r="3" spans="2:18" ht="15.75" thickTop="1">
      <c r="C3" s="10"/>
    </row>
    <row r="4" spans="2:18" s="44" customFormat="1" ht="14.45" customHeight="1">
      <c r="C4" s="45"/>
      <c r="D4" s="46" t="s">
        <v>123</v>
      </c>
      <c r="E4" s="46"/>
      <c r="F4" s="46"/>
      <c r="G4" s="46"/>
      <c r="H4" s="47"/>
      <c r="I4" s="48">
        <v>44927</v>
      </c>
      <c r="J4" s="47">
        <v>45292</v>
      </c>
      <c r="K4" s="47">
        <v>45658</v>
      </c>
      <c r="L4" s="47">
        <v>46023</v>
      </c>
      <c r="M4" s="47">
        <v>46388</v>
      </c>
      <c r="N4" s="47">
        <v>46753</v>
      </c>
      <c r="O4" s="47">
        <v>47119</v>
      </c>
      <c r="P4" s="47">
        <v>47484</v>
      </c>
      <c r="Q4" s="47">
        <v>47849</v>
      </c>
      <c r="R4" s="47">
        <v>48214</v>
      </c>
    </row>
    <row r="5" spans="2:18" s="44" customFormat="1" ht="12">
      <c r="C5" s="45"/>
      <c r="D5" s="46" t="s">
        <v>124</v>
      </c>
      <c r="E5" s="46"/>
      <c r="F5" s="46"/>
      <c r="G5" s="46"/>
      <c r="H5" s="47">
        <v>44926</v>
      </c>
      <c r="I5" s="47">
        <v>45291</v>
      </c>
      <c r="J5" s="47">
        <v>45657</v>
      </c>
      <c r="K5" s="47">
        <v>46022</v>
      </c>
      <c r="L5" s="47">
        <v>46387</v>
      </c>
      <c r="M5" s="47">
        <v>46752</v>
      </c>
      <c r="N5" s="47">
        <v>47118</v>
      </c>
      <c r="O5" s="47">
        <v>47483</v>
      </c>
      <c r="P5" s="47">
        <v>47848</v>
      </c>
      <c r="Q5" s="47">
        <v>48213</v>
      </c>
      <c r="R5" s="47">
        <v>48579</v>
      </c>
    </row>
    <row r="6" spans="2:18" s="44" customFormat="1" ht="12">
      <c r="C6" s="45"/>
      <c r="D6" s="46" t="s">
        <v>125</v>
      </c>
      <c r="E6" s="46"/>
      <c r="F6" s="46"/>
      <c r="G6" s="46"/>
      <c r="H6" s="46">
        <v>0</v>
      </c>
      <c r="I6" s="46">
        <v>1</v>
      </c>
      <c r="J6" s="46">
        <v>2</v>
      </c>
      <c r="K6" s="46">
        <v>3</v>
      </c>
      <c r="L6" s="46">
        <v>4</v>
      </c>
      <c r="M6" s="46">
        <v>5</v>
      </c>
      <c r="N6" s="46">
        <v>6</v>
      </c>
      <c r="O6" s="46">
        <v>7</v>
      </c>
      <c r="P6" s="46">
        <v>8</v>
      </c>
      <c r="Q6" s="46">
        <v>9</v>
      </c>
      <c r="R6" s="46">
        <v>10</v>
      </c>
    </row>
    <row r="8" spans="2:18" ht="16.5" thickBot="1">
      <c r="B8" s="42">
        <v>1</v>
      </c>
      <c r="C8" s="43" t="s">
        <v>126</v>
      </c>
      <c r="D8" s="43"/>
      <c r="E8" s="43"/>
      <c r="F8" s="43"/>
      <c r="G8" s="43"/>
      <c r="H8" s="43"/>
      <c r="I8" s="43"/>
      <c r="J8" s="43"/>
      <c r="K8" s="43"/>
      <c r="L8" s="43"/>
      <c r="M8" s="43"/>
      <c r="N8" s="43"/>
      <c r="O8" s="43"/>
      <c r="P8" s="43"/>
      <c r="Q8" s="43"/>
      <c r="R8" s="43"/>
    </row>
    <row r="9" spans="2:18" ht="15.75" thickTop="1">
      <c r="H9" s="49"/>
    </row>
    <row r="10" spans="2:18">
      <c r="D10" s="50" t="s">
        <v>127</v>
      </c>
      <c r="G10" s="45" t="s">
        <v>53</v>
      </c>
      <c r="H10" s="51" cm="1">
        <f t="array" ref="H10:R10">Assumptions!D82:N82</f>
        <v>5065396.5474999985</v>
      </c>
      <c r="I10" s="51">
        <v>7648802.5447463477</v>
      </c>
      <c r="J10" s="51">
        <v>9411851.5313103832</v>
      </c>
      <c r="K10" s="51">
        <v>10870688.51866349</v>
      </c>
      <c r="L10" s="51">
        <v>11756649.632934565</v>
      </c>
      <c r="M10" s="51">
        <v>12472629.595580282</v>
      </c>
      <c r="N10" s="51">
        <v>13232212.737951122</v>
      </c>
      <c r="O10" s="51">
        <v>14038054.493692348</v>
      </c>
      <c r="P10" s="51">
        <v>14892972.012358211</v>
      </c>
      <c r="Q10" s="51">
        <v>15799954.007910829</v>
      </c>
      <c r="R10" s="51">
        <v>16762171.206992595</v>
      </c>
    </row>
    <row r="11" spans="2:18">
      <c r="D11" s="50" t="s">
        <v>79</v>
      </c>
      <c r="G11" s="45" t="s">
        <v>53</v>
      </c>
      <c r="H11" s="51" cm="1">
        <f t="array" ref="H11:R11">Assumptions!D100:N100</f>
        <v>484796.44006985612</v>
      </c>
      <c r="I11" s="51">
        <v>732284.4899683242</v>
      </c>
      <c r="J11" s="51">
        <v>874171.37737087207</v>
      </c>
      <c r="K11" s="51">
        <v>992129.17791572248</v>
      </c>
      <c r="L11" s="51">
        <v>1066460.544257839</v>
      </c>
      <c r="M11" s="51">
        <v>1129588.5912919384</v>
      </c>
      <c r="N11" s="51">
        <v>1196505.7592463577</v>
      </c>
      <c r="O11" s="51">
        <v>1267442.0709760399</v>
      </c>
      <c r="P11" s="51">
        <v>1342641.6448163025</v>
      </c>
      <c r="Q11" s="51">
        <v>1422363.5652801422</v>
      </c>
      <c r="R11" s="51">
        <v>1506882.8079219612</v>
      </c>
    </row>
    <row r="12" spans="2:18" ht="15.75" thickBot="1">
      <c r="D12" s="52" t="s">
        <v>128</v>
      </c>
      <c r="E12" s="53"/>
      <c r="F12" s="53"/>
      <c r="G12" s="54" t="s">
        <v>53</v>
      </c>
      <c r="H12" s="55" cm="1">
        <f t="array" ref="H12:R12">_xlfn.ANCHORARRAY(H10)-_xlfn.ANCHORARRAY(H11)</f>
        <v>4580600.1074301424</v>
      </c>
      <c r="I12" s="55">
        <v>6916518.0547780236</v>
      </c>
      <c r="J12" s="55">
        <v>8537680.1539395116</v>
      </c>
      <c r="K12" s="55">
        <v>9878559.3407477681</v>
      </c>
      <c r="L12" s="55">
        <v>10690189.088676726</v>
      </c>
      <c r="M12" s="55">
        <v>11343041.004288344</v>
      </c>
      <c r="N12" s="55">
        <v>12035706.978704765</v>
      </c>
      <c r="O12" s="55">
        <v>12770612.422716308</v>
      </c>
      <c r="P12" s="55">
        <v>13550330.367541909</v>
      </c>
      <c r="Q12" s="55">
        <v>14377590.442630686</v>
      </c>
      <c r="R12" s="55">
        <v>15255288.399070634</v>
      </c>
    </row>
    <row r="13" spans="2:18" ht="15.75" thickTop="1"/>
    <row r="14" spans="2:18">
      <c r="D14" s="50" t="s">
        <v>65</v>
      </c>
      <c r="G14" s="45" t="s">
        <v>53</v>
      </c>
      <c r="H14" s="51" cm="1">
        <f t="array" ref="H14:R17">Assumptions!D104:N107</f>
        <v>1842431.5799999998</v>
      </c>
      <c r="I14" s="51">
        <v>2351160.0464500794</v>
      </c>
      <c r="J14" s="51">
        <v>2839025.756088471</v>
      </c>
      <c r="K14" s="51">
        <v>3216616.1816482376</v>
      </c>
      <c r="L14" s="51">
        <v>3478770.4004525691</v>
      </c>
      <c r="M14" s="51">
        <v>3690627.5178401307</v>
      </c>
      <c r="N14" s="51">
        <v>3915386.7336765947</v>
      </c>
      <c r="O14" s="51">
        <v>4153833.7857574997</v>
      </c>
      <c r="P14" s="51">
        <v>4406802.2633101316</v>
      </c>
      <c r="Q14" s="51">
        <v>4675176.5211457191</v>
      </c>
      <c r="R14" s="51">
        <v>4959894.7712834943</v>
      </c>
    </row>
    <row r="15" spans="2:18">
      <c r="D15" s="50" t="s">
        <v>129</v>
      </c>
      <c r="G15" s="45" t="s">
        <v>53</v>
      </c>
      <c r="H15" s="51">
        <v>765404.08000000007</v>
      </c>
      <c r="I15" s="51">
        <v>937676.06425550149</v>
      </c>
      <c r="J15" s="51">
        <v>1153810.3970663948</v>
      </c>
      <c r="K15" s="51">
        <v>1332651.0086116861</v>
      </c>
      <c r="L15" s="51">
        <v>1441262.0658135384</v>
      </c>
      <c r="M15" s="51">
        <v>1529034.9256215831</v>
      </c>
      <c r="N15" s="51">
        <v>1622153.1525919377</v>
      </c>
      <c r="O15" s="51">
        <v>1720942.2795847866</v>
      </c>
      <c r="P15" s="51">
        <v>1825747.6644115003</v>
      </c>
      <c r="Q15" s="51">
        <v>1936935.6971741607</v>
      </c>
      <c r="R15" s="51">
        <v>2054895.0811320674</v>
      </c>
    </row>
    <row r="16" spans="2:18">
      <c r="D16" s="50" t="s">
        <v>67</v>
      </c>
      <c r="G16" s="45" t="s">
        <v>53</v>
      </c>
      <c r="H16" s="51">
        <v>510638.62</v>
      </c>
      <c r="I16" s="51">
        <v>1824578.3326464326</v>
      </c>
      <c r="J16" s="51">
        <v>2098265.0825433978</v>
      </c>
      <c r="K16" s="51">
        <v>1731068.6930983032</v>
      </c>
      <c r="L16" s="51">
        <v>1872150.7915858149</v>
      </c>
      <c r="M16" s="51">
        <v>1986164.7747933913</v>
      </c>
      <c r="N16" s="51">
        <v>2107122.2095783087</v>
      </c>
      <c r="O16" s="51">
        <v>2235445.9521416277</v>
      </c>
      <c r="P16" s="51">
        <v>2371584.6106270533</v>
      </c>
      <c r="Q16" s="51">
        <v>2516014.113414241</v>
      </c>
      <c r="R16" s="51">
        <v>2669239.3729211683</v>
      </c>
    </row>
    <row r="17" spans="4:18">
      <c r="D17" s="50" t="s">
        <v>68</v>
      </c>
      <c r="G17" s="45" t="s">
        <v>53</v>
      </c>
      <c r="H17" s="51">
        <v>92351.77</v>
      </c>
      <c r="I17" s="51">
        <v>117851.75319397589</v>
      </c>
      <c r="J17" s="51">
        <v>142305.99198172591</v>
      </c>
      <c r="K17" s="51">
        <v>161232.68891529544</v>
      </c>
      <c r="L17" s="51">
        <v>174373.15306189202</v>
      </c>
      <c r="M17" s="51">
        <v>184992.47808336129</v>
      </c>
      <c r="N17" s="51">
        <v>196258.51999863796</v>
      </c>
      <c r="O17" s="51">
        <v>208210.66386655506</v>
      </c>
      <c r="P17" s="51">
        <v>220890.69329602827</v>
      </c>
      <c r="Q17" s="51">
        <v>234342.9365177564</v>
      </c>
      <c r="R17" s="51">
        <v>248614.42135168778</v>
      </c>
    </row>
    <row r="18" spans="4:18">
      <c r="D18" s="50" t="s">
        <v>80</v>
      </c>
      <c r="G18" s="45" t="s">
        <v>53</v>
      </c>
      <c r="H18" s="51" cm="1">
        <f t="array" ref="H18:R18">Assumptions!D133:N133</f>
        <v>117000.42814622402</v>
      </c>
      <c r="I18" s="51">
        <v>149243.1846714968</v>
      </c>
      <c r="J18" s="51">
        <v>181816.39952112915</v>
      </c>
      <c r="K18" s="51">
        <v>207006.9764656763</v>
      </c>
      <c r="L18" s="51">
        <v>224217.52604018975</v>
      </c>
      <c r="M18" s="51">
        <v>237922.33736358103</v>
      </c>
      <c r="N18" s="51">
        <v>252462.17628753709</v>
      </c>
      <c r="O18" s="51">
        <v>267887.77443746949</v>
      </c>
      <c r="P18" s="51">
        <v>284252.93734439707</v>
      </c>
      <c r="Q18" s="51">
        <v>301614.73021214351</v>
      </c>
      <c r="R18" s="51">
        <v>320033.67488132621</v>
      </c>
    </row>
    <row r="19" spans="4:18">
      <c r="D19" s="56" t="s">
        <v>52</v>
      </c>
      <c r="E19" s="57"/>
      <c r="F19" s="57"/>
      <c r="G19" s="58" t="s">
        <v>53</v>
      </c>
      <c r="H19" s="59" cm="1">
        <f t="array" ref="H19:R19">Assumptions!D111:N111</f>
        <v>357911</v>
      </c>
      <c r="I19" s="59">
        <v>447388.75</v>
      </c>
      <c r="J19" s="59">
        <v>469758.1875</v>
      </c>
      <c r="K19" s="59">
        <v>483850.93312499998</v>
      </c>
      <c r="L19" s="59">
        <v>498366.46111874998</v>
      </c>
      <c r="M19" s="59">
        <v>513317.45495231252</v>
      </c>
      <c r="N19" s="59">
        <v>528716.97860088188</v>
      </c>
      <c r="O19" s="59">
        <v>544578.48795890831</v>
      </c>
      <c r="P19" s="59">
        <v>560915.84259767563</v>
      </c>
      <c r="Q19" s="59">
        <v>577743.31787560589</v>
      </c>
      <c r="R19" s="59">
        <v>595075.61741187412</v>
      </c>
    </row>
    <row r="20" spans="4:18">
      <c r="D20" s="60" t="s">
        <v>130</v>
      </c>
      <c r="G20" s="61" t="s">
        <v>53</v>
      </c>
      <c r="H20" s="62">
        <f>SUM(H14:H19)</f>
        <v>3685737.4781462243</v>
      </c>
      <c r="I20" s="62">
        <f t="shared" ref="I20:R20" si="0">SUM(I14:I19)</f>
        <v>5827898.1312174872</v>
      </c>
      <c r="J20" s="62">
        <f t="shared" si="0"/>
        <v>6884981.8147011194</v>
      </c>
      <c r="K20" s="62">
        <f t="shared" si="0"/>
        <v>7132426.481864199</v>
      </c>
      <c r="L20" s="62">
        <f t="shared" si="0"/>
        <v>7689140.398072755</v>
      </c>
      <c r="M20" s="62">
        <f t="shared" si="0"/>
        <v>8142059.4886543602</v>
      </c>
      <c r="N20" s="62">
        <f t="shared" si="0"/>
        <v>8622099.7707338985</v>
      </c>
      <c r="O20" s="62">
        <f t="shared" si="0"/>
        <v>9130898.943746848</v>
      </c>
      <c r="P20" s="62">
        <f t="shared" si="0"/>
        <v>9670194.0115867872</v>
      </c>
      <c r="Q20" s="62">
        <f t="shared" si="0"/>
        <v>10241827.316339625</v>
      </c>
      <c r="R20" s="62">
        <f t="shared" si="0"/>
        <v>10847752.938981619</v>
      </c>
    </row>
    <row r="21" spans="4:18">
      <c r="G21" s="45"/>
    </row>
    <row r="22" spans="4:18" ht="15.75" thickBot="1">
      <c r="D22" s="52" t="s">
        <v>131</v>
      </c>
      <c r="E22" s="53"/>
      <c r="F22" s="53"/>
      <c r="G22" s="54" t="s">
        <v>53</v>
      </c>
      <c r="H22" s="55">
        <f>H12-H20</f>
        <v>894862.62928391807</v>
      </c>
      <c r="I22" s="55">
        <f t="shared" ref="I22:R22" si="1">I12-I20</f>
        <v>1088619.9235605365</v>
      </c>
      <c r="J22" s="55">
        <f t="shared" si="1"/>
        <v>1652698.3392383922</v>
      </c>
      <c r="K22" s="55">
        <f t="shared" si="1"/>
        <v>2746132.858883569</v>
      </c>
      <c r="L22" s="55">
        <f t="shared" si="1"/>
        <v>3001048.6906039715</v>
      </c>
      <c r="M22" s="55">
        <f t="shared" si="1"/>
        <v>3200981.5156339835</v>
      </c>
      <c r="N22" s="55">
        <f t="shared" si="1"/>
        <v>3413607.2079708669</v>
      </c>
      <c r="O22" s="55">
        <f t="shared" si="1"/>
        <v>3639713.4789694604</v>
      </c>
      <c r="P22" s="55">
        <f t="shared" si="1"/>
        <v>3880136.355955122</v>
      </c>
      <c r="Q22" s="55">
        <f t="shared" si="1"/>
        <v>4135763.1262910608</v>
      </c>
      <c r="R22" s="55">
        <f t="shared" si="1"/>
        <v>4407535.4600890148</v>
      </c>
    </row>
    <row r="23" spans="4:18" ht="15.75" thickTop="1">
      <c r="G23" s="45"/>
    </row>
    <row r="24" spans="4:18">
      <c r="D24" s="50" t="s">
        <v>56</v>
      </c>
      <c r="G24" s="45" t="s">
        <v>53</v>
      </c>
      <c r="H24" s="51" cm="1">
        <f t="array" ref="H24:R26">Assumptions!D112:N114</f>
        <v>114515.00268575357</v>
      </c>
      <c r="I24" s="51">
        <v>172912.9513694506</v>
      </c>
      <c r="J24" s="51">
        <v>213442.0038484878</v>
      </c>
      <c r="K24" s="51">
        <v>246963.98351869421</v>
      </c>
      <c r="L24" s="51">
        <v>267254.7272169182</v>
      </c>
      <c r="M24" s="51">
        <v>283576.02510720858</v>
      </c>
      <c r="N24" s="51">
        <v>300892.67446761916</v>
      </c>
      <c r="O24" s="51">
        <v>319265.31056790776</v>
      </c>
      <c r="P24" s="51">
        <v>338758.25918854773</v>
      </c>
      <c r="Q24" s="51">
        <v>359439.76106576715</v>
      </c>
      <c r="R24" s="51">
        <v>381382.20997676585</v>
      </c>
    </row>
    <row r="25" spans="4:18">
      <c r="D25" s="50" t="s">
        <v>58</v>
      </c>
      <c r="G25" s="45" t="s">
        <v>53</v>
      </c>
      <c r="H25" s="51">
        <v>183224.00429720568</v>
      </c>
      <c r="I25" s="51">
        <v>276660.72219112096</v>
      </c>
      <c r="J25" s="51">
        <v>341507.20615758048</v>
      </c>
      <c r="K25" s="51">
        <v>395142.37362991075</v>
      </c>
      <c r="L25" s="51">
        <v>427607.56354706909</v>
      </c>
      <c r="M25" s="51">
        <v>453721.64017153374</v>
      </c>
      <c r="N25" s="51">
        <v>481428.27914819063</v>
      </c>
      <c r="O25" s="51">
        <v>510824.49690865236</v>
      </c>
      <c r="P25" s="51">
        <v>542013.21470167639</v>
      </c>
      <c r="Q25" s="51">
        <v>575103.61770522746</v>
      </c>
      <c r="R25" s="51">
        <v>610211.53596282541</v>
      </c>
    </row>
    <row r="26" spans="4:18">
      <c r="D26" s="56" t="s">
        <v>59</v>
      </c>
      <c r="E26" s="57"/>
      <c r="F26" s="57"/>
      <c r="G26" s="58" t="s">
        <v>53</v>
      </c>
      <c r="H26" s="59">
        <v>511237</v>
      </c>
      <c r="I26" s="59">
        <v>639046.25</v>
      </c>
      <c r="J26" s="59">
        <v>670998.5625</v>
      </c>
      <c r="K26" s="59">
        <v>740891.95055608253</v>
      </c>
      <c r="L26" s="59">
        <v>801764.18165075441</v>
      </c>
      <c r="M26" s="59">
        <v>850728.0753216258</v>
      </c>
      <c r="N26" s="59">
        <v>902678.02340285736</v>
      </c>
      <c r="O26" s="59">
        <v>957795.93170372304</v>
      </c>
      <c r="P26" s="59">
        <v>1016274.7775656432</v>
      </c>
      <c r="Q26" s="59">
        <v>1078319.2831973014</v>
      </c>
      <c r="R26" s="59">
        <v>1144146.6299302974</v>
      </c>
    </row>
    <row r="27" spans="4:18">
      <c r="D27" s="60" t="s">
        <v>132</v>
      </c>
      <c r="G27" s="61" t="s">
        <v>53</v>
      </c>
      <c r="H27" s="62">
        <f>SUM(H24:H26)</f>
        <v>808976.00698295922</v>
      </c>
      <c r="I27" s="62">
        <f t="shared" ref="I27:R27" si="2">SUM(I24:I26)</f>
        <v>1088619.9235605716</v>
      </c>
      <c r="J27" s="62">
        <f t="shared" si="2"/>
        <v>1225947.7725060682</v>
      </c>
      <c r="K27" s="62">
        <f t="shared" si="2"/>
        <v>1382998.3077046876</v>
      </c>
      <c r="L27" s="62">
        <f t="shared" si="2"/>
        <v>1496626.4724147418</v>
      </c>
      <c r="M27" s="62">
        <f t="shared" si="2"/>
        <v>1588025.740600368</v>
      </c>
      <c r="N27" s="62">
        <f t="shared" si="2"/>
        <v>1684998.9770186672</v>
      </c>
      <c r="O27" s="62">
        <f t="shared" si="2"/>
        <v>1787885.7391802832</v>
      </c>
      <c r="P27" s="62">
        <f t="shared" si="2"/>
        <v>1897046.2514558672</v>
      </c>
      <c r="Q27" s="62">
        <f t="shared" si="2"/>
        <v>2012862.6619682959</v>
      </c>
      <c r="R27" s="62">
        <f t="shared" si="2"/>
        <v>2135740.3758698888</v>
      </c>
    </row>
    <row r="28" spans="4:18">
      <c r="G28" s="45"/>
    </row>
    <row r="29" spans="4:18" ht="15.75" thickBot="1">
      <c r="D29" s="52" t="s">
        <v>133</v>
      </c>
      <c r="E29" s="53"/>
      <c r="F29" s="53"/>
      <c r="G29" s="54" t="s">
        <v>53</v>
      </c>
      <c r="H29" s="55">
        <f>H22-H27</f>
        <v>85886.622300958843</v>
      </c>
      <c r="I29" s="55">
        <f t="shared" ref="I29:R29" si="3">I22-I27</f>
        <v>-3.5157427191734314E-8</v>
      </c>
      <c r="J29" s="55">
        <f t="shared" si="3"/>
        <v>426750.56673232396</v>
      </c>
      <c r="K29" s="55">
        <f t="shared" si="3"/>
        <v>1363134.5511788814</v>
      </c>
      <c r="L29" s="55">
        <f t="shared" si="3"/>
        <v>1504422.2181892297</v>
      </c>
      <c r="M29" s="55">
        <f t="shared" si="3"/>
        <v>1612955.7750336155</v>
      </c>
      <c r="N29" s="55">
        <f t="shared" si="3"/>
        <v>1728608.2309521998</v>
      </c>
      <c r="O29" s="55">
        <f t="shared" si="3"/>
        <v>1851827.7397891772</v>
      </c>
      <c r="P29" s="55">
        <f t="shared" si="3"/>
        <v>1983090.1044992548</v>
      </c>
      <c r="Q29" s="55">
        <f t="shared" si="3"/>
        <v>2122900.4643227649</v>
      </c>
      <c r="R29" s="55">
        <f t="shared" si="3"/>
        <v>2271795.084219126</v>
      </c>
    </row>
    <row r="30" spans="4:18" ht="15.75" thickTop="1">
      <c r="D30" s="63" t="s">
        <v>134</v>
      </c>
      <c r="G30" s="64" t="s">
        <v>82</v>
      </c>
      <c r="H30" s="65">
        <f>H29/H12</f>
        <v>1.8750080838020124E-2</v>
      </c>
      <c r="I30" s="65">
        <f t="shared" ref="I30:R30" si="4">I29/I12</f>
        <v>-5.0831107376994542E-15</v>
      </c>
      <c r="J30" s="65">
        <f t="shared" si="4"/>
        <v>4.9984370348590532E-2</v>
      </c>
      <c r="K30" s="65">
        <f t="shared" si="4"/>
        <v>0.13798920512185711</v>
      </c>
      <c r="L30" s="65">
        <f t="shared" si="4"/>
        <v>0.14072924301991491</v>
      </c>
      <c r="M30" s="65">
        <f t="shared" si="4"/>
        <v>0.14219782635219447</v>
      </c>
      <c r="N30" s="65">
        <f t="shared" si="4"/>
        <v>0.14362332300135688</v>
      </c>
      <c r="O30" s="65">
        <f t="shared" si="4"/>
        <v>0.14500696430933527</v>
      </c>
      <c r="P30" s="65">
        <f t="shared" si="4"/>
        <v>0.14634994503525128</v>
      </c>
      <c r="Q30" s="65">
        <f t="shared" si="4"/>
        <v>0.1476534244589551</v>
      </c>
      <c r="R30" s="65">
        <f t="shared" si="4"/>
        <v>0.14891852745029233</v>
      </c>
    </row>
    <row r="31" spans="4:18">
      <c r="H31" s="49"/>
    </row>
    <row r="1000" spans="648:648" ht="15.75">
      <c r="XX1000" s="83">
        <v>125713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B65A7-424A-4357-8AC5-967C4BFBA11A}">
  <sheetPr codeName="Sheet4">
    <tabColor theme="9" tint="0.39997558519241921"/>
  </sheetPr>
  <dimension ref="B2:XX1000"/>
  <sheetViews>
    <sheetView showGridLines="0" topLeftCell="A3" workbookViewId="0">
      <selection activeCell="E45" sqref="E45"/>
    </sheetView>
  </sheetViews>
  <sheetFormatPr defaultColWidth="8.78515625" defaultRowHeight="15"/>
  <cols>
    <col min="1" max="1" width="1.92578125" style="9" customWidth="1"/>
    <col min="2" max="2" width="2.5703125" style="9" customWidth="1"/>
    <col min="3" max="3" width="58.5703125" style="9" customWidth="1"/>
    <col min="4" max="4" width="8.85546875" style="9" bestFit="1" customWidth="1"/>
    <col min="5" max="5" width="8.78515625" style="9"/>
    <col min="6" max="6" width="14.85546875" style="9" customWidth="1"/>
    <col min="7" max="16384" width="8.78515625" style="9"/>
  </cols>
  <sheetData>
    <row r="2" spans="2:11" s="1" customFormat="1" ht="30">
      <c r="B2" s="88" t="s">
        <v>0</v>
      </c>
      <c r="C2" s="88"/>
      <c r="D2" s="88"/>
      <c r="E2" s="88"/>
      <c r="F2" s="3"/>
    </row>
    <row r="3" spans="2:11" s="1" customFormat="1" ht="15.75">
      <c r="B3" s="3"/>
      <c r="C3" s="3"/>
      <c r="D3" s="2"/>
      <c r="E3" s="3"/>
      <c r="F3" s="3"/>
    </row>
    <row r="4" spans="2:11" s="1" customFormat="1" ht="25.5">
      <c r="B4" s="85" t="s">
        <v>20</v>
      </c>
      <c r="C4" s="85"/>
      <c r="D4" s="85"/>
      <c r="E4" s="85"/>
      <c r="F4" s="3"/>
    </row>
    <row r="5" spans="2:11" s="1" customFormat="1" ht="15.75" customHeight="1">
      <c r="B5" s="3"/>
      <c r="C5" s="3"/>
      <c r="D5" s="2"/>
      <c r="E5" s="3"/>
      <c r="F5" s="3"/>
    </row>
    <row r="6" spans="2:11" s="1" customFormat="1" ht="15.75" customHeight="1">
      <c r="B6" s="3"/>
      <c r="C6" s="3"/>
      <c r="D6" s="2"/>
      <c r="E6" s="3"/>
      <c r="F6" s="3"/>
    </row>
    <row r="7" spans="2:11" s="1" customFormat="1" ht="15.75">
      <c r="B7" s="3"/>
      <c r="C7" s="3"/>
      <c r="D7" s="2"/>
      <c r="E7" s="3"/>
      <c r="F7" s="3"/>
    </row>
    <row r="8" spans="2:11" s="1" customFormat="1" ht="15.75">
      <c r="B8" s="3"/>
      <c r="C8" s="3"/>
      <c r="D8" s="2"/>
      <c r="E8" s="3"/>
      <c r="F8" s="3"/>
    </row>
    <row r="9" spans="2:11" s="1" customFormat="1" ht="15.75">
      <c r="B9" s="3"/>
      <c r="C9" s="3"/>
      <c r="D9" s="2"/>
      <c r="E9" s="3"/>
      <c r="F9" s="3"/>
    </row>
    <row r="10" spans="2:11" s="1" customFormat="1" ht="15.75">
      <c r="B10" s="3"/>
      <c r="C10" s="3"/>
      <c r="D10" s="2"/>
      <c r="E10" s="3"/>
      <c r="F10" s="3"/>
    </row>
    <row r="11" spans="2:11" s="1" customFormat="1" ht="15.75">
      <c r="B11" s="3"/>
      <c r="C11" s="3"/>
      <c r="D11" s="2"/>
      <c r="E11" s="3"/>
      <c r="F11" s="3"/>
      <c r="G11" s="3"/>
      <c r="H11" s="3"/>
      <c r="I11" s="3"/>
      <c r="J11" s="3"/>
      <c r="K11" s="3"/>
    </row>
    <row r="12" spans="2:11" s="1" customFormat="1" ht="15.75">
      <c r="B12" s="3"/>
      <c r="C12" s="3"/>
      <c r="D12" s="2"/>
      <c r="E12" s="3"/>
      <c r="F12" s="3"/>
      <c r="G12" s="3"/>
      <c r="H12" s="3"/>
      <c r="I12" s="3"/>
      <c r="J12" s="3"/>
      <c r="K12" s="3"/>
    </row>
    <row r="13" spans="2:11" s="1" customFormat="1" ht="15.75">
      <c r="B13" s="3"/>
      <c r="C13" s="3"/>
      <c r="D13" s="2"/>
      <c r="E13" s="3"/>
      <c r="F13" s="3"/>
      <c r="G13" s="3"/>
      <c r="H13" s="3"/>
      <c r="I13" s="3"/>
      <c r="J13" s="3"/>
      <c r="K13" s="3"/>
    </row>
    <row r="14" spans="2:11" s="1" customFormat="1" ht="15.75">
      <c r="B14" s="3"/>
      <c r="C14" s="3"/>
      <c r="D14" s="2"/>
      <c r="E14" s="3"/>
      <c r="F14" s="3"/>
      <c r="G14" s="3"/>
      <c r="H14" s="3"/>
      <c r="I14" s="3"/>
      <c r="J14" s="3"/>
      <c r="K14" s="3"/>
    </row>
    <row r="15" spans="2:11" s="1" customFormat="1" ht="15.75">
      <c r="B15" s="3"/>
      <c r="C15" s="3"/>
      <c r="D15" s="2"/>
      <c r="E15" s="3"/>
      <c r="F15" s="3"/>
      <c r="G15" s="3"/>
      <c r="H15" s="3"/>
      <c r="I15" s="3"/>
      <c r="J15" s="3"/>
      <c r="K15" s="3"/>
    </row>
    <row r="16" spans="2:11" s="1" customFormat="1" ht="15.75">
      <c r="B16" s="3"/>
      <c r="C16" s="3"/>
      <c r="D16" s="2"/>
      <c r="E16" s="3"/>
      <c r="F16" s="3"/>
      <c r="G16" s="3"/>
      <c r="H16" s="3"/>
      <c r="I16" s="3"/>
      <c r="J16" s="3"/>
      <c r="K16" s="3"/>
    </row>
    <row r="17" spans="2:11" s="1" customFormat="1" ht="15.75">
      <c r="B17" s="3"/>
      <c r="C17" s="3"/>
      <c r="D17" s="2"/>
      <c r="E17" s="3"/>
      <c r="F17" s="3"/>
      <c r="G17" s="3"/>
      <c r="H17" s="3"/>
      <c r="I17" s="3"/>
      <c r="J17" s="3"/>
      <c r="K17" s="3"/>
    </row>
    <row r="18" spans="2:11" s="1" customFormat="1" ht="15.75">
      <c r="B18" s="3"/>
      <c r="C18" s="3"/>
      <c r="D18" s="2"/>
      <c r="E18" s="3"/>
      <c r="F18" s="3"/>
      <c r="G18" s="3"/>
      <c r="H18" s="3"/>
      <c r="I18" s="3"/>
      <c r="J18" s="3"/>
      <c r="K18" s="3"/>
    </row>
    <row r="19" spans="2:11" s="1" customFormat="1" ht="15.75">
      <c r="B19" s="3"/>
      <c r="C19" s="3"/>
      <c r="D19" s="2"/>
      <c r="E19" s="3"/>
      <c r="F19" s="3"/>
      <c r="G19" s="3"/>
      <c r="H19" s="3"/>
      <c r="I19" s="3"/>
      <c r="J19" s="3"/>
      <c r="K19" s="3"/>
    </row>
    <row r="20" spans="2:11" s="1" customFormat="1" ht="25.5">
      <c r="B20" s="85" t="s">
        <v>1</v>
      </c>
      <c r="C20" s="85"/>
      <c r="D20" s="85"/>
      <c r="E20" s="85"/>
    </row>
    <row r="21" spans="2:11" s="1" customFormat="1" ht="15.75"/>
    <row r="22" spans="2:11" s="2" customFormat="1" ht="15.75">
      <c r="B22" s="4" t="s">
        <v>14</v>
      </c>
    </row>
    <row r="23" spans="2:11">
      <c r="B23" s="13"/>
      <c r="C23" s="13"/>
    </row>
    <row r="24" spans="2:11" ht="15.75">
      <c r="B24" s="74" t="s">
        <v>10</v>
      </c>
      <c r="C24" s="75" t="s">
        <v>11</v>
      </c>
      <c r="D24" s="74" t="s">
        <v>2</v>
      </c>
      <c r="E24" s="74" t="s">
        <v>3</v>
      </c>
      <c r="F24" s="76" t="s">
        <v>16</v>
      </c>
      <c r="G24" s="28"/>
    </row>
    <row r="25" spans="2:11" ht="15.75">
      <c r="B25" s="70">
        <v>1</v>
      </c>
      <c r="C25" s="71" t="s">
        <v>25</v>
      </c>
      <c r="D25" s="72">
        <v>10</v>
      </c>
      <c r="E25" s="77">
        <v>302443</v>
      </c>
      <c r="F25" s="73" t="s">
        <v>103</v>
      </c>
      <c r="G25" s="38"/>
    </row>
    <row r="26" spans="2:11" ht="15.75">
      <c r="B26" s="66">
        <v>2</v>
      </c>
      <c r="C26" s="67" t="s">
        <v>26</v>
      </c>
      <c r="D26" s="68">
        <v>20</v>
      </c>
      <c r="E26" s="78">
        <v>1842431.5799999998</v>
      </c>
      <c r="F26" s="69" t="s">
        <v>104</v>
      </c>
      <c r="G26" s="38"/>
    </row>
    <row r="27" spans="2:11" ht="15.75">
      <c r="B27" s="70">
        <v>3</v>
      </c>
      <c r="C27" s="71" t="s">
        <v>27</v>
      </c>
      <c r="D27" s="72">
        <v>15</v>
      </c>
      <c r="E27" s="78">
        <v>92351.77</v>
      </c>
      <c r="F27" s="73" t="s">
        <v>105</v>
      </c>
      <c r="G27" s="38"/>
    </row>
    <row r="28" spans="2:11" ht="15.75">
      <c r="B28" s="70">
        <v>4</v>
      </c>
      <c r="C28" s="71" t="s">
        <v>28</v>
      </c>
      <c r="D28" s="72">
        <v>20</v>
      </c>
      <c r="E28" s="77">
        <v>17450.9611</v>
      </c>
      <c r="F28" s="73" t="s">
        <v>106</v>
      </c>
      <c r="G28" s="38"/>
    </row>
    <row r="29" spans="2:11" ht="15.75">
      <c r="B29" s="70">
        <v>5</v>
      </c>
      <c r="C29" s="71" t="s">
        <v>29</v>
      </c>
      <c r="D29" s="72">
        <v>25</v>
      </c>
      <c r="E29" s="80">
        <v>16.748268425786012</v>
      </c>
      <c r="F29" s="73" t="s">
        <v>121</v>
      </c>
      <c r="G29" s="39"/>
    </row>
    <row r="30" spans="2:11" ht="15.75">
      <c r="B30" s="70">
        <v>6</v>
      </c>
      <c r="C30" s="71" t="s">
        <v>30</v>
      </c>
      <c r="D30" s="72">
        <v>25</v>
      </c>
      <c r="E30" s="79">
        <v>4580600.1074301433</v>
      </c>
      <c r="F30" s="73" t="s">
        <v>107</v>
      </c>
      <c r="G30" s="38"/>
    </row>
    <row r="31" spans="2:11" ht="15.75">
      <c r="B31" s="70">
        <v>7</v>
      </c>
      <c r="C31" s="71" t="s">
        <v>31</v>
      </c>
      <c r="D31" s="72">
        <v>25</v>
      </c>
      <c r="E31" s="79">
        <v>117000.42814622402</v>
      </c>
      <c r="F31" s="73" t="s">
        <v>108</v>
      </c>
      <c r="G31" s="38"/>
    </row>
    <row r="32" spans="2:11" ht="15.75">
      <c r="B32" s="70">
        <v>8</v>
      </c>
      <c r="C32" s="71" t="s">
        <v>32</v>
      </c>
      <c r="D32" s="72">
        <v>35</v>
      </c>
      <c r="E32" s="79">
        <v>85886.622300958843</v>
      </c>
      <c r="F32" s="73" t="s">
        <v>109</v>
      </c>
      <c r="G32" s="38"/>
    </row>
    <row r="33" spans="2:7" ht="15.75">
      <c r="B33" s="70">
        <v>9</v>
      </c>
      <c r="C33" s="71" t="s">
        <v>33</v>
      </c>
      <c r="D33" s="72">
        <v>15</v>
      </c>
      <c r="E33" s="77">
        <v>378053.75</v>
      </c>
      <c r="F33" s="73" t="s">
        <v>110</v>
      </c>
      <c r="G33" s="38"/>
    </row>
    <row r="34" spans="2:7" ht="15.75">
      <c r="B34" s="70">
        <v>10</v>
      </c>
      <c r="C34" s="71" t="s">
        <v>34</v>
      </c>
      <c r="D34" s="72">
        <v>20</v>
      </c>
      <c r="E34" s="77">
        <v>70141.612742399971</v>
      </c>
      <c r="F34" s="73" t="s">
        <v>111</v>
      </c>
      <c r="G34" s="38"/>
    </row>
    <row r="35" spans="2:7" ht="15.75">
      <c r="B35" s="70">
        <v>11</v>
      </c>
      <c r="C35" s="71" t="s">
        <v>35</v>
      </c>
      <c r="D35" s="72">
        <v>35</v>
      </c>
      <c r="E35" s="77">
        <v>5138758.1238221563</v>
      </c>
      <c r="F35" s="73" t="s">
        <v>112</v>
      </c>
      <c r="G35" s="38"/>
    </row>
    <row r="36" spans="2:7" ht="15.75">
      <c r="B36" s="70">
        <v>12</v>
      </c>
      <c r="C36" s="71" t="s">
        <v>36</v>
      </c>
      <c r="D36" s="72">
        <v>20</v>
      </c>
      <c r="E36" s="80">
        <v>43.313719253832048</v>
      </c>
      <c r="F36" s="73" t="s">
        <v>120</v>
      </c>
      <c r="G36" s="39"/>
    </row>
    <row r="37" spans="2:7" ht="15.75">
      <c r="B37" s="70">
        <v>13</v>
      </c>
      <c r="C37" s="71" t="s">
        <v>37</v>
      </c>
      <c r="D37" s="72">
        <v>40</v>
      </c>
      <c r="E37" s="79">
        <v>105483554.8955929</v>
      </c>
      <c r="F37" s="73" t="s">
        <v>113</v>
      </c>
      <c r="G37" s="38"/>
    </row>
    <row r="38" spans="2:7" ht="15.75">
      <c r="B38" s="70">
        <v>14</v>
      </c>
      <c r="C38" s="71" t="s">
        <v>38</v>
      </c>
      <c r="D38" s="72">
        <v>25</v>
      </c>
      <c r="E38" s="79">
        <v>17458771.508631345</v>
      </c>
      <c r="F38" s="73" t="s">
        <v>114</v>
      </c>
      <c r="G38" s="38"/>
    </row>
    <row r="39" spans="2:7" ht="31.5">
      <c r="B39" s="70">
        <v>15</v>
      </c>
      <c r="C39" s="71" t="s">
        <v>39</v>
      </c>
      <c r="D39" s="72">
        <v>25</v>
      </c>
      <c r="E39" s="81">
        <v>2.2469999999999997E-2</v>
      </c>
      <c r="F39" s="73" t="s">
        <v>122</v>
      </c>
      <c r="G39" s="40"/>
    </row>
    <row r="40" spans="2:7" ht="15.75">
      <c r="B40" s="70">
        <v>16</v>
      </c>
      <c r="C40" s="71" t="s">
        <v>40</v>
      </c>
      <c r="D40" s="72">
        <v>25</v>
      </c>
      <c r="E40" s="79">
        <v>2574653.9681779398</v>
      </c>
      <c r="F40" s="73" t="s">
        <v>115</v>
      </c>
      <c r="G40" s="38"/>
    </row>
    <row r="41" spans="2:7" ht="15.75">
      <c r="B41" s="70">
        <v>17</v>
      </c>
      <c r="C41" s="71" t="s">
        <v>41</v>
      </c>
      <c r="D41" s="72">
        <v>20</v>
      </c>
      <c r="E41" s="79">
        <v>7983467.7334596831</v>
      </c>
      <c r="F41" s="73" t="s">
        <v>116</v>
      </c>
      <c r="G41" s="38"/>
    </row>
    <row r="42" spans="2:7" ht="15.75">
      <c r="B42" s="70">
        <v>18</v>
      </c>
      <c r="C42" s="71" t="s">
        <v>42</v>
      </c>
      <c r="D42" s="72">
        <v>25</v>
      </c>
      <c r="E42" s="79">
        <v>9681137.6320017613</v>
      </c>
      <c r="F42" s="73" t="s">
        <v>117</v>
      </c>
      <c r="G42" s="38"/>
    </row>
    <row r="43" spans="2:7" ht="63">
      <c r="B43" s="70">
        <v>19</v>
      </c>
      <c r="C43" s="71" t="s">
        <v>43</v>
      </c>
      <c r="D43" s="72">
        <v>25</v>
      </c>
      <c r="E43" s="82">
        <v>-1757739.7097034333</v>
      </c>
      <c r="F43" s="73" t="s">
        <v>118</v>
      </c>
      <c r="G43" s="38"/>
    </row>
    <row r="44" spans="2:7" ht="78.75">
      <c r="B44" s="70">
        <v>20</v>
      </c>
      <c r="C44" s="71" t="s">
        <v>44</v>
      </c>
      <c r="D44" s="72">
        <v>50</v>
      </c>
      <c r="E44" s="81">
        <f>Assumptions!E49</f>
        <v>0.47910562455726907</v>
      </c>
      <c r="F44" s="73" t="s">
        <v>119</v>
      </c>
      <c r="G44" s="41"/>
    </row>
    <row r="1000" spans="648:648" ht="15.75">
      <c r="XX1000" s="83">
        <v>125713</v>
      </c>
    </row>
  </sheetData>
  <mergeCells count="3">
    <mergeCell ref="B4:E4"/>
    <mergeCell ref="B2:E2"/>
    <mergeCell ref="B20:E2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026A253F9D34418D92E89FCD085A69" ma:contentTypeVersion="3" ma:contentTypeDescription="Create a new document." ma:contentTypeScope="" ma:versionID="744ab90f4a27f17b327fb6171af18057">
  <xsd:schema xmlns:xsd="http://www.w3.org/2001/XMLSchema" xmlns:xs="http://www.w3.org/2001/XMLSchema" xmlns:p="http://schemas.microsoft.com/office/2006/metadata/properties" xmlns:ns3="53472db5-b091-4940-916c-b6d0a452e361" targetNamespace="http://schemas.microsoft.com/office/2006/metadata/properties" ma:root="true" ma:fieldsID="87cd2bc714c4280836de24446fd5afa2" ns3:_="">
    <xsd:import namespace="53472db5-b091-4940-916c-b6d0a452e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72db5-b091-4940-916c-b6d0a452e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1585DB-EFEA-4362-8EE5-D22CF88F1E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72db5-b091-4940-916c-b6d0a452e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57A60A-691C-430C-A008-1CCB712ECAAD}">
  <ds:schemaRefs>
    <ds:schemaRef ds:uri="http://schemas.microsoft.com/sharepoint/v3/contenttype/forms"/>
  </ds:schemaRefs>
</ds:datastoreItem>
</file>

<file path=customXml/itemProps3.xml><?xml version="1.0" encoding="utf-8"?>
<ds:datastoreItem xmlns:ds="http://schemas.openxmlformats.org/officeDocument/2006/customXml" ds:itemID="{5E40E275-6468-4A6D-A9EE-ED7F73FC5CF6}">
  <ds:schemaRefs>
    <ds:schemaRef ds:uri="http://schemas.microsoft.com/office/2006/documentManagement/types"/>
    <ds:schemaRef ds:uri="http://purl.org/dc/terms/"/>
    <ds:schemaRef ds:uri="http://schemas.openxmlformats.org/package/2006/metadata/core-properties"/>
    <ds:schemaRef ds:uri="http://purl.org/dc/dcmitype/"/>
    <ds:schemaRef ds:uri="http://www.w3.org/XML/1998/namespace"/>
    <ds:schemaRef ds:uri="http://schemas.microsoft.com/office/2006/metadata/properties"/>
    <ds:schemaRef ds:uri="53472db5-b091-4940-916c-b6d0a452e361"/>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Overall Instructions</vt:lpstr>
      <vt:lpstr>Case Instructions</vt:lpstr>
      <vt:lpstr>Assumptions</vt:lpstr>
      <vt:lpstr>Model Template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Maciej Kopczyński</cp:lastModifiedBy>
  <cp:lastPrinted>2024-03-25T20:37:46Z</cp:lastPrinted>
  <dcterms:created xsi:type="dcterms:W3CDTF">2023-09-25T20:39:06Z</dcterms:created>
  <dcterms:modified xsi:type="dcterms:W3CDTF">2024-11-02T14:30:47Z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0x010100AA026A253F9D34418D92E89FCD085A69</vt:lpwstr>
  </property>
</Properties>
</file>