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 Monje\Desktop\Curso Emprendimiento Digital\"/>
    </mc:Choice>
  </mc:AlternateContent>
  <xr:revisionPtr revIDLastSave="0" documentId="13_ncr:1_{488C3BAF-6B04-40B2-9BB1-3BBD2434F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uro" sheetId="1" r:id="rId1"/>
    <sheet name="item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" l="1"/>
  <c r="I44" i="1"/>
  <c r="K9" i="7" l="1"/>
  <c r="C11" i="7"/>
  <c r="H12" i="7"/>
  <c r="H5" i="7"/>
  <c r="H6" i="7"/>
  <c r="H7" i="7"/>
  <c r="H8" i="7"/>
  <c r="H9" i="7"/>
  <c r="H10" i="7"/>
  <c r="H11" i="7"/>
  <c r="H4" i="7"/>
  <c r="K3" i="7" l="1"/>
  <c r="C49" i="1" l="1"/>
  <c r="C47" i="1" l="1"/>
  <c r="C33" i="1" l="1"/>
  <c r="G10" i="1"/>
  <c r="H10" i="1"/>
  <c r="I10" i="1"/>
  <c r="J10" i="1"/>
  <c r="K10" i="1"/>
  <c r="L10" i="1"/>
  <c r="M10" i="1"/>
  <c r="N10" i="1"/>
  <c r="O10" i="1"/>
  <c r="F11" i="1"/>
  <c r="F10" i="1" s="1"/>
  <c r="E11" i="1"/>
  <c r="E10" i="1" s="1"/>
  <c r="D11" i="1"/>
  <c r="D10" i="1" s="1"/>
  <c r="C52" i="1" l="1"/>
  <c r="C41" i="1"/>
  <c r="O8" i="1"/>
  <c r="O28" i="1" s="1"/>
  <c r="N8" i="1"/>
  <c r="N28" i="1" s="1"/>
  <c r="N5" i="1" l="1"/>
  <c r="O5" i="1"/>
  <c r="N22" i="1"/>
  <c r="N21" i="1" s="1"/>
  <c r="N27" i="1" s="1"/>
  <c r="O22" i="1"/>
  <c r="O21" i="1" l="1"/>
  <c r="O27" i="1" s="1"/>
  <c r="E8" i="1" l="1"/>
  <c r="E28" i="1" s="1"/>
  <c r="F8" i="1"/>
  <c r="F28" i="1" s="1"/>
  <c r="G8" i="1"/>
  <c r="G28" i="1" s="1"/>
  <c r="H8" i="1"/>
  <c r="H28" i="1" s="1"/>
  <c r="D8" i="1"/>
  <c r="D28" i="1" s="1"/>
  <c r="L8" i="1"/>
  <c r="L28" i="1" s="1"/>
  <c r="K8" i="1"/>
  <c r="K28" i="1" s="1"/>
  <c r="E5" i="1" l="1"/>
  <c r="G5" i="1"/>
  <c r="H5" i="1"/>
  <c r="K5" i="1"/>
  <c r="L5" i="1"/>
  <c r="F5" i="1"/>
  <c r="D5" i="1"/>
  <c r="H22" i="1"/>
  <c r="G22" i="1"/>
  <c r="F22" i="1"/>
  <c r="K22" i="1"/>
  <c r="L22" i="1"/>
  <c r="D22" i="1"/>
  <c r="E22" i="1"/>
  <c r="M8" i="1"/>
  <c r="M28" i="1" s="1"/>
  <c r="I8" i="1"/>
  <c r="I28" i="1" s="1"/>
  <c r="J8" i="1"/>
  <c r="J28" i="1" s="1"/>
  <c r="I5" i="1" l="1"/>
  <c r="M5" i="1"/>
  <c r="J5" i="1"/>
  <c r="E21" i="1"/>
  <c r="E27" i="1" s="1"/>
  <c r="E29" i="1" s="1"/>
  <c r="E33" i="1" s="1"/>
  <c r="L21" i="1"/>
  <c r="L27" i="1" s="1"/>
  <c r="H21" i="1"/>
  <c r="H27" i="1" s="1"/>
  <c r="K21" i="1"/>
  <c r="K27" i="1" s="1"/>
  <c r="K29" i="1" s="1"/>
  <c r="F21" i="1"/>
  <c r="D21" i="1"/>
  <c r="G21" i="1"/>
  <c r="I22" i="1"/>
  <c r="M22" i="1"/>
  <c r="J22" i="1"/>
  <c r="N29" i="1"/>
  <c r="O29" i="1"/>
  <c r="F27" i="1" l="1"/>
  <c r="F29" i="1" s="1"/>
  <c r="F33" i="1" s="1"/>
  <c r="G27" i="1"/>
  <c r="G29" i="1" s="1"/>
  <c r="G33" i="1" s="1"/>
  <c r="D27" i="1"/>
  <c r="D29" i="1" s="1"/>
  <c r="M21" i="1"/>
  <c r="M27" i="1" s="1"/>
  <c r="M29" i="1" s="1"/>
  <c r="M33" i="1" s="1"/>
  <c r="I21" i="1"/>
  <c r="I27" i="1" s="1"/>
  <c r="I29" i="1" s="1"/>
  <c r="I33" i="1" s="1"/>
  <c r="J21" i="1"/>
  <c r="N33" i="1"/>
  <c r="O33" i="1"/>
  <c r="H29" i="1"/>
  <c r="H33" i="1" s="1"/>
  <c r="K33" i="1"/>
  <c r="L29" i="1"/>
  <c r="L33" i="1" s="1"/>
  <c r="C48" i="1" l="1"/>
  <c r="C50" i="1" s="1"/>
  <c r="C51" i="1" s="1"/>
  <c r="C53" i="1" s="1"/>
  <c r="D33" i="1"/>
  <c r="D34" i="1" s="1"/>
  <c r="E34" i="1" s="1"/>
  <c r="F34" i="1" s="1"/>
  <c r="G34" i="1" s="1"/>
  <c r="H34" i="1" s="1"/>
  <c r="I34" i="1" s="1"/>
  <c r="J27" i="1"/>
  <c r="J29" i="1" s="1"/>
  <c r="J33" i="1" s="1"/>
  <c r="C42" i="1" l="1"/>
  <c r="C55" i="1"/>
  <c r="C43" i="1"/>
  <c r="J34" i="1"/>
  <c r="K34" i="1" s="1"/>
  <c r="L34" i="1" s="1"/>
  <c r="M34" i="1" s="1"/>
  <c r="N34" i="1" l="1"/>
  <c r="O34" i="1" s="1"/>
  <c r="C44" i="1" l="1"/>
</calcChain>
</file>

<file path=xl/sharedStrings.xml><?xml version="1.0" encoding="utf-8"?>
<sst xmlns="http://schemas.openxmlformats.org/spreadsheetml/2006/main" count="74" uniqueCount="74">
  <si>
    <t>Ingresos</t>
  </si>
  <si>
    <t>Ventas</t>
  </si>
  <si>
    <t>Egresos</t>
  </si>
  <si>
    <t>Costos Fijos</t>
  </si>
  <si>
    <t>C de Trabajo</t>
  </si>
  <si>
    <t>VAN</t>
  </si>
  <si>
    <t>TIR</t>
  </si>
  <si>
    <t>Utilidad Neta</t>
  </si>
  <si>
    <t>Flujo de caja</t>
  </si>
  <si>
    <t>Flujo Acumlado</t>
  </si>
  <si>
    <t>Precio Unitario por mt2</t>
  </si>
  <si>
    <t>Cantidad en metros</t>
  </si>
  <si>
    <t>Arriendo</t>
  </si>
  <si>
    <t>Marketplace 5%</t>
  </si>
  <si>
    <t xml:space="preserve">Administrador Web </t>
  </si>
  <si>
    <t>Salesforce  US$25</t>
  </si>
  <si>
    <t>Agua</t>
  </si>
  <si>
    <t>Utiles de aseo</t>
  </si>
  <si>
    <t xml:space="preserve">Implementos de Seguridad </t>
  </si>
  <si>
    <t>Telefonia+ Internet</t>
  </si>
  <si>
    <t xml:space="preserve">Depreciacion Equipos </t>
  </si>
  <si>
    <t>Costos Variables</t>
  </si>
  <si>
    <t xml:space="preserve">Materiales de Restauracion </t>
  </si>
  <si>
    <t xml:space="preserve">Electricidad </t>
  </si>
  <si>
    <t xml:space="preserve">Transporte </t>
  </si>
  <si>
    <t>Sueldo (x Mt2)</t>
  </si>
  <si>
    <t>Utilidad  Bruta</t>
  </si>
  <si>
    <t>Maquinarias y Equipos</t>
  </si>
  <si>
    <t>Tasa</t>
  </si>
  <si>
    <t>Impuesto 10%</t>
  </si>
  <si>
    <t>El VAN es positivo por lo tanto el Proyecto es viable</t>
  </si>
  <si>
    <t>El periodo de recuperacion de la inversion es de 2 meses</t>
  </si>
  <si>
    <t>INSTRUMENTOS DE EVALUACIÓN</t>
  </si>
  <si>
    <t>Períodos</t>
  </si>
  <si>
    <t>Inversión</t>
  </si>
  <si>
    <t>Payback</t>
  </si>
  <si>
    <t>CÁLCULO DE PUNTO DE EQUILIBRIO</t>
  </si>
  <si>
    <t>Ingreso unitario</t>
  </si>
  <si>
    <t>Costos Variables Totales</t>
  </si>
  <si>
    <t>Total unidades 2020</t>
  </si>
  <si>
    <t>Costos Variables Unitarios</t>
  </si>
  <si>
    <t>Margen Unitario</t>
  </si>
  <si>
    <t>Costos Fijos totales 2020</t>
  </si>
  <si>
    <t>Punto de Equilibrio (unidades)</t>
  </si>
  <si>
    <t>Necesidad de Capital hasta lograr rentabilidad</t>
  </si>
  <si>
    <t>Un 13% es el porcentaje de beneficio que tienen los dineros invertidos en el proyecto</t>
  </si>
  <si>
    <t>FLUJO DE CAJA PROYECTO MUEBLERIA DE RESTAURACION "CASA MONJE"</t>
  </si>
  <si>
    <t>Meses Año 2020</t>
  </si>
  <si>
    <t>Gasto por mt2</t>
  </si>
  <si>
    <t>Implementos de Seguridad</t>
  </si>
  <si>
    <t>Equipo Computacion</t>
  </si>
  <si>
    <t>Pintura galon</t>
  </si>
  <si>
    <t xml:space="preserve">Mascarilla </t>
  </si>
  <si>
    <t>Equipo Compresor</t>
  </si>
  <si>
    <t>Brocha pequeña</t>
  </si>
  <si>
    <t>Zapatos seguridad</t>
  </si>
  <si>
    <t>Equipo Pintura</t>
  </si>
  <si>
    <t>Brocha grande</t>
  </si>
  <si>
    <t>Buzo</t>
  </si>
  <si>
    <t>Lijadora</t>
  </si>
  <si>
    <t>Lijas</t>
  </si>
  <si>
    <t>Lentes proteccion</t>
  </si>
  <si>
    <t>Mesones de trabajo</t>
  </si>
  <si>
    <t>Papel engomado 18m</t>
  </si>
  <si>
    <t>Guantes</t>
  </si>
  <si>
    <t>Hidraulica</t>
  </si>
  <si>
    <t>Alusa plast 1400MT</t>
  </si>
  <si>
    <t xml:space="preserve">Herramientas </t>
  </si>
  <si>
    <t>Cera Incolora 100 ml</t>
  </si>
  <si>
    <t>Huaipe 1 k</t>
  </si>
  <si>
    <t>Totales Activo Fijo</t>
  </si>
  <si>
    <t xml:space="preserve">Materiales </t>
  </si>
  <si>
    <t>120 mt2</t>
  </si>
  <si>
    <t xml:space="preserve">El Break-even o Punto de equilibrio es el volumen minimo de ventas y está traducido a 959 Mt2 de restauración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</si>
</sst>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;&quot;$&quot;\-#,##0"/>
    <numFmt numFmtId="6" formatCode="&quot;$&quot;#,##0;[Red]&quot;$&quot;\-#,##0"/>
    <numFmt numFmtId="8" formatCode="&quot;$&quot;#,##0.00;[Red]&quot;$&quot;\-#,##0.00"/>
    <numFmt numFmtId="41" formatCode="_ * #,##0_ ;_ * \-#,##0_ ;_ * &quot;-&quot;_ ;_ @_ "/>
    <numFmt numFmtId="43" formatCode="_ * #,##0.00_ ;_ * \-#,##0.00_ ;_ * &quot;-&quot;??_ ;_ @_ "/>
    <numFmt numFmtId="164" formatCode="#,##0_ ;[Red]\-#,##0\ "/>
    <numFmt numFmtId="165" formatCode="\$#,##0"/>
    <numFmt numFmtId="166" formatCode="\€\ #,##0"/>
    <numFmt numFmtId="167" formatCode="&quot;$&quot;#,##0"/>
    <numFmt numFmtId="168" formatCode="[$$-340A]\ #,##0"/>
    <numFmt numFmtId="169" formatCode="#,##0.0_ ;\-#,##0.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color rgb="FF4A86E8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 applyBorder="1"/>
    <xf numFmtId="41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41" fontId="0" fillId="0" borderId="1" xfId="1" applyFont="1" applyBorder="1"/>
    <xf numFmtId="41" fontId="0" fillId="0" borderId="1" xfId="0" applyNumberFormat="1" applyBorder="1"/>
    <xf numFmtId="6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8" fontId="0" fillId="0" borderId="0" xfId="0" applyNumberFormat="1"/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41" fontId="3" fillId="2" borderId="1" xfId="0" applyNumberFormat="1" applyFont="1" applyFill="1" applyBorder="1"/>
    <xf numFmtId="164" fontId="4" fillId="2" borderId="1" xfId="0" applyNumberFormat="1" applyFont="1" applyFill="1" applyBorder="1"/>
    <xf numFmtId="41" fontId="4" fillId="2" borderId="1" xfId="0" applyNumberFormat="1" applyFont="1" applyFill="1" applyBorder="1"/>
    <xf numFmtId="41" fontId="2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9" fillId="0" borderId="0" xfId="0" applyFont="1"/>
    <xf numFmtId="9" fontId="0" fillId="0" borderId="1" xfId="0" applyNumberFormat="1" applyBorder="1"/>
    <xf numFmtId="167" fontId="0" fillId="0" borderId="1" xfId="0" applyNumberFormat="1" applyBorder="1"/>
    <xf numFmtId="43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5" fontId="0" fillId="0" borderId="1" xfId="0" applyNumberFormat="1" applyBorder="1"/>
    <xf numFmtId="166" fontId="8" fillId="0" borderId="3" xfId="0" applyNumberFormat="1" applyFont="1" applyBorder="1"/>
    <xf numFmtId="165" fontId="5" fillId="4" borderId="1" xfId="0" applyNumberFormat="1" applyFont="1" applyFill="1" applyBorder="1"/>
    <xf numFmtId="168" fontId="0" fillId="5" borderId="1" xfId="0" applyNumberFormat="1" applyFill="1" applyBorder="1"/>
    <xf numFmtId="0" fontId="6" fillId="6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/>
    <xf numFmtId="168" fontId="10" fillId="3" borderId="1" xfId="0" applyNumberFormat="1" applyFont="1" applyFill="1" applyBorder="1" applyAlignment="1">
      <alignment horizontal="right"/>
    </xf>
    <xf numFmtId="0" fontId="11" fillId="0" borderId="1" xfId="2" applyFill="1" applyBorder="1"/>
    <xf numFmtId="0" fontId="6" fillId="6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9" fontId="0" fillId="0" borderId="0" xfId="0" applyNumberFormat="1"/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57</xdr:row>
      <xdr:rowOff>0</xdr:rowOff>
    </xdr:from>
    <xdr:to>
      <xdr:col>11</xdr:col>
      <xdr:colOff>488156</xdr:colOff>
      <xdr:row>64</xdr:row>
      <xdr:rowOff>119062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C3730B2-9118-4F1D-9126-7345ED17A4D8}"/>
            </a:ext>
          </a:extLst>
        </xdr:cNvPr>
        <xdr:cNvSpPr txBox="1"/>
      </xdr:nvSpPr>
      <xdr:spPr>
        <a:xfrm>
          <a:off x="809625" y="14251781"/>
          <a:ext cx="11287125" cy="186928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>
              <a:latin typeface="Arial" panose="020B0604020202020204" pitchFamily="34" charset="0"/>
              <a:cs typeface="Arial" panose="020B0604020202020204" pitchFamily="34" charset="0"/>
            </a:rPr>
            <a:t>- Se proyecta este flujo de caja en 12 meses</a:t>
          </a:r>
        </a:p>
        <a:p>
          <a:r>
            <a:rPr lang="es-CL" sz="120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 La inversión inicial considerada es de </a:t>
          </a:r>
          <a:r>
            <a:rPr lang="es-CL" sz="1200">
              <a:latin typeface="Arial" panose="020B0604020202020204" pitchFamily="34" charset="0"/>
              <a:cs typeface="Arial" panose="020B0604020202020204" pitchFamily="34" charset="0"/>
            </a:rPr>
            <a:t>$3.161.000, proveniente de la compra de activos fijos y capital de trabajo inicial</a:t>
          </a:r>
        </a:p>
        <a:p>
          <a:r>
            <a:rPr lang="es-CL" sz="1200">
              <a:latin typeface="Arial" panose="020B0604020202020204" pitchFamily="34" charset="0"/>
              <a:cs typeface="Arial" panose="020B0604020202020204" pitchFamily="34" charset="0"/>
            </a:rPr>
            <a:t>- El</a:t>
          </a:r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 precio de venta unitario mínimo se basa en Mt2 de restauración y es de $26.000</a:t>
          </a:r>
        </a:p>
        <a:p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- Se considera un mínimo de 120 Mts2 de restauración mensual</a:t>
          </a:r>
        </a:p>
        <a:p>
          <a:endParaRPr lang="es-CL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De acuerdo al análisis realizado el calculo de VAN y TIR son positivas, indicando que el proyecto es viable, logrando un 13% de rentabilidad sobre los dineros invertidos, recuperando la inversión inicial a corto plazo de 2 meses. </a:t>
          </a:r>
        </a:p>
        <a:p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El punto de equilibrio es de 959 Mt2 de restauración, que sería el nivel de ventas requeridas para que los ingresos igualen a los costos. En caso contrario el proyecto no sería rentable y estaríamos frente a un Burn-out, agotamiento del dinero y flujo de caja negativo.</a:t>
          </a:r>
        </a:p>
        <a:p>
          <a:endParaRPr lang="es-CL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L" sz="1200" baseline="0">
              <a:latin typeface="Arial" panose="020B0604020202020204" pitchFamily="34" charset="0"/>
              <a:cs typeface="Arial" panose="020B0604020202020204" pitchFamily="34" charset="0"/>
            </a:rPr>
            <a:t>- </a:t>
          </a:r>
        </a:p>
        <a:p>
          <a:r>
            <a:rPr lang="es-CL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lujo%20de%20Caja%20Proyecto%20Muebler&#237;a%20de%20Restauraci&#243;n.xlsx" TargetMode="External"/><Relationship Id="rId1" Type="http://schemas.openxmlformats.org/officeDocument/2006/relationships/hyperlink" Target="Flujo%20de%20Caja%20Proyecto%20Muebler&#237;a%20de%20Restauraci&#243;n.xls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5"/>
  <sheetViews>
    <sheetView tabSelected="1" topLeftCell="A19" zoomScale="80" zoomScaleNormal="80" workbookViewId="0">
      <selection activeCell="J44" sqref="J44"/>
    </sheetView>
  </sheetViews>
  <sheetFormatPr baseColWidth="10" defaultRowHeight="20.100000000000001" customHeight="1" x14ac:dyDescent="0.25"/>
  <cols>
    <col min="2" max="2" width="47.140625" bestFit="1" customWidth="1"/>
    <col min="3" max="3" width="13.7109375" bestFit="1" customWidth="1"/>
    <col min="4" max="4" width="15.7109375" bestFit="1" customWidth="1"/>
    <col min="5" max="5" width="13" bestFit="1" customWidth="1"/>
    <col min="6" max="7" width="12.140625" bestFit="1" customWidth="1"/>
    <col min="8" max="8" width="12.7109375" bestFit="1" customWidth="1"/>
    <col min="9" max="9" width="11.7109375" bestFit="1" customWidth="1"/>
    <col min="10" max="11" width="12.140625" bestFit="1" customWidth="1"/>
    <col min="12" max="12" width="12.5703125" customWidth="1"/>
    <col min="13" max="15" width="13" bestFit="1" customWidth="1"/>
  </cols>
  <sheetData>
    <row r="2" spans="1:15" ht="20.100000000000001" customHeight="1" x14ac:dyDescent="0.25">
      <c r="B2" s="38" t="s">
        <v>46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4" spans="1:15" ht="20.100000000000001" customHeight="1" x14ac:dyDescent="0.25">
      <c r="B4" s="13" t="s">
        <v>47</v>
      </c>
      <c r="C4" s="12">
        <v>0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</row>
    <row r="5" spans="1:15" ht="20.100000000000001" customHeight="1" x14ac:dyDescent="0.25">
      <c r="A5" s="9"/>
      <c r="B5" s="13" t="s">
        <v>0</v>
      </c>
      <c r="C5" s="13"/>
      <c r="D5" s="16">
        <f>D8</f>
        <v>3042000</v>
      </c>
      <c r="E5" s="16">
        <f t="shared" ref="E5:O5" si="0">E8</f>
        <v>3042000</v>
      </c>
      <c r="F5" s="16">
        <f t="shared" si="0"/>
        <v>3042000</v>
      </c>
      <c r="G5" s="16">
        <f t="shared" si="0"/>
        <v>3042000</v>
      </c>
      <c r="H5" s="16">
        <f t="shared" si="0"/>
        <v>3042000</v>
      </c>
      <c r="I5" s="16">
        <f t="shared" si="0"/>
        <v>3042000</v>
      </c>
      <c r="J5" s="16">
        <f t="shared" si="0"/>
        <v>3042000</v>
      </c>
      <c r="K5" s="16">
        <f t="shared" si="0"/>
        <v>3042000</v>
      </c>
      <c r="L5" s="16">
        <f t="shared" si="0"/>
        <v>3042000</v>
      </c>
      <c r="M5" s="16">
        <f t="shared" si="0"/>
        <v>3042000</v>
      </c>
      <c r="N5" s="16">
        <f t="shared" si="0"/>
        <v>3042000</v>
      </c>
      <c r="O5" s="16">
        <f t="shared" si="0"/>
        <v>3042000</v>
      </c>
    </row>
    <row r="6" spans="1:15" ht="20.100000000000001" customHeight="1" x14ac:dyDescent="0.25">
      <c r="B6" s="3" t="s">
        <v>11</v>
      </c>
      <c r="C6" s="3"/>
      <c r="D6" s="5">
        <v>117</v>
      </c>
      <c r="E6" s="5">
        <v>117</v>
      </c>
      <c r="F6" s="5">
        <v>117</v>
      </c>
      <c r="G6" s="5">
        <v>117</v>
      </c>
      <c r="H6" s="5">
        <v>117</v>
      </c>
      <c r="I6" s="5">
        <v>117</v>
      </c>
      <c r="J6" s="5">
        <v>117</v>
      </c>
      <c r="K6" s="5">
        <v>117</v>
      </c>
      <c r="L6" s="5">
        <v>117</v>
      </c>
      <c r="M6" s="5">
        <v>117</v>
      </c>
      <c r="N6" s="5">
        <v>117</v>
      </c>
      <c r="O6" s="5">
        <v>117</v>
      </c>
    </row>
    <row r="7" spans="1:15" ht="20.100000000000001" customHeight="1" x14ac:dyDescent="0.25">
      <c r="B7" s="3" t="s">
        <v>10</v>
      </c>
      <c r="C7" s="3"/>
      <c r="D7" s="5">
        <v>26000</v>
      </c>
      <c r="E7" s="5">
        <v>26000</v>
      </c>
      <c r="F7" s="5">
        <v>26000</v>
      </c>
      <c r="G7" s="5">
        <v>26000</v>
      </c>
      <c r="H7" s="5">
        <v>26000</v>
      </c>
      <c r="I7" s="5">
        <v>26000</v>
      </c>
      <c r="J7" s="5">
        <v>26000</v>
      </c>
      <c r="K7" s="5">
        <v>26000</v>
      </c>
      <c r="L7" s="5">
        <v>26000</v>
      </c>
      <c r="M7" s="5">
        <v>26000</v>
      </c>
      <c r="N7" s="5">
        <v>26000</v>
      </c>
      <c r="O7" s="5">
        <v>26000</v>
      </c>
    </row>
    <row r="8" spans="1:15" ht="20.100000000000001" customHeight="1" x14ac:dyDescent="0.25">
      <c r="B8" s="11" t="s">
        <v>1</v>
      </c>
      <c r="C8" s="3"/>
      <c r="D8" s="5">
        <f>D7*D6</f>
        <v>3042000</v>
      </c>
      <c r="E8" s="5">
        <f t="shared" ref="E8:M8" si="1">E7*E6</f>
        <v>3042000</v>
      </c>
      <c r="F8" s="5">
        <f t="shared" si="1"/>
        <v>3042000</v>
      </c>
      <c r="G8" s="5">
        <f t="shared" si="1"/>
        <v>3042000</v>
      </c>
      <c r="H8" s="5">
        <f t="shared" si="1"/>
        <v>3042000</v>
      </c>
      <c r="I8" s="5">
        <f t="shared" si="1"/>
        <v>3042000</v>
      </c>
      <c r="J8" s="5">
        <f t="shared" si="1"/>
        <v>3042000</v>
      </c>
      <c r="K8" s="5">
        <f t="shared" si="1"/>
        <v>3042000</v>
      </c>
      <c r="L8" s="5">
        <f t="shared" si="1"/>
        <v>3042000</v>
      </c>
      <c r="M8" s="5">
        <f t="shared" si="1"/>
        <v>3042000</v>
      </c>
      <c r="N8" s="5">
        <f t="shared" ref="N8:O8" si="2">N7*N6</f>
        <v>3042000</v>
      </c>
      <c r="O8" s="5">
        <f t="shared" si="2"/>
        <v>3042000</v>
      </c>
    </row>
    <row r="9" spans="1:15" ht="20.100000000000001" customHeight="1" x14ac:dyDescent="0.25">
      <c r="B9" s="13" t="s">
        <v>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20.100000000000001" customHeight="1" x14ac:dyDescent="0.25">
      <c r="B10" s="13" t="s">
        <v>3</v>
      </c>
      <c r="C10" s="13"/>
      <c r="D10" s="18">
        <f>SUM(D11:D19)</f>
        <v>-1648837</v>
      </c>
      <c r="E10" s="18">
        <f t="shared" ref="E10:O10" si="3">SUM(E11:E19)</f>
        <v>-1648837</v>
      </c>
      <c r="F10" s="18">
        <f t="shared" si="3"/>
        <v>-1648837</v>
      </c>
      <c r="G10" s="18">
        <f t="shared" si="3"/>
        <v>-1679587</v>
      </c>
      <c r="H10" s="18">
        <f t="shared" si="3"/>
        <v>-1679587</v>
      </c>
      <c r="I10" s="18">
        <f t="shared" si="3"/>
        <v>-1679587</v>
      </c>
      <c r="J10" s="18">
        <f t="shared" si="3"/>
        <v>-1679587</v>
      </c>
      <c r="K10" s="18">
        <f t="shared" si="3"/>
        <v>-1679587</v>
      </c>
      <c r="L10" s="18">
        <f t="shared" si="3"/>
        <v>-1679587</v>
      </c>
      <c r="M10" s="18">
        <f t="shared" si="3"/>
        <v>-1679587</v>
      </c>
      <c r="N10" s="18">
        <f t="shared" si="3"/>
        <v>-1679587</v>
      </c>
      <c r="O10" s="18">
        <f t="shared" si="3"/>
        <v>-1679587</v>
      </c>
    </row>
    <row r="11" spans="1:15" ht="20.100000000000001" customHeight="1" x14ac:dyDescent="0.25">
      <c r="B11" s="14" t="s">
        <v>25</v>
      </c>
      <c r="C11" s="3">
        <v>10250</v>
      </c>
      <c r="D11" s="19">
        <f>(D6*C11)*-1</f>
        <v>-1199250</v>
      </c>
      <c r="E11" s="19">
        <f>(F6*C11)*-1</f>
        <v>-1199250</v>
      </c>
      <c r="F11" s="19">
        <f>(F6*C11)*-1</f>
        <v>-1199250</v>
      </c>
      <c r="G11" s="19">
        <v>-1230000</v>
      </c>
      <c r="H11" s="19">
        <v>-1230000</v>
      </c>
      <c r="I11" s="19">
        <v>-1230000</v>
      </c>
      <c r="J11" s="19">
        <v>-1230000</v>
      </c>
      <c r="K11" s="19">
        <v>-1230000</v>
      </c>
      <c r="L11" s="19">
        <v>-1230000</v>
      </c>
      <c r="M11" s="19">
        <v>-1230000</v>
      </c>
      <c r="N11" s="19">
        <v>-1230000</v>
      </c>
      <c r="O11" s="19">
        <v>-1230000</v>
      </c>
    </row>
    <row r="12" spans="1:15" ht="20.100000000000001" customHeight="1" x14ac:dyDescent="0.25">
      <c r="B12" s="14" t="s">
        <v>15</v>
      </c>
      <c r="C12" s="3"/>
      <c r="D12" s="4">
        <v>-18750</v>
      </c>
      <c r="E12" s="4">
        <v>-18750</v>
      </c>
      <c r="F12" s="4">
        <v>-18750</v>
      </c>
      <c r="G12" s="4">
        <v>-18750</v>
      </c>
      <c r="H12" s="4">
        <v>-18750</v>
      </c>
      <c r="I12" s="4">
        <v>-18750</v>
      </c>
      <c r="J12" s="4">
        <v>-18750</v>
      </c>
      <c r="K12" s="4">
        <v>-18750</v>
      </c>
      <c r="L12" s="4">
        <v>-18750</v>
      </c>
      <c r="M12" s="4">
        <v>-18750</v>
      </c>
      <c r="N12" s="4">
        <v>-18750</v>
      </c>
      <c r="O12" s="4">
        <v>-18750</v>
      </c>
    </row>
    <row r="13" spans="1:15" ht="20.100000000000001" customHeight="1" x14ac:dyDescent="0.25">
      <c r="B13" s="14" t="s">
        <v>14</v>
      </c>
      <c r="C13" s="3"/>
      <c r="D13" s="4">
        <v>-30000</v>
      </c>
      <c r="E13" s="4">
        <v>-30000</v>
      </c>
      <c r="F13" s="4">
        <v>-30000</v>
      </c>
      <c r="G13" s="4">
        <v>-30000</v>
      </c>
      <c r="H13" s="4">
        <v>-30000</v>
      </c>
      <c r="I13" s="4">
        <v>-30000</v>
      </c>
      <c r="J13" s="4">
        <v>-30000</v>
      </c>
      <c r="K13" s="4">
        <v>-30000</v>
      </c>
      <c r="L13" s="4">
        <v>-30000</v>
      </c>
      <c r="M13" s="4">
        <v>-30000</v>
      </c>
      <c r="N13" s="4">
        <v>-30000</v>
      </c>
      <c r="O13" s="4">
        <v>-30000</v>
      </c>
    </row>
    <row r="14" spans="1:15" ht="20.100000000000001" customHeight="1" x14ac:dyDescent="0.25">
      <c r="B14" s="14" t="s">
        <v>12</v>
      </c>
      <c r="C14" s="3"/>
      <c r="D14" s="4">
        <v>-200000</v>
      </c>
      <c r="E14" s="4">
        <v>-200000</v>
      </c>
      <c r="F14" s="4">
        <v>-200000</v>
      </c>
      <c r="G14" s="4">
        <v>-200000</v>
      </c>
      <c r="H14" s="4">
        <v>-200000</v>
      </c>
      <c r="I14" s="4">
        <v>-200000</v>
      </c>
      <c r="J14" s="4">
        <v>-200000</v>
      </c>
      <c r="K14" s="4">
        <v>-200000</v>
      </c>
      <c r="L14" s="4">
        <v>-200000</v>
      </c>
      <c r="M14" s="4">
        <v>-200000</v>
      </c>
      <c r="N14" s="4">
        <v>-200000</v>
      </c>
      <c r="O14" s="4">
        <v>-200000</v>
      </c>
    </row>
    <row r="15" spans="1:15" ht="20.100000000000001" customHeight="1" x14ac:dyDescent="0.25">
      <c r="B15" s="14" t="s">
        <v>19</v>
      </c>
      <c r="C15" s="3"/>
      <c r="D15" s="4">
        <v>-40000</v>
      </c>
      <c r="E15" s="4">
        <v>-40000</v>
      </c>
      <c r="F15" s="4">
        <v>-40000</v>
      </c>
      <c r="G15" s="4">
        <v>-40000</v>
      </c>
      <c r="H15" s="4">
        <v>-40000</v>
      </c>
      <c r="I15" s="4">
        <v>-40000</v>
      </c>
      <c r="J15" s="4">
        <v>-40000</v>
      </c>
      <c r="K15" s="4">
        <v>-40000</v>
      </c>
      <c r="L15" s="4">
        <v>-40000</v>
      </c>
      <c r="M15" s="4">
        <v>-40000</v>
      </c>
      <c r="N15" s="4">
        <v>-40000</v>
      </c>
      <c r="O15" s="4">
        <v>-40000</v>
      </c>
    </row>
    <row r="16" spans="1:15" ht="20.100000000000001" customHeight="1" x14ac:dyDescent="0.25">
      <c r="B16" s="14" t="s">
        <v>16</v>
      </c>
      <c r="C16" s="3"/>
      <c r="D16" s="4">
        <v>-15000</v>
      </c>
      <c r="E16" s="4">
        <v>-15000</v>
      </c>
      <c r="F16" s="4">
        <v>-15000</v>
      </c>
      <c r="G16" s="4">
        <v>-15000</v>
      </c>
      <c r="H16" s="4">
        <v>-15000</v>
      </c>
      <c r="I16" s="4">
        <v>-15000</v>
      </c>
      <c r="J16" s="4">
        <v>-15000</v>
      </c>
      <c r="K16" s="4">
        <v>-15000</v>
      </c>
      <c r="L16" s="4">
        <v>-15000</v>
      </c>
      <c r="M16" s="4">
        <v>-15000</v>
      </c>
      <c r="N16" s="4">
        <v>-15000</v>
      </c>
      <c r="O16" s="4">
        <v>-15000</v>
      </c>
    </row>
    <row r="17" spans="2:15" ht="20.100000000000001" customHeight="1" x14ac:dyDescent="0.25">
      <c r="B17" s="14" t="s">
        <v>17</v>
      </c>
      <c r="C17" s="3"/>
      <c r="D17" s="4">
        <v>-15000</v>
      </c>
      <c r="E17" s="4">
        <v>-15000</v>
      </c>
      <c r="F17" s="4">
        <v>-15000</v>
      </c>
      <c r="G17" s="4">
        <v>-15000</v>
      </c>
      <c r="H17" s="4">
        <v>-15000</v>
      </c>
      <c r="I17" s="4">
        <v>-15000</v>
      </c>
      <c r="J17" s="4">
        <v>-15000</v>
      </c>
      <c r="K17" s="4">
        <v>-15000</v>
      </c>
      <c r="L17" s="4">
        <v>-15000</v>
      </c>
      <c r="M17" s="4">
        <v>-15000</v>
      </c>
      <c r="N17" s="4">
        <v>-15000</v>
      </c>
      <c r="O17" s="4">
        <v>-15000</v>
      </c>
    </row>
    <row r="18" spans="2:15" ht="20.100000000000001" customHeight="1" x14ac:dyDescent="0.25">
      <c r="B18" s="36" t="s">
        <v>18</v>
      </c>
      <c r="C18" s="3"/>
      <c r="D18" s="4">
        <v>-17420</v>
      </c>
      <c r="E18" s="4">
        <v>-17420</v>
      </c>
      <c r="F18" s="4">
        <v>-17420</v>
      </c>
      <c r="G18" s="4">
        <v>-17420</v>
      </c>
      <c r="H18" s="4">
        <v>-17420</v>
      </c>
      <c r="I18" s="4">
        <v>-17420</v>
      </c>
      <c r="J18" s="4">
        <v>-17420</v>
      </c>
      <c r="K18" s="4">
        <v>-17420</v>
      </c>
      <c r="L18" s="4">
        <v>-17420</v>
      </c>
      <c r="M18" s="4">
        <v>-17420</v>
      </c>
      <c r="N18" s="4">
        <v>-17420</v>
      </c>
      <c r="O18" s="4">
        <v>-17420</v>
      </c>
    </row>
    <row r="19" spans="2:15" ht="20.100000000000001" customHeight="1" x14ac:dyDescent="0.25">
      <c r="B19" s="14" t="s">
        <v>20</v>
      </c>
      <c r="C19" s="3"/>
      <c r="D19" s="4">
        <v>-113417</v>
      </c>
      <c r="E19" s="4">
        <v>-113417</v>
      </c>
      <c r="F19" s="4">
        <v>-113417</v>
      </c>
      <c r="G19" s="4">
        <v>-113417</v>
      </c>
      <c r="H19" s="4">
        <v>-113417</v>
      </c>
      <c r="I19" s="4">
        <v>-113417</v>
      </c>
      <c r="J19" s="4">
        <v>-113417</v>
      </c>
      <c r="K19" s="4">
        <v>-113417</v>
      </c>
      <c r="L19" s="4">
        <v>-113417</v>
      </c>
      <c r="M19" s="4">
        <v>-113417</v>
      </c>
      <c r="N19" s="4">
        <v>-113417</v>
      </c>
      <c r="O19" s="4">
        <v>-113417</v>
      </c>
    </row>
    <row r="20" spans="2:15" ht="20.100000000000001" customHeight="1" x14ac:dyDescent="0.25">
      <c r="B20" s="14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20.100000000000001" customHeight="1" x14ac:dyDescent="0.25">
      <c r="B21" s="13" t="s">
        <v>21</v>
      </c>
      <c r="C21" s="13"/>
      <c r="D21" s="17">
        <f t="shared" ref="D21:O21" si="4">SUM(D22:D25)</f>
        <v>-593420</v>
      </c>
      <c r="E21" s="17">
        <f t="shared" si="4"/>
        <v>-593420</v>
      </c>
      <c r="F21" s="17">
        <f t="shared" si="4"/>
        <v>-593420</v>
      </c>
      <c r="G21" s="17">
        <f t="shared" si="4"/>
        <v>-593420</v>
      </c>
      <c r="H21" s="17">
        <f t="shared" si="4"/>
        <v>-593420</v>
      </c>
      <c r="I21" s="17">
        <f t="shared" si="4"/>
        <v>-593420</v>
      </c>
      <c r="J21" s="17">
        <f t="shared" si="4"/>
        <v>-593420</v>
      </c>
      <c r="K21" s="17">
        <f t="shared" si="4"/>
        <v>-593420</v>
      </c>
      <c r="L21" s="17">
        <f t="shared" si="4"/>
        <v>-593420</v>
      </c>
      <c r="M21" s="17">
        <f t="shared" si="4"/>
        <v>-593420</v>
      </c>
      <c r="N21" s="17">
        <f t="shared" si="4"/>
        <v>-593420</v>
      </c>
      <c r="O21" s="17">
        <f t="shared" si="4"/>
        <v>-593420</v>
      </c>
    </row>
    <row r="22" spans="2:15" ht="20.100000000000001" customHeight="1" x14ac:dyDescent="0.25">
      <c r="B22" s="14" t="s">
        <v>13</v>
      </c>
      <c r="C22" s="3"/>
      <c r="D22" s="4">
        <f t="shared" ref="D22:O22" si="5">-D8*0.05</f>
        <v>-152100</v>
      </c>
      <c r="E22" s="4">
        <f t="shared" si="5"/>
        <v>-152100</v>
      </c>
      <c r="F22" s="4">
        <f t="shared" si="5"/>
        <v>-152100</v>
      </c>
      <c r="G22" s="4">
        <f t="shared" si="5"/>
        <v>-152100</v>
      </c>
      <c r="H22" s="4">
        <f t="shared" si="5"/>
        <v>-152100</v>
      </c>
      <c r="I22" s="4">
        <f t="shared" si="5"/>
        <v>-152100</v>
      </c>
      <c r="J22" s="4">
        <f t="shared" si="5"/>
        <v>-152100</v>
      </c>
      <c r="K22" s="4">
        <f t="shared" si="5"/>
        <v>-152100</v>
      </c>
      <c r="L22" s="4">
        <f t="shared" si="5"/>
        <v>-152100</v>
      </c>
      <c r="M22" s="4">
        <f t="shared" si="5"/>
        <v>-152100</v>
      </c>
      <c r="N22" s="4">
        <f t="shared" si="5"/>
        <v>-152100</v>
      </c>
      <c r="O22" s="4">
        <f t="shared" si="5"/>
        <v>-152100</v>
      </c>
    </row>
    <row r="23" spans="2:15" ht="20.100000000000001" customHeight="1" x14ac:dyDescent="0.25">
      <c r="B23" s="36" t="s">
        <v>22</v>
      </c>
      <c r="C23" s="3"/>
      <c r="D23" s="4">
        <v>-211320</v>
      </c>
      <c r="E23" s="4">
        <v>-211320</v>
      </c>
      <c r="F23" s="4">
        <v>-211320</v>
      </c>
      <c r="G23" s="4">
        <v>-211320</v>
      </c>
      <c r="H23" s="4">
        <v>-211320</v>
      </c>
      <c r="I23" s="4">
        <v>-211320</v>
      </c>
      <c r="J23" s="4">
        <v>-211320</v>
      </c>
      <c r="K23" s="4">
        <v>-211320</v>
      </c>
      <c r="L23" s="4">
        <v>-211320</v>
      </c>
      <c r="M23" s="4">
        <v>-211320</v>
      </c>
      <c r="N23" s="4">
        <v>-211320</v>
      </c>
      <c r="O23" s="4">
        <v>-211320</v>
      </c>
    </row>
    <row r="24" spans="2:15" ht="20.100000000000001" customHeight="1" x14ac:dyDescent="0.25">
      <c r="B24" s="14" t="s">
        <v>23</v>
      </c>
      <c r="C24" s="3"/>
      <c r="D24" s="4">
        <v>-150000</v>
      </c>
      <c r="E24" s="4">
        <v>-150000</v>
      </c>
      <c r="F24" s="4">
        <v>-150000</v>
      </c>
      <c r="G24" s="4">
        <v>-150000</v>
      </c>
      <c r="H24" s="4">
        <v>-150000</v>
      </c>
      <c r="I24" s="4">
        <v>-150000</v>
      </c>
      <c r="J24" s="4">
        <v>-150000</v>
      </c>
      <c r="K24" s="4">
        <v>-150000</v>
      </c>
      <c r="L24" s="4">
        <v>-150000</v>
      </c>
      <c r="M24" s="4">
        <v>-150000</v>
      </c>
      <c r="N24" s="4">
        <v>-150000</v>
      </c>
      <c r="O24" s="4">
        <v>-150000</v>
      </c>
    </row>
    <row r="25" spans="2:15" ht="20.100000000000001" customHeight="1" x14ac:dyDescent="0.25">
      <c r="B25" s="14" t="s">
        <v>24</v>
      </c>
      <c r="C25" s="3"/>
      <c r="D25" s="4">
        <v>-80000</v>
      </c>
      <c r="E25" s="4">
        <v>-80000</v>
      </c>
      <c r="F25" s="4">
        <v>-80000</v>
      </c>
      <c r="G25" s="4">
        <v>-80000</v>
      </c>
      <c r="H25" s="4">
        <v>-80000</v>
      </c>
      <c r="I25" s="4">
        <v>-80000</v>
      </c>
      <c r="J25" s="4">
        <v>-80000</v>
      </c>
      <c r="K25" s="4">
        <v>-80000</v>
      </c>
      <c r="L25" s="4">
        <v>-80000</v>
      </c>
      <c r="M25" s="4">
        <v>-80000</v>
      </c>
      <c r="N25" s="4">
        <v>-80000</v>
      </c>
      <c r="O25" s="4">
        <v>-80000</v>
      </c>
    </row>
    <row r="26" spans="2:15" ht="20.100000000000001" customHeight="1" x14ac:dyDescent="0.25">
      <c r="B26" s="14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ht="20.100000000000001" customHeight="1" x14ac:dyDescent="0.25">
      <c r="B27" s="15" t="s">
        <v>26</v>
      </c>
      <c r="C27" s="3"/>
      <c r="D27" s="8">
        <f t="shared" ref="D27:O27" si="6">D8+ (D10+D21)</f>
        <v>799743</v>
      </c>
      <c r="E27" s="8">
        <f t="shared" si="6"/>
        <v>799743</v>
      </c>
      <c r="F27" s="8">
        <f t="shared" si="6"/>
        <v>799743</v>
      </c>
      <c r="G27" s="8">
        <f t="shared" si="6"/>
        <v>768993</v>
      </c>
      <c r="H27" s="8">
        <f t="shared" si="6"/>
        <v>768993</v>
      </c>
      <c r="I27" s="8">
        <f t="shared" si="6"/>
        <v>768993</v>
      </c>
      <c r="J27" s="8">
        <f t="shared" si="6"/>
        <v>768993</v>
      </c>
      <c r="K27" s="8">
        <f t="shared" si="6"/>
        <v>768993</v>
      </c>
      <c r="L27" s="8">
        <f t="shared" si="6"/>
        <v>768993</v>
      </c>
      <c r="M27" s="8">
        <f t="shared" si="6"/>
        <v>768993</v>
      </c>
      <c r="N27" s="8">
        <f t="shared" si="6"/>
        <v>768993</v>
      </c>
      <c r="O27" s="8">
        <f t="shared" si="6"/>
        <v>768993</v>
      </c>
    </row>
    <row r="28" spans="2:15" ht="20.100000000000001" customHeight="1" x14ac:dyDescent="0.25">
      <c r="B28" s="14" t="s">
        <v>29</v>
      </c>
      <c r="C28" s="3"/>
      <c r="D28" s="8">
        <f>(D8*0.1)*-1</f>
        <v>-304200</v>
      </c>
      <c r="E28" s="8">
        <f t="shared" ref="E28:O28" si="7">(E8*0.1)*-1</f>
        <v>-304200</v>
      </c>
      <c r="F28" s="8">
        <f t="shared" si="7"/>
        <v>-304200</v>
      </c>
      <c r="G28" s="8">
        <f t="shared" si="7"/>
        <v>-304200</v>
      </c>
      <c r="H28" s="8">
        <f t="shared" si="7"/>
        <v>-304200</v>
      </c>
      <c r="I28" s="8">
        <f t="shared" si="7"/>
        <v>-304200</v>
      </c>
      <c r="J28" s="8">
        <f t="shared" si="7"/>
        <v>-304200</v>
      </c>
      <c r="K28" s="8">
        <f t="shared" si="7"/>
        <v>-304200</v>
      </c>
      <c r="L28" s="8">
        <f t="shared" si="7"/>
        <v>-304200</v>
      </c>
      <c r="M28" s="8">
        <f t="shared" si="7"/>
        <v>-304200</v>
      </c>
      <c r="N28" s="8">
        <f t="shared" si="7"/>
        <v>-304200</v>
      </c>
      <c r="O28" s="8">
        <f t="shared" si="7"/>
        <v>-304200</v>
      </c>
    </row>
    <row r="29" spans="2:15" ht="20.100000000000001" customHeight="1" x14ac:dyDescent="0.25">
      <c r="B29" s="15" t="s">
        <v>7</v>
      </c>
      <c r="C29" s="3"/>
      <c r="D29" s="6">
        <f>D27+D28</f>
        <v>495543</v>
      </c>
      <c r="E29" s="6">
        <f t="shared" ref="E29:M29" si="8">E27+E28</f>
        <v>495543</v>
      </c>
      <c r="F29" s="6">
        <f t="shared" si="8"/>
        <v>495543</v>
      </c>
      <c r="G29" s="6">
        <f t="shared" si="8"/>
        <v>464793</v>
      </c>
      <c r="H29" s="6">
        <f t="shared" si="8"/>
        <v>464793</v>
      </c>
      <c r="I29" s="6">
        <f t="shared" si="8"/>
        <v>464793</v>
      </c>
      <c r="J29" s="6">
        <f t="shared" si="8"/>
        <v>464793</v>
      </c>
      <c r="K29" s="6">
        <f t="shared" si="8"/>
        <v>464793</v>
      </c>
      <c r="L29" s="6">
        <f t="shared" si="8"/>
        <v>464793</v>
      </c>
      <c r="M29" s="6">
        <f t="shared" si="8"/>
        <v>464793</v>
      </c>
      <c r="N29" s="6">
        <f t="shared" ref="N29:O29" si="9">N27+N28</f>
        <v>464793</v>
      </c>
      <c r="O29" s="6">
        <f t="shared" si="9"/>
        <v>464793</v>
      </c>
    </row>
    <row r="30" spans="2:15" ht="20.100000000000001" customHeight="1" x14ac:dyDescent="0.25">
      <c r="B30" s="3" t="s">
        <v>27</v>
      </c>
      <c r="C30" s="4">
        <v>-2361000</v>
      </c>
      <c r="D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</row>
    <row r="31" spans="2:15" ht="20.100000000000001" customHeight="1" x14ac:dyDescent="0.25">
      <c r="B31" s="3" t="s">
        <v>4</v>
      </c>
      <c r="C31" s="8">
        <v>-800000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ht="20.100000000000001" customHeight="1" x14ac:dyDescent="0.25">
      <c r="B32" s="3"/>
      <c r="C32" s="8"/>
      <c r="D32" s="3"/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</row>
    <row r="33" spans="2:15" ht="20.100000000000001" customHeight="1" x14ac:dyDescent="0.25">
      <c r="B33" s="11" t="s">
        <v>8</v>
      </c>
      <c r="C33" s="8">
        <f>SUM(C30:C32)</f>
        <v>-3161000</v>
      </c>
      <c r="D33" s="6">
        <f t="shared" ref="D33:O33" si="10">SUM(D29:D32)</f>
        <v>495543</v>
      </c>
      <c r="E33" s="6">
        <f t="shared" si="10"/>
        <v>495543</v>
      </c>
      <c r="F33" s="6">
        <f t="shared" si="10"/>
        <v>495543</v>
      </c>
      <c r="G33" s="6">
        <f t="shared" si="10"/>
        <v>464793</v>
      </c>
      <c r="H33" s="8">
        <f t="shared" si="10"/>
        <v>464793</v>
      </c>
      <c r="I33" s="6">
        <f t="shared" si="10"/>
        <v>464793</v>
      </c>
      <c r="J33" s="6">
        <f t="shared" si="10"/>
        <v>464793</v>
      </c>
      <c r="K33" s="6">
        <f t="shared" si="10"/>
        <v>464793</v>
      </c>
      <c r="L33" s="6">
        <f t="shared" si="10"/>
        <v>464793</v>
      </c>
      <c r="M33" s="6">
        <f t="shared" si="10"/>
        <v>464793</v>
      </c>
      <c r="N33" s="6">
        <f t="shared" si="10"/>
        <v>464793</v>
      </c>
      <c r="O33" s="6">
        <f t="shared" si="10"/>
        <v>464793</v>
      </c>
    </row>
    <row r="34" spans="2:15" ht="20.100000000000001" customHeight="1" x14ac:dyDescent="0.25">
      <c r="B34" s="14" t="s">
        <v>9</v>
      </c>
      <c r="C34" s="3"/>
      <c r="D34" s="6">
        <f>+D33</f>
        <v>495543</v>
      </c>
      <c r="E34" s="6">
        <f>D34+E33</f>
        <v>991086</v>
      </c>
      <c r="F34" s="6">
        <f t="shared" ref="F34:M34" si="11">E34+F33</f>
        <v>1486629</v>
      </c>
      <c r="G34" s="6">
        <f t="shared" si="11"/>
        <v>1951422</v>
      </c>
      <c r="H34" s="6">
        <f t="shared" si="11"/>
        <v>2416215</v>
      </c>
      <c r="I34" s="6">
        <f t="shared" si="11"/>
        <v>2881008</v>
      </c>
      <c r="J34" s="6">
        <f t="shared" si="11"/>
        <v>3345801</v>
      </c>
      <c r="K34" s="6">
        <f t="shared" si="11"/>
        <v>3810594</v>
      </c>
      <c r="L34" s="6">
        <f t="shared" si="11"/>
        <v>4275387</v>
      </c>
      <c r="M34" s="6">
        <f t="shared" si="11"/>
        <v>4740180</v>
      </c>
      <c r="N34" s="6">
        <f t="shared" ref="N34" si="12">M34+N33</f>
        <v>5204973</v>
      </c>
      <c r="O34" s="6">
        <f t="shared" ref="O34" si="13">N34+O33</f>
        <v>5669766</v>
      </c>
    </row>
    <row r="35" spans="2:15" ht="20.100000000000001" customHeight="1" x14ac:dyDescent="0.25">
      <c r="B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ht="20.100000000000001" customHeight="1" x14ac:dyDescent="0.25">
      <c r="B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2:15" ht="20.100000000000001" customHeight="1" x14ac:dyDescent="0.25">
      <c r="B38" s="25" t="s">
        <v>32</v>
      </c>
    </row>
    <row r="39" spans="2:15" ht="20.100000000000001" customHeight="1" x14ac:dyDescent="0.25">
      <c r="B39" s="20" t="s">
        <v>28</v>
      </c>
      <c r="C39" s="22">
        <v>0.1</v>
      </c>
    </row>
    <row r="40" spans="2:15" ht="20.100000000000001" customHeight="1" x14ac:dyDescent="0.25">
      <c r="B40" s="20" t="s">
        <v>33</v>
      </c>
      <c r="C40" s="3">
        <v>2020</v>
      </c>
    </row>
    <row r="41" spans="2:15" ht="20.100000000000001" customHeight="1" x14ac:dyDescent="0.25">
      <c r="B41" s="20" t="s">
        <v>34</v>
      </c>
      <c r="C41" s="7">
        <f>C33</f>
        <v>-3161000</v>
      </c>
    </row>
    <row r="42" spans="2:15" ht="20.100000000000001" customHeight="1" x14ac:dyDescent="0.25">
      <c r="B42" s="20" t="s">
        <v>5</v>
      </c>
      <c r="C42" s="23">
        <f>NPV(C39,D29:O29)+C33</f>
        <v>82426.962162264623</v>
      </c>
      <c r="D42" s="10" t="s">
        <v>30</v>
      </c>
    </row>
    <row r="43" spans="2:15" ht="20.100000000000001" customHeight="1" x14ac:dyDescent="0.25">
      <c r="B43" s="20" t="s">
        <v>6</v>
      </c>
      <c r="C43" s="22">
        <f>IRR(C33:O33)</f>
        <v>0.1053762391384967</v>
      </c>
      <c r="D43" t="s">
        <v>45</v>
      </c>
    </row>
    <row r="44" spans="2:15" ht="20.100000000000001" customHeight="1" x14ac:dyDescent="0.25">
      <c r="B44" s="20" t="s">
        <v>35</v>
      </c>
      <c r="C44" s="24">
        <f>(O34/C33)*-1</f>
        <v>1.793662132236634</v>
      </c>
      <c r="D44" s="2" t="s">
        <v>31</v>
      </c>
      <c r="I44" s="2">
        <f>SUM(D29:O29)/12</f>
        <v>472480.5</v>
      </c>
      <c r="J44" s="39">
        <f>C33/I44</f>
        <v>-6.6902231943963821</v>
      </c>
    </row>
    <row r="46" spans="2:15" ht="20.100000000000001" customHeight="1" x14ac:dyDescent="0.25">
      <c r="B46" s="25" t="s">
        <v>36</v>
      </c>
    </row>
    <row r="47" spans="2:15" ht="20.100000000000001" customHeight="1" x14ac:dyDescent="0.25">
      <c r="B47" s="26" t="s">
        <v>37</v>
      </c>
      <c r="C47" s="29">
        <f>D7</f>
        <v>26000</v>
      </c>
    </row>
    <row r="48" spans="2:15" ht="20.100000000000001" customHeight="1" x14ac:dyDescent="0.25">
      <c r="B48" s="27" t="s">
        <v>38</v>
      </c>
      <c r="C48" s="6">
        <f>SUM(D21:O21)*-1</f>
        <v>7121040</v>
      </c>
    </row>
    <row r="49" spans="2:4" ht="20.100000000000001" customHeight="1" x14ac:dyDescent="0.25">
      <c r="B49" s="27" t="s">
        <v>39</v>
      </c>
      <c r="C49" s="6">
        <f>SUM(D6:O6)</f>
        <v>1404</v>
      </c>
    </row>
    <row r="50" spans="2:4" ht="20.100000000000001" customHeight="1" x14ac:dyDescent="0.25">
      <c r="B50" s="27" t="s">
        <v>40</v>
      </c>
      <c r="C50" s="23">
        <f>C48/C49</f>
        <v>5071.9658119658116</v>
      </c>
    </row>
    <row r="51" spans="2:4" ht="20.100000000000001" customHeight="1" x14ac:dyDescent="0.25">
      <c r="B51" s="27" t="s">
        <v>41</v>
      </c>
      <c r="C51" s="29">
        <f>C47-C50</f>
        <v>20928.034188034188</v>
      </c>
    </row>
    <row r="52" spans="2:4" ht="20.100000000000001" customHeight="1" x14ac:dyDescent="0.25">
      <c r="B52" s="27" t="s">
        <v>42</v>
      </c>
      <c r="C52" s="6">
        <f>SUM(D10:O10)*-1</f>
        <v>20062794</v>
      </c>
    </row>
    <row r="53" spans="2:4" ht="20.100000000000001" customHeight="1" thickBot="1" x14ac:dyDescent="0.3">
      <c r="B53" s="28" t="s">
        <v>43</v>
      </c>
      <c r="C53" s="6">
        <f>C52/C51</f>
        <v>958.65640411993888</v>
      </c>
      <c r="D53" t="s">
        <v>73</v>
      </c>
    </row>
    <row r="54" spans="2:4" ht="20.100000000000001" customHeight="1" x14ac:dyDescent="0.25">
      <c r="B54" s="21"/>
    </row>
    <row r="55" spans="2:4" ht="20.100000000000001" customHeight="1" thickBot="1" x14ac:dyDescent="0.3">
      <c r="B55" s="30" t="s">
        <v>44</v>
      </c>
      <c r="C55" s="6">
        <f>SUM(C33:O33)</f>
        <v>2508766</v>
      </c>
    </row>
  </sheetData>
  <mergeCells count="1">
    <mergeCell ref="B2:O2"/>
  </mergeCells>
  <hyperlinks>
    <hyperlink ref="B18" r:id="rId1" location="Hoja2!A1" xr:uid="{AFF0BDEB-3F37-48EC-BFFB-248B4CE48C4C}"/>
    <hyperlink ref="B23" r:id="rId2" location="Hoja2!A1" xr:uid="{7589BDD7-58E2-40E0-AA74-7B67E5E3FDC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DC82-6272-479C-9172-27CE45BDA57D}">
  <dimension ref="B3:K12"/>
  <sheetViews>
    <sheetView workbookViewId="0">
      <selection activeCell="K13" sqref="K13"/>
    </sheetView>
  </sheetViews>
  <sheetFormatPr baseColWidth="10" defaultRowHeight="18.75" customHeight="1" x14ac:dyDescent="0.25"/>
  <cols>
    <col min="2" max="2" width="26.85546875" bestFit="1" customWidth="1"/>
    <col min="3" max="3" width="11.7109375" customWidth="1"/>
    <col min="5" max="5" width="21" bestFit="1" customWidth="1"/>
    <col min="7" max="7" width="13.5703125" bestFit="1" customWidth="1"/>
    <col min="8" max="8" width="13.5703125" customWidth="1"/>
    <col min="10" max="10" width="25.85546875" bestFit="1" customWidth="1"/>
  </cols>
  <sheetData>
    <row r="3" spans="2:11" ht="15" x14ac:dyDescent="0.25">
      <c r="B3" s="31" t="s">
        <v>70</v>
      </c>
      <c r="C3" s="32"/>
      <c r="E3" s="33" t="s">
        <v>71</v>
      </c>
      <c r="F3" s="33"/>
      <c r="G3" s="33" t="s">
        <v>48</v>
      </c>
      <c r="H3" s="37" t="s">
        <v>72</v>
      </c>
      <c r="J3" s="33" t="s">
        <v>49</v>
      </c>
      <c r="K3" s="33">
        <f>SUM(K4:K8)</f>
        <v>130000</v>
      </c>
    </row>
    <row r="4" spans="2:11" ht="15" x14ac:dyDescent="0.25">
      <c r="B4" s="34" t="s">
        <v>50</v>
      </c>
      <c r="C4" s="35">
        <v>700000</v>
      </c>
      <c r="E4" s="34" t="s">
        <v>51</v>
      </c>
      <c r="F4" s="35">
        <v>22000</v>
      </c>
      <c r="G4" s="35">
        <v>809</v>
      </c>
      <c r="H4" s="35">
        <f>G4*120</f>
        <v>97080</v>
      </c>
      <c r="J4" s="34" t="s">
        <v>52</v>
      </c>
      <c r="K4" s="35">
        <v>20000</v>
      </c>
    </row>
    <row r="5" spans="2:11" ht="15" x14ac:dyDescent="0.25">
      <c r="B5" s="34" t="s">
        <v>53</v>
      </c>
      <c r="C5" s="35">
        <v>280000</v>
      </c>
      <c r="E5" s="34" t="s">
        <v>54</v>
      </c>
      <c r="F5" s="35">
        <v>3000</v>
      </c>
      <c r="G5" s="35"/>
      <c r="H5" s="35">
        <f t="shared" ref="H5:H11" si="0">G5*120</f>
        <v>0</v>
      </c>
      <c r="J5" s="34" t="s">
        <v>55</v>
      </c>
      <c r="K5" s="35">
        <v>75000</v>
      </c>
    </row>
    <row r="6" spans="2:11" ht="15" x14ac:dyDescent="0.25">
      <c r="B6" s="34" t="s">
        <v>56</v>
      </c>
      <c r="C6" s="35">
        <v>126000</v>
      </c>
      <c r="E6" s="3" t="s">
        <v>57</v>
      </c>
      <c r="F6" s="35">
        <v>3000</v>
      </c>
      <c r="G6" s="35"/>
      <c r="H6" s="35">
        <f t="shared" si="0"/>
        <v>0</v>
      </c>
      <c r="J6" s="34" t="s">
        <v>58</v>
      </c>
      <c r="K6" s="35">
        <v>23000</v>
      </c>
    </row>
    <row r="7" spans="2:11" ht="15" x14ac:dyDescent="0.25">
      <c r="B7" s="34" t="s">
        <v>59</v>
      </c>
      <c r="C7" s="35">
        <v>75000</v>
      </c>
      <c r="E7" s="34" t="s">
        <v>60</v>
      </c>
      <c r="F7" s="35">
        <v>185</v>
      </c>
      <c r="G7" s="35">
        <v>62</v>
      </c>
      <c r="H7" s="35">
        <f t="shared" si="0"/>
        <v>7440</v>
      </c>
      <c r="J7" s="3" t="s">
        <v>61</v>
      </c>
      <c r="K7" s="35">
        <v>3000</v>
      </c>
    </row>
    <row r="8" spans="2:11" ht="15" x14ac:dyDescent="0.25">
      <c r="B8" s="34" t="s">
        <v>62</v>
      </c>
      <c r="C8" s="35">
        <v>880000</v>
      </c>
      <c r="E8" s="34" t="s">
        <v>63</v>
      </c>
      <c r="F8" s="35">
        <v>990</v>
      </c>
      <c r="G8" s="35">
        <v>220</v>
      </c>
      <c r="H8" s="35">
        <f t="shared" si="0"/>
        <v>26400</v>
      </c>
      <c r="J8" s="34" t="s">
        <v>64</v>
      </c>
      <c r="K8" s="35">
        <v>9000</v>
      </c>
    </row>
    <row r="9" spans="2:11" ht="15" x14ac:dyDescent="0.25">
      <c r="B9" s="34" t="s">
        <v>65</v>
      </c>
      <c r="C9" s="35">
        <v>70000</v>
      </c>
      <c r="E9" s="34" t="s">
        <v>66</v>
      </c>
      <c r="F9" s="35">
        <v>32000</v>
      </c>
      <c r="G9" s="35">
        <v>345</v>
      </c>
      <c r="H9" s="35">
        <f t="shared" si="0"/>
        <v>41400</v>
      </c>
      <c r="K9" s="35">
        <f>SUM(K4:K8)</f>
        <v>130000</v>
      </c>
    </row>
    <row r="10" spans="2:11" ht="15" x14ac:dyDescent="0.25">
      <c r="B10" s="34" t="s">
        <v>67</v>
      </c>
      <c r="C10" s="35">
        <v>100000</v>
      </c>
      <c r="E10" s="34" t="s">
        <v>68</v>
      </c>
      <c r="F10" s="35">
        <v>4490</v>
      </c>
      <c r="G10" s="35">
        <v>225</v>
      </c>
      <c r="H10" s="35">
        <f t="shared" si="0"/>
        <v>27000</v>
      </c>
    </row>
    <row r="11" spans="2:11" ht="15" x14ac:dyDescent="0.25">
      <c r="C11" s="35">
        <f>SUM(C4:C10)</f>
        <v>2231000</v>
      </c>
      <c r="E11" s="34" t="s">
        <v>69</v>
      </c>
      <c r="F11" s="35">
        <v>6000</v>
      </c>
      <c r="G11" s="35">
        <v>100</v>
      </c>
      <c r="H11" s="35">
        <f t="shared" si="0"/>
        <v>12000</v>
      </c>
    </row>
    <row r="12" spans="2:11" ht="18.75" customHeight="1" x14ac:dyDescent="0.25">
      <c r="H12" s="35">
        <f>SUM(H4:H11)</f>
        <v>211320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Puro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Peralta RA4</dc:creator>
  <cp:lastModifiedBy>Monica Monje</cp:lastModifiedBy>
  <dcterms:created xsi:type="dcterms:W3CDTF">2020-04-11T21:09:21Z</dcterms:created>
  <dcterms:modified xsi:type="dcterms:W3CDTF">2021-04-25T17:48:46Z</dcterms:modified>
</cp:coreProperties>
</file>