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ngx\thesis\SCBA\2020\Cities\temp\"/>
    </mc:Choice>
  </mc:AlternateContent>
  <xr:revisionPtr revIDLastSave="0" documentId="13_ncr:1_{0BCBFFD0-E838-4AB5-B8E0-294669D4EB41}" xr6:coauthVersionLast="47" xr6:coauthVersionMax="47" xr10:uidLastSave="{00000000-0000-0000-0000-000000000000}"/>
  <bookViews>
    <workbookView xWindow="3000" yWindow="630" windowWidth="22230" windowHeight="11400" tabRatio="776" firstSheet="1" activeTab="1" xr2:uid="{00000000-000D-0000-FFFF-FFFF00000000}"/>
  </bookViews>
  <sheets>
    <sheet name="Sheet6" sheetId="14" state="hidden" r:id="rId1"/>
    <sheet name="SCBAA 2020" sheetId="12" r:id="rId2"/>
    <sheet name="SCBAA" sheetId="7" state="hidden" r:id="rId3"/>
    <sheet name="Sheet1" sheetId="6" state="hidden" r:id="rId4"/>
    <sheet name="Sheet2" sheetId="8" state="hidden" r:id="rId5"/>
    <sheet name="Sheet3" sheetId="9" state="hidden" r:id="rId6"/>
    <sheet name="Sheet4" sheetId="10" state="hidden" r:id="rId7"/>
    <sheet name="Sheet5" sheetId="11" state="hidden" r:id="rId8"/>
    <sheet name="Sheet7" sheetId="13" state="hidden" r:id="rId9"/>
  </sheets>
  <definedNames>
    <definedName name="_xlnm._FilterDatabase" localSheetId="2" hidden="1">SCBAA!$A$35:$F$98</definedName>
    <definedName name="OLE_LINK19" localSheetId="5">Sheet3!$BJ$24</definedName>
    <definedName name="_xlnm.Print_Area" localSheetId="2">SCBAA!$A$1:$F$100</definedName>
    <definedName name="_xlnm.Print_Area" localSheetId="1">'SCBAA 2020'!$A$1:$F$74</definedName>
    <definedName name="_xlnm.Print_Titles" localSheetId="2">SCBAA!$4:$6</definedName>
    <definedName name="_xlnm.Print_Titles" localSheetId="1">'SCBAA 2020'!$5:$6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3" l="1"/>
  <c r="AH13" i="13" s="1"/>
  <c r="AG13" i="13"/>
  <c r="AG12" i="13"/>
  <c r="AD24" i="13"/>
  <c r="AD25" i="13" s="1"/>
  <c r="AC24" i="13"/>
  <c r="AC25" i="13" s="1"/>
  <c r="X18" i="13"/>
  <c r="X19" i="13" s="1"/>
  <c r="Y18" i="13"/>
  <c r="Y19" i="13" s="1"/>
  <c r="Z18" i="13"/>
  <c r="Z19" i="13" s="1"/>
  <c r="W18" i="13"/>
  <c r="W19" i="13" s="1"/>
  <c r="S21" i="13"/>
  <c r="S22" i="13" s="1"/>
  <c r="R21" i="13"/>
  <c r="R22" i="13" s="1"/>
  <c r="O9" i="13"/>
  <c r="O10" i="13" s="1"/>
  <c r="N9" i="13"/>
  <c r="N10" i="13" s="1"/>
  <c r="K22" i="13"/>
  <c r="K23" i="13" s="1"/>
  <c r="G8" i="13"/>
  <c r="G9" i="13"/>
  <c r="F8" i="13"/>
  <c r="F9" i="13" s="1"/>
  <c r="C10" i="13" l="1"/>
  <c r="C11" i="13" s="1"/>
  <c r="B10" i="13"/>
  <c r="B11" i="13" s="1"/>
  <c r="D47" i="7" l="1"/>
  <c r="C333" i="11" l="1"/>
  <c r="C332" i="11"/>
  <c r="C330" i="11"/>
  <c r="B334" i="11"/>
  <c r="C334" i="11" s="1"/>
  <c r="B336" i="11" l="1"/>
  <c r="C336" i="11" s="1"/>
  <c r="D209" i="11" l="1"/>
  <c r="B209" i="11"/>
  <c r="D323" i="11"/>
  <c r="B323" i="11"/>
  <c r="D318" i="11"/>
  <c r="B318" i="11"/>
  <c r="D312" i="11"/>
  <c r="B312" i="11"/>
  <c r="D308" i="11"/>
  <c r="B308" i="11"/>
  <c r="C308" i="11" s="1"/>
  <c r="D296" i="11"/>
  <c r="B296" i="11"/>
  <c r="C296" i="11" s="1"/>
  <c r="C237" i="11"/>
  <c r="D239" i="11"/>
  <c r="B239" i="11"/>
  <c r="D214" i="11"/>
  <c r="B214" i="11"/>
  <c r="D205" i="11"/>
  <c r="B205" i="11"/>
  <c r="D193" i="11"/>
  <c r="B193" i="11"/>
  <c r="C322" i="11"/>
  <c r="C321" i="11"/>
  <c r="C320" i="11"/>
  <c r="C319" i="11"/>
  <c r="C317" i="11"/>
  <c r="C316" i="11"/>
  <c r="C315" i="11"/>
  <c r="C311" i="11"/>
  <c r="C310" i="11"/>
  <c r="C309" i="11"/>
  <c r="C307" i="11"/>
  <c r="C305" i="11"/>
  <c r="C304" i="11"/>
  <c r="C303" i="11"/>
  <c r="C302" i="11"/>
  <c r="C301" i="11"/>
  <c r="C300" i="11"/>
  <c r="C299" i="11"/>
  <c r="C295" i="11"/>
  <c r="C294" i="11"/>
  <c r="C293" i="11"/>
  <c r="C292" i="11"/>
  <c r="C291" i="11"/>
  <c r="C290" i="11"/>
  <c r="C289" i="11"/>
  <c r="C287" i="11"/>
  <c r="C286" i="11"/>
  <c r="C285" i="11"/>
  <c r="C283" i="11"/>
  <c r="C282" i="11"/>
  <c r="C281" i="11"/>
  <c r="C280" i="11"/>
  <c r="C279" i="11"/>
  <c r="C278" i="11"/>
  <c r="C276" i="11"/>
  <c r="C275" i="11"/>
  <c r="C274" i="11"/>
  <c r="C273" i="11"/>
  <c r="C271" i="11"/>
  <c r="C269" i="11"/>
  <c r="C268" i="11"/>
  <c r="C266" i="11"/>
  <c r="C264" i="11"/>
  <c r="C262" i="11"/>
  <c r="C261" i="11"/>
  <c r="C260" i="11"/>
  <c r="C258" i="11"/>
  <c r="C257" i="11"/>
  <c r="C255" i="11"/>
  <c r="C254" i="11"/>
  <c r="C253" i="11"/>
  <c r="C252" i="11"/>
  <c r="C251" i="11"/>
  <c r="C250" i="11"/>
  <c r="C249" i="11"/>
  <c r="C248" i="11"/>
  <c r="C247" i="11"/>
  <c r="C246" i="11"/>
  <c r="C245" i="11"/>
  <c r="C243" i="11"/>
  <c r="C241" i="11"/>
  <c r="C238" i="11"/>
  <c r="C236" i="11"/>
  <c r="C235" i="11"/>
  <c r="C234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19" i="11"/>
  <c r="C218" i="11"/>
  <c r="C213" i="11"/>
  <c r="C211" i="11"/>
  <c r="C204" i="11"/>
  <c r="C203" i="11"/>
  <c r="C202" i="11"/>
  <c r="C201" i="11"/>
  <c r="C200" i="11"/>
  <c r="C199" i="11"/>
  <c r="C198" i="11"/>
  <c r="C197" i="11"/>
  <c r="C196" i="11"/>
  <c r="C195" i="11"/>
  <c r="C192" i="11"/>
  <c r="C191" i="11"/>
  <c r="C190" i="11"/>
  <c r="C189" i="11"/>
  <c r="C188" i="11"/>
  <c r="C187" i="11"/>
  <c r="C186" i="11"/>
  <c r="C185" i="11"/>
  <c r="C182" i="11"/>
  <c r="C181" i="11"/>
  <c r="D183" i="11"/>
  <c r="B183" i="11"/>
  <c r="C183" i="11" s="1"/>
  <c r="C178" i="11"/>
  <c r="C177" i="11"/>
  <c r="C175" i="11"/>
  <c r="C173" i="11"/>
  <c r="C172" i="11"/>
  <c r="C171" i="11"/>
  <c r="C169" i="11"/>
  <c r="C168" i="11"/>
  <c r="C167" i="11"/>
  <c r="C166" i="11"/>
  <c r="C165" i="11"/>
  <c r="C163" i="11"/>
  <c r="C162" i="11"/>
  <c r="D179" i="11"/>
  <c r="B179" i="11"/>
  <c r="C153" i="11"/>
  <c r="C151" i="11"/>
  <c r="C150" i="11"/>
  <c r="C149" i="11"/>
  <c r="C147" i="11"/>
  <c r="C146" i="11"/>
  <c r="C145" i="11"/>
  <c r="C144" i="11"/>
  <c r="C142" i="11"/>
  <c r="C141" i="11"/>
  <c r="C140" i="11"/>
  <c r="C139" i="11"/>
  <c r="C138" i="11"/>
  <c r="C137" i="11"/>
  <c r="C136" i="11"/>
  <c r="C134" i="11"/>
  <c r="C133" i="11"/>
  <c r="C132" i="11"/>
  <c r="C131" i="11"/>
  <c r="C130" i="11"/>
  <c r="C129" i="11"/>
  <c r="C124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7" i="11"/>
  <c r="C54" i="11"/>
  <c r="C53" i="11"/>
  <c r="C52" i="11"/>
  <c r="C51" i="11"/>
  <c r="C50" i="11"/>
  <c r="C46" i="11"/>
  <c r="C45" i="11"/>
  <c r="C44" i="11"/>
  <c r="C43" i="11"/>
  <c r="C42" i="11"/>
  <c r="C41" i="11"/>
  <c r="C40" i="11"/>
  <c r="C39" i="11"/>
  <c r="C38" i="11"/>
  <c r="C35" i="11"/>
  <c r="C34" i="11"/>
  <c r="C33" i="11"/>
  <c r="C32" i="11"/>
  <c r="C30" i="11"/>
  <c r="C26" i="11"/>
  <c r="C25" i="11"/>
  <c r="C24" i="11"/>
  <c r="C23" i="11"/>
  <c r="C16" i="11"/>
  <c r="C15" i="11"/>
  <c r="C14" i="11"/>
  <c r="C13" i="11"/>
  <c r="C10" i="11"/>
  <c r="C9" i="11"/>
  <c r="C8" i="11"/>
  <c r="C6" i="11"/>
  <c r="C5" i="11"/>
  <c r="C4" i="11"/>
  <c r="D313" i="11" l="1"/>
  <c r="C318" i="11"/>
  <c r="C312" i="11"/>
  <c r="C209" i="11"/>
  <c r="B313" i="11"/>
  <c r="C323" i="11"/>
  <c r="C179" i="11"/>
  <c r="B206" i="11"/>
  <c r="B215" i="11" s="1"/>
  <c r="D206" i="11"/>
  <c r="D215" i="11" s="1"/>
  <c r="C214" i="11"/>
  <c r="C239" i="11"/>
  <c r="C193" i="11"/>
  <c r="C205" i="11"/>
  <c r="D324" i="11" l="1"/>
  <c r="C313" i="11"/>
  <c r="C206" i="11"/>
  <c r="C215" i="11"/>
  <c r="B324" i="11"/>
  <c r="C324" i="11" l="1"/>
  <c r="C155" i="11"/>
  <c r="D152" i="11"/>
  <c r="B152" i="11"/>
  <c r="D148" i="11"/>
  <c r="B148" i="11"/>
  <c r="D143" i="11"/>
  <c r="B143" i="11"/>
  <c r="C143" i="11" l="1"/>
  <c r="C152" i="11"/>
  <c r="C148" i="11"/>
  <c r="D135" i="11"/>
  <c r="D154" i="11" s="1"/>
  <c r="D156" i="11" s="1"/>
  <c r="B135" i="11"/>
  <c r="B154" i="11" s="1"/>
  <c r="D122" i="11"/>
  <c r="D55" i="11"/>
  <c r="D58" i="11" s="1"/>
  <c r="B55" i="11"/>
  <c r="B58" i="11" s="1"/>
  <c r="D36" i="11"/>
  <c r="B36" i="11"/>
  <c r="D47" i="11"/>
  <c r="B47" i="11"/>
  <c r="C21" i="11"/>
  <c r="C19" i="11"/>
  <c r="B27" i="11"/>
  <c r="B28" i="11" s="1"/>
  <c r="B122" i="11"/>
  <c r="C36" i="11" l="1"/>
  <c r="D48" i="11"/>
  <c r="C154" i="11"/>
  <c r="B156" i="11"/>
  <c r="C156" i="11" s="1"/>
  <c r="B48" i="11"/>
  <c r="C122" i="11"/>
  <c r="C47" i="11"/>
  <c r="C58" i="11"/>
  <c r="C55" i="11"/>
  <c r="D27" i="11"/>
  <c r="D17" i="11"/>
  <c r="C17" i="11" s="1"/>
  <c r="D11" i="11"/>
  <c r="B11" i="11"/>
  <c r="D7" i="11"/>
  <c r="B7" i="11"/>
  <c r="C48" i="11" l="1"/>
  <c r="C11" i="11"/>
  <c r="B125" i="11"/>
  <c r="C7" i="11"/>
  <c r="D28" i="11"/>
  <c r="C28" i="11" s="1"/>
  <c r="C27" i="11"/>
  <c r="EP10" i="9"/>
  <c r="EP11" i="9" s="1"/>
  <c r="EM20" i="9"/>
  <c r="EM21" i="9" s="1"/>
  <c r="EI22" i="9"/>
  <c r="EI23" i="9" s="1"/>
  <c r="EJ22" i="9"/>
  <c r="EJ23" i="9" s="1"/>
  <c r="EH22" i="9"/>
  <c r="EH23" i="9" s="1"/>
  <c r="EI9" i="9"/>
  <c r="EI10" i="9" s="1"/>
  <c r="EJ9" i="9"/>
  <c r="EJ10" i="9" s="1"/>
  <c r="EH9" i="9"/>
  <c r="EH10" i="9" s="1"/>
  <c r="EE8" i="9"/>
  <c r="EE9" i="9" s="1"/>
  <c r="ED8" i="9"/>
  <c r="ED9" i="9" s="1"/>
  <c r="EA7" i="9"/>
  <c r="EA8" i="9" s="1"/>
  <c r="DZ7" i="9"/>
  <c r="DZ8" i="9" s="1"/>
  <c r="DW23" i="9"/>
  <c r="DW24" i="9" s="1"/>
  <c r="DV23" i="9"/>
  <c r="DV24" i="9" s="1"/>
  <c r="DS13" i="9"/>
  <c r="DS14" i="9" s="1"/>
  <c r="DR13" i="9"/>
  <c r="DR14" i="9" s="1"/>
  <c r="DO7" i="9"/>
  <c r="DO8" i="9" s="1"/>
  <c r="DN7" i="9"/>
  <c r="DN8" i="9" s="1"/>
  <c r="DK12" i="9"/>
  <c r="DK13" i="9"/>
  <c r="DJ12" i="9"/>
  <c r="DJ13" i="9" s="1"/>
  <c r="DG14" i="9"/>
  <c r="DG15" i="9" s="1"/>
  <c r="DF14" i="9"/>
  <c r="DF15" i="9" s="1"/>
  <c r="DC35" i="9"/>
  <c r="DC36" i="9" s="1"/>
  <c r="DB35" i="9"/>
  <c r="DB36" i="9" s="1"/>
  <c r="CY30" i="9"/>
  <c r="CY31" i="9" s="1"/>
  <c r="CX30" i="9"/>
  <c r="CX31" i="9" s="1"/>
  <c r="CU10" i="9"/>
  <c r="CU11" i="9" s="1"/>
  <c r="CT10" i="9"/>
  <c r="CT11" i="9" s="1"/>
  <c r="CR6" i="9"/>
  <c r="CR7" i="9" s="1"/>
  <c r="CQ6" i="9"/>
  <c r="CQ7" i="9" s="1"/>
  <c r="CN10" i="9"/>
  <c r="CN11" i="9" s="1"/>
  <c r="CK29" i="9"/>
  <c r="CK30" i="9" s="1"/>
  <c r="CJ29" i="9"/>
  <c r="CJ30" i="9" s="1"/>
  <c r="CK14" i="9"/>
  <c r="CK15" i="9" s="1"/>
  <c r="CJ14" i="9"/>
  <c r="CJ15" i="9" s="1"/>
  <c r="CH8" i="9"/>
  <c r="CH9" i="9" s="1"/>
  <c r="CG8" i="9"/>
  <c r="CG9" i="9" s="1"/>
  <c r="CD23" i="9"/>
  <c r="CD24" i="9" s="1"/>
  <c r="CC23" i="9"/>
  <c r="CC24" i="9" s="1"/>
  <c r="CA7" i="9"/>
  <c r="CA8" i="9"/>
  <c r="BZ7" i="9"/>
  <c r="BZ8" i="9" s="1"/>
  <c r="BW10" i="9"/>
  <c r="BW11" i="9" s="1"/>
  <c r="BV10" i="9"/>
  <c r="BV11" i="9" s="1"/>
  <c r="BR8" i="9"/>
  <c r="BR9" i="9" s="1"/>
  <c r="BQ8" i="9"/>
  <c r="BQ9" i="9" s="1"/>
  <c r="BN11" i="9"/>
  <c r="BN12" i="9"/>
  <c r="BM11" i="9"/>
  <c r="BM12" i="9" s="1"/>
  <c r="BJ26" i="9"/>
  <c r="BJ28" i="9" s="1"/>
  <c r="BH26" i="9"/>
  <c r="BH27" i="9" s="1"/>
  <c r="BI26" i="9"/>
  <c r="BI27" i="9" s="1"/>
  <c r="BG26" i="9"/>
  <c r="BG27" i="9" s="1"/>
  <c r="BB11" i="9"/>
  <c r="BB17" i="9" s="1"/>
  <c r="BB18" i="9" s="1"/>
  <c r="BA11" i="9"/>
  <c r="BA12" i="9" s="1"/>
  <c r="EI24" i="9" l="1"/>
  <c r="EI25" i="9" s="1"/>
  <c r="EJ24" i="9"/>
  <c r="EJ25" i="9" s="1"/>
  <c r="CK31" i="9"/>
  <c r="CK32" i="9" s="1"/>
  <c r="D125" i="11"/>
  <c r="C125" i="11" s="1"/>
  <c r="EH24" i="9"/>
  <c r="EH25" i="9" s="1"/>
  <c r="CJ31" i="9"/>
  <c r="CJ32" i="9" s="1"/>
  <c r="BJ27" i="9"/>
  <c r="BB12" i="9"/>
  <c r="BA17" i="9"/>
  <c r="BA18" i="9" s="1"/>
  <c r="S6" i="10"/>
  <c r="R4" i="10"/>
  <c r="S4" i="10" s="1"/>
  <c r="R5" i="10"/>
  <c r="S5" i="10" s="1"/>
  <c r="R6" i="10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S34" i="10" s="1"/>
  <c r="R3" i="10"/>
  <c r="S3" i="10" s="1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" i="10"/>
  <c r="AX12" i="9"/>
  <c r="AX11" i="9"/>
  <c r="AX5" i="9"/>
  <c r="AX4" i="9"/>
  <c r="AQ10" i="9"/>
  <c r="AQ15" i="9" s="1"/>
  <c r="AQ16" i="9" s="1"/>
  <c r="AP10" i="9"/>
  <c r="AP15" i="9" s="1"/>
  <c r="AP16" i="9" s="1"/>
  <c r="AM27" i="9"/>
  <c r="AM28" i="9" s="1"/>
  <c r="AL27" i="9"/>
  <c r="AL28" i="9" s="1"/>
  <c r="AM11" i="9"/>
  <c r="AM12" i="9" s="1"/>
  <c r="AL11" i="9"/>
  <c r="AL12" i="9" s="1"/>
  <c r="AC18" i="9"/>
  <c r="AC19" i="9" s="1"/>
  <c r="AD18" i="9"/>
  <c r="AD19" i="9" s="1"/>
  <c r="AE18" i="9"/>
  <c r="AE19" i="9" s="1"/>
  <c r="AF18" i="9"/>
  <c r="AF19" i="9" s="1"/>
  <c r="AG18" i="9"/>
  <c r="AG19" i="9" s="1"/>
  <c r="AH18" i="9"/>
  <c r="AH19" i="9" s="1"/>
  <c r="AB18" i="9"/>
  <c r="AB19" i="9" s="1"/>
  <c r="Y28" i="9"/>
  <c r="Y29" i="9" s="1"/>
  <c r="X28" i="9"/>
  <c r="X29" i="9" s="1"/>
  <c r="Y9" i="9"/>
  <c r="X9" i="9"/>
  <c r="U11" i="9"/>
  <c r="U12" i="9" s="1"/>
  <c r="T11" i="9"/>
  <c r="T12" i="9" s="1"/>
  <c r="Q8" i="9"/>
  <c r="Q9" i="9" s="1"/>
  <c r="N7" i="9"/>
  <c r="N8" i="9" s="1"/>
  <c r="J25" i="9"/>
  <c r="J26" i="9" s="1"/>
  <c r="J12" i="9"/>
  <c r="F6" i="9"/>
  <c r="F7" i="9" s="1"/>
  <c r="C9" i="9"/>
  <c r="C10" i="9" s="1"/>
  <c r="B9" i="9"/>
  <c r="B10" i="9" s="1"/>
  <c r="C19" i="8"/>
  <c r="Y30" i="9" l="1"/>
  <c r="Y31" i="9" s="1"/>
  <c r="H35" i="10"/>
  <c r="I35" i="10" s="1"/>
  <c r="I3" i="10"/>
  <c r="AX13" i="9"/>
  <c r="X30" i="9"/>
  <c r="X31" i="9" s="1"/>
  <c r="X10" i="9"/>
  <c r="AP11" i="9"/>
  <c r="AM29" i="9"/>
  <c r="AM30" i="9" s="1"/>
  <c r="J28" i="9"/>
  <c r="J29" i="9" s="1"/>
  <c r="Y10" i="9"/>
  <c r="AL29" i="9"/>
  <c r="AL30" i="9" s="1"/>
  <c r="AQ11" i="9"/>
  <c r="J13" i="9"/>
  <c r="E105" i="7"/>
  <c r="E102" i="7"/>
  <c r="E103" i="7"/>
  <c r="C105" i="7"/>
  <c r="C103" i="7"/>
  <c r="C102" i="7"/>
  <c r="F88" i="7" l="1"/>
  <c r="D88" i="7"/>
  <c r="E58" i="7"/>
  <c r="E104" i="7" s="1"/>
  <c r="E98" i="7"/>
  <c r="C98" i="7"/>
  <c r="B98" i="7"/>
  <c r="F67" i="7"/>
  <c r="D67" i="7"/>
  <c r="F66" i="7"/>
  <c r="D66" i="7"/>
  <c r="F63" i="7"/>
  <c r="D63" i="7"/>
  <c r="C58" i="7"/>
  <c r="C104" i="7" s="1"/>
  <c r="B58" i="7"/>
  <c r="D53" i="7"/>
  <c r="E27" i="7"/>
  <c r="C27" i="7"/>
  <c r="B27" i="7"/>
  <c r="F18" i="7" l="1"/>
  <c r="F97" i="7" l="1"/>
  <c r="D97" i="7"/>
  <c r="F96" i="7"/>
  <c r="D96" i="7"/>
  <c r="F95" i="7"/>
  <c r="D95" i="7"/>
  <c r="F94" i="7"/>
  <c r="D94" i="7"/>
  <c r="F93" i="7"/>
  <c r="D93" i="7"/>
  <c r="F92" i="7"/>
  <c r="D92" i="7"/>
  <c r="F91" i="7"/>
  <c r="D91" i="7"/>
  <c r="F90" i="7"/>
  <c r="D90" i="7"/>
  <c r="E86" i="7"/>
  <c r="C86" i="7"/>
  <c r="B86" i="7"/>
  <c r="F85" i="7"/>
  <c r="D85" i="7"/>
  <c r="F84" i="7"/>
  <c r="D84" i="7"/>
  <c r="F83" i="7"/>
  <c r="D83" i="7"/>
  <c r="F82" i="7"/>
  <c r="D82" i="7"/>
  <c r="F81" i="7"/>
  <c r="D81" i="7"/>
  <c r="F80" i="7"/>
  <c r="D80" i="7"/>
  <c r="F79" i="7"/>
  <c r="D79" i="7"/>
  <c r="F78" i="7"/>
  <c r="D78" i="7"/>
  <c r="E76" i="7"/>
  <c r="C76" i="7"/>
  <c r="B76" i="7"/>
  <c r="F75" i="7"/>
  <c r="D75" i="7"/>
  <c r="F74" i="7"/>
  <c r="D74" i="7"/>
  <c r="F73" i="7"/>
  <c r="D73" i="7"/>
  <c r="F72" i="7"/>
  <c r="D72" i="7"/>
  <c r="F71" i="7"/>
  <c r="D71" i="7"/>
  <c r="F70" i="7"/>
  <c r="D70" i="7"/>
  <c r="F69" i="7"/>
  <c r="D69" i="7"/>
  <c r="F68" i="7"/>
  <c r="D68" i="7"/>
  <c r="F64" i="7"/>
  <c r="D64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F52" i="7"/>
  <c r="D52" i="7"/>
  <c r="F51" i="7"/>
  <c r="D51" i="7"/>
  <c r="F50" i="7"/>
  <c r="D50" i="7"/>
  <c r="F49" i="7"/>
  <c r="D49" i="7"/>
  <c r="F48" i="7"/>
  <c r="D48" i="7"/>
  <c r="F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23" i="7"/>
  <c r="F32" i="7"/>
  <c r="F31" i="7"/>
  <c r="F30" i="7"/>
  <c r="F29" i="7"/>
  <c r="F28" i="7"/>
  <c r="F26" i="7"/>
  <c r="F25" i="7"/>
  <c r="F24" i="7"/>
  <c r="D32" i="7"/>
  <c r="D31" i="7"/>
  <c r="D30" i="7"/>
  <c r="D29" i="7"/>
  <c r="D28" i="7"/>
  <c r="D26" i="7"/>
  <c r="D25" i="7"/>
  <c r="D24" i="7"/>
  <c r="D23" i="7"/>
  <c r="E21" i="7"/>
  <c r="C21" i="7"/>
  <c r="B21" i="7"/>
  <c r="F20" i="7"/>
  <c r="F19" i="7"/>
  <c r="D20" i="7"/>
  <c r="D19" i="7"/>
  <c r="D18" i="7"/>
  <c r="E16" i="7"/>
  <c r="E33" i="7" s="1"/>
  <c r="C16" i="7"/>
  <c r="B16" i="7"/>
  <c r="F10" i="7"/>
  <c r="D15" i="7"/>
  <c r="D14" i="7"/>
  <c r="D13" i="7"/>
  <c r="D12" i="7"/>
  <c r="D11" i="7"/>
  <c r="D10" i="7"/>
  <c r="E99" i="7" l="1"/>
  <c r="E100" i="7" s="1"/>
  <c r="F98" i="7"/>
  <c r="B33" i="7"/>
  <c r="C33" i="7"/>
  <c r="D86" i="7"/>
  <c r="D98" i="7"/>
  <c r="B99" i="7"/>
  <c r="F86" i="7"/>
  <c r="C99" i="7"/>
  <c r="D27" i="7"/>
  <c r="F27" i="7"/>
  <c r="D76" i="7"/>
  <c r="F76" i="7"/>
  <c r="D16" i="7"/>
  <c r="D21" i="7"/>
  <c r="F21" i="7"/>
  <c r="F15" i="7"/>
  <c r="F14" i="7"/>
  <c r="F13" i="7"/>
  <c r="F12" i="7"/>
  <c r="F11" i="7"/>
  <c r="B100" i="7" l="1"/>
  <c r="C100" i="7"/>
  <c r="F99" i="7"/>
  <c r="D99" i="7"/>
  <c r="D33" i="7"/>
  <c r="F16" i="7"/>
  <c r="F33" i="7" s="1"/>
  <c r="F100" i="7" l="1"/>
  <c r="D100" i="7"/>
  <c r="C559" i="6" l="1"/>
  <c r="G549" i="6"/>
  <c r="F549" i="6"/>
  <c r="E549" i="6"/>
  <c r="D549" i="6"/>
  <c r="C549" i="6"/>
  <c r="C531" i="6"/>
  <c r="E510" i="6"/>
  <c r="E511" i="6" s="1"/>
  <c r="D511" i="6"/>
  <c r="C511" i="6"/>
  <c r="E501" i="6"/>
  <c r="E500" i="6"/>
  <c r="E498" i="6"/>
  <c r="D502" i="6"/>
  <c r="C502" i="6"/>
  <c r="E486" i="6"/>
  <c r="C491" i="6"/>
  <c r="D474" i="6"/>
  <c r="C474" i="6"/>
  <c r="E465" i="6"/>
  <c r="C465" i="6"/>
  <c r="D457" i="6"/>
  <c r="C457" i="6"/>
  <c r="D411" i="6"/>
  <c r="D431" i="6"/>
  <c r="D434" i="6" s="1"/>
  <c r="C431" i="6"/>
  <c r="F417" i="6"/>
  <c r="G417" i="6" s="1"/>
  <c r="F416" i="6"/>
  <c r="G416" i="6" s="1"/>
  <c r="F415" i="6"/>
  <c r="G415" i="6" s="1"/>
  <c r="D418" i="6"/>
  <c r="C418" i="6"/>
  <c r="D512" i="6" l="1"/>
  <c r="C512" i="6"/>
  <c r="F418" i="6"/>
  <c r="G418" i="6" s="1"/>
  <c r="E502" i="6"/>
  <c r="E512" i="6" s="1"/>
  <c r="F404" i="6"/>
  <c r="G404" i="6" s="1"/>
  <c r="F403" i="6"/>
  <c r="G403" i="6" s="1"/>
  <c r="F402" i="6"/>
  <c r="G402" i="6" s="1"/>
  <c r="F401" i="6"/>
  <c r="G401" i="6" s="1"/>
  <c r="F400" i="6"/>
  <c r="G400" i="6" s="1"/>
  <c r="D405" i="6"/>
  <c r="C405" i="6"/>
  <c r="F392" i="6"/>
  <c r="G392" i="6" s="1"/>
  <c r="F391" i="6"/>
  <c r="G391" i="6" s="1"/>
  <c r="F390" i="6"/>
  <c r="G390" i="6" s="1"/>
  <c r="F389" i="6"/>
  <c r="G389" i="6" s="1"/>
  <c r="F387" i="6"/>
  <c r="G387" i="6" s="1"/>
  <c r="F386" i="6"/>
  <c r="G386" i="6" s="1"/>
  <c r="F385" i="6"/>
  <c r="G385" i="6" s="1"/>
  <c r="D393" i="6"/>
  <c r="D396" i="6" s="1"/>
  <c r="C393" i="6"/>
  <c r="F375" i="6"/>
  <c r="G375" i="6" s="1"/>
  <c r="F373" i="6"/>
  <c r="G373" i="6" s="1"/>
  <c r="F371" i="6"/>
  <c r="G371" i="6" s="1"/>
  <c r="F370" i="6"/>
  <c r="G370" i="6" s="1"/>
  <c r="F369" i="6"/>
  <c r="G369" i="6" s="1"/>
  <c r="F366" i="6"/>
  <c r="G366" i="6" s="1"/>
  <c r="F365" i="6"/>
  <c r="G365" i="6" s="1"/>
  <c r="F362" i="6"/>
  <c r="F361" i="6"/>
  <c r="G361" i="6" s="1"/>
  <c r="F360" i="6"/>
  <c r="G360" i="6" s="1"/>
  <c r="F359" i="6"/>
  <c r="G359" i="6" s="1"/>
  <c r="F358" i="6"/>
  <c r="G358" i="6" s="1"/>
  <c r="F357" i="6"/>
  <c r="G357" i="6" s="1"/>
  <c r="F356" i="6"/>
  <c r="G356" i="6" s="1"/>
  <c r="F355" i="6"/>
  <c r="G355" i="6" s="1"/>
  <c r="F354" i="6"/>
  <c r="G354" i="6" s="1"/>
  <c r="F353" i="6"/>
  <c r="G353" i="6" s="1"/>
  <c r="F352" i="6"/>
  <c r="G352" i="6" s="1"/>
  <c r="F349" i="6"/>
  <c r="G349" i="6" s="1"/>
  <c r="F346" i="6"/>
  <c r="G346" i="6" s="1"/>
  <c r="D376" i="6"/>
  <c r="D379" i="6" s="1"/>
  <c r="C376" i="6"/>
  <c r="J327" i="6"/>
  <c r="I327" i="6"/>
  <c r="K326" i="6"/>
  <c r="K325" i="6"/>
  <c r="F337" i="6"/>
  <c r="G337" i="6" s="1"/>
  <c r="F335" i="6"/>
  <c r="G335" i="6" s="1"/>
  <c r="F334" i="6"/>
  <c r="G334" i="6" s="1"/>
  <c r="F333" i="6"/>
  <c r="G333" i="6" s="1"/>
  <c r="F332" i="6"/>
  <c r="G332" i="6" s="1"/>
  <c r="F329" i="6"/>
  <c r="F328" i="6"/>
  <c r="G328" i="6" s="1"/>
  <c r="F327" i="6"/>
  <c r="G327" i="6" s="1"/>
  <c r="F326" i="6"/>
  <c r="G326" i="6" s="1"/>
  <c r="F325" i="6"/>
  <c r="G325" i="6" s="1"/>
  <c r="F324" i="6"/>
  <c r="G324" i="6" s="1"/>
  <c r="F323" i="6"/>
  <c r="G323" i="6" s="1"/>
  <c r="F322" i="6"/>
  <c r="G322" i="6" s="1"/>
  <c r="F321" i="6"/>
  <c r="G321" i="6" s="1"/>
  <c r="F320" i="6"/>
  <c r="G320" i="6" s="1"/>
  <c r="F319" i="6"/>
  <c r="G319" i="6" s="1"/>
  <c r="F318" i="6"/>
  <c r="G318" i="6" s="1"/>
  <c r="F315" i="6"/>
  <c r="G315" i="6" s="1"/>
  <c r="F314" i="6"/>
  <c r="G314" i="6" s="1"/>
  <c r="D338" i="6"/>
  <c r="D340" i="6" s="1"/>
  <c r="C338" i="6"/>
  <c r="D309" i="6"/>
  <c r="C309" i="6"/>
  <c r="F288" i="6"/>
  <c r="G288" i="6" s="1"/>
  <c r="F287" i="6"/>
  <c r="G287" i="6" s="1"/>
  <c r="F286" i="6"/>
  <c r="G286" i="6" s="1"/>
  <c r="F285" i="6"/>
  <c r="G285" i="6" s="1"/>
  <c r="F284" i="6"/>
  <c r="G284" i="6" s="1"/>
  <c r="F283" i="6"/>
  <c r="G283" i="6" s="1"/>
  <c r="F282" i="6"/>
  <c r="G282" i="6" s="1"/>
  <c r="F281" i="6"/>
  <c r="G281" i="6" s="1"/>
  <c r="F280" i="6"/>
  <c r="G280" i="6" s="1"/>
  <c r="F279" i="6"/>
  <c r="G279" i="6" s="1"/>
  <c r="F275" i="6"/>
  <c r="G275" i="6" s="1"/>
  <c r="F274" i="6"/>
  <c r="G274" i="6" s="1"/>
  <c r="F273" i="6"/>
  <c r="G273" i="6" s="1"/>
  <c r="F271" i="6"/>
  <c r="G271" i="6" s="1"/>
  <c r="F270" i="6"/>
  <c r="G270" i="6" s="1"/>
  <c r="F269" i="6"/>
  <c r="G269" i="6" s="1"/>
  <c r="F268" i="6"/>
  <c r="G268" i="6" s="1"/>
  <c r="F267" i="6"/>
  <c r="G267" i="6" s="1"/>
  <c r="D289" i="6"/>
  <c r="C289" i="6"/>
  <c r="D276" i="6"/>
  <c r="C276" i="6"/>
  <c r="D259" i="6"/>
  <c r="C259" i="6"/>
  <c r="F289" i="6" l="1"/>
  <c r="G289" i="6" s="1"/>
  <c r="D290" i="6"/>
  <c r="F376" i="6"/>
  <c r="G376" i="6" s="1"/>
  <c r="C290" i="6"/>
  <c r="K327" i="6"/>
  <c r="F393" i="6"/>
  <c r="G393" i="6" s="1"/>
  <c r="F338" i="6"/>
  <c r="G338" i="6" s="1"/>
  <c r="C436" i="6"/>
  <c r="D436" i="6"/>
  <c r="D438" i="6"/>
  <c r="F405" i="6"/>
  <c r="G405" i="6" s="1"/>
  <c r="F276" i="6"/>
  <c r="G276" i="6" s="1"/>
  <c r="D439" i="6"/>
  <c r="F290" i="6" l="1"/>
  <c r="G290" i="6" s="1"/>
  <c r="D440" i="6"/>
  <c r="F250" i="6"/>
  <c r="G250" i="6" s="1"/>
  <c r="F249" i="6"/>
  <c r="G249" i="6" s="1"/>
  <c r="F246" i="6"/>
  <c r="G246" i="6" s="1"/>
  <c r="F244" i="6"/>
  <c r="G244" i="6" s="1"/>
  <c r="F243" i="6"/>
  <c r="G243" i="6" s="1"/>
  <c r="F242" i="6"/>
  <c r="G242" i="6" s="1"/>
  <c r="F239" i="6"/>
  <c r="G239" i="6" s="1"/>
  <c r="F238" i="6"/>
  <c r="G238" i="6" s="1"/>
  <c r="F237" i="6"/>
  <c r="G237" i="6" s="1"/>
  <c r="F236" i="6"/>
  <c r="G236" i="6" s="1"/>
  <c r="F235" i="6"/>
  <c r="G235" i="6" s="1"/>
  <c r="F232" i="6"/>
  <c r="F231" i="6"/>
  <c r="G231" i="6" s="1"/>
  <c r="D251" i="6"/>
  <c r="C251" i="6"/>
  <c r="D224" i="6"/>
  <c r="C224" i="6"/>
  <c r="D214" i="6"/>
  <c r="C214" i="6"/>
  <c r="F213" i="6"/>
  <c r="G213" i="6" s="1"/>
  <c r="F212" i="6"/>
  <c r="G212" i="6" s="1"/>
  <c r="F211" i="6"/>
  <c r="G211" i="6" s="1"/>
  <c r="E206" i="6"/>
  <c r="C206" i="6"/>
  <c r="F197" i="6"/>
  <c r="G197" i="6" s="1"/>
  <c r="F196" i="6"/>
  <c r="G196" i="6" s="1"/>
  <c r="F195" i="6"/>
  <c r="G195" i="6" s="1"/>
  <c r="F194" i="6"/>
  <c r="G194" i="6" s="1"/>
  <c r="D198" i="6"/>
  <c r="C198" i="6"/>
  <c r="F186" i="6"/>
  <c r="G186" i="6" s="1"/>
  <c r="F185" i="6"/>
  <c r="G185" i="6" s="1"/>
  <c r="F184" i="6"/>
  <c r="G184" i="6" s="1"/>
  <c r="F183" i="6"/>
  <c r="G183" i="6" s="1"/>
  <c r="F182" i="6"/>
  <c r="G182" i="6" s="1"/>
  <c r="F181" i="6"/>
  <c r="G181" i="6" s="1"/>
  <c r="F180" i="6"/>
  <c r="G180" i="6" s="1"/>
  <c r="D187" i="6"/>
  <c r="C187" i="6"/>
  <c r="F161" i="6"/>
  <c r="F159" i="6"/>
  <c r="F158" i="6"/>
  <c r="F160" i="6" s="1"/>
  <c r="C175" i="6"/>
  <c r="F152" i="6"/>
  <c r="G152" i="6" s="1"/>
  <c r="F150" i="6"/>
  <c r="G150" i="6" s="1"/>
  <c r="F147" i="6"/>
  <c r="G147" i="6" s="1"/>
  <c r="F146" i="6"/>
  <c r="G146" i="6" s="1"/>
  <c r="F145" i="6"/>
  <c r="G145" i="6" s="1"/>
  <c r="F144" i="6"/>
  <c r="G144" i="6" s="1"/>
  <c r="D148" i="6"/>
  <c r="C148" i="6"/>
  <c r="E138" i="6"/>
  <c r="F132" i="6"/>
  <c r="F131" i="6"/>
  <c r="F130" i="6"/>
  <c r="F129" i="6"/>
  <c r="F128" i="6"/>
  <c r="F127" i="6"/>
  <c r="F126" i="6"/>
  <c r="F125" i="6"/>
  <c r="F124" i="6"/>
  <c r="E133" i="6"/>
  <c r="D133" i="6"/>
  <c r="C133" i="6"/>
  <c r="F251" i="6" l="1"/>
  <c r="G251" i="6" s="1"/>
  <c r="F187" i="6"/>
  <c r="G187" i="6" s="1"/>
  <c r="G160" i="6"/>
  <c r="F198" i="6"/>
  <c r="G198" i="6" s="1"/>
  <c r="G232" i="6"/>
  <c r="F214" i="6"/>
  <c r="G214" i="6" s="1"/>
  <c r="F133" i="6"/>
  <c r="F116" i="6" l="1"/>
  <c r="G116" i="6" s="1"/>
  <c r="D117" i="6"/>
  <c r="C117" i="6"/>
  <c r="C114" i="6"/>
  <c r="D114" i="6"/>
  <c r="F113" i="6"/>
  <c r="G113" i="6" s="1"/>
  <c r="F112" i="6"/>
  <c r="G112" i="6" s="1"/>
  <c r="F111" i="6"/>
  <c r="G111" i="6" s="1"/>
  <c r="F110" i="6"/>
  <c r="G110" i="6" s="1"/>
  <c r="F109" i="6"/>
  <c r="D102" i="6"/>
  <c r="C102" i="6"/>
  <c r="D90" i="6"/>
  <c r="C90" i="6"/>
  <c r="F101" i="6"/>
  <c r="G101" i="6" s="1"/>
  <c r="F100" i="6"/>
  <c r="G100" i="6" s="1"/>
  <c r="F98" i="6"/>
  <c r="G98" i="6" s="1"/>
  <c r="F96" i="6"/>
  <c r="G96" i="6" s="1"/>
  <c r="F95" i="6"/>
  <c r="F94" i="6"/>
  <c r="G94" i="6" s="1"/>
  <c r="F93" i="6"/>
  <c r="G93" i="6" s="1"/>
  <c r="F92" i="6"/>
  <c r="G92" i="6" s="1"/>
  <c r="F91" i="6"/>
  <c r="G91" i="6" s="1"/>
  <c r="F89" i="6"/>
  <c r="F88" i="6"/>
  <c r="G88" i="6" s="1"/>
  <c r="F86" i="6"/>
  <c r="F85" i="6"/>
  <c r="G85" i="6" s="1"/>
  <c r="F84" i="6"/>
  <c r="G84" i="6" s="1"/>
  <c r="F77" i="6"/>
  <c r="G77" i="6" s="1"/>
  <c r="F76" i="6"/>
  <c r="G76" i="6" s="1"/>
  <c r="F75" i="6"/>
  <c r="G75" i="6" s="1"/>
  <c r="F73" i="6"/>
  <c r="G73" i="6" s="1"/>
  <c r="F72" i="6"/>
  <c r="G72" i="6" s="1"/>
  <c r="F70" i="6"/>
  <c r="G70" i="6" s="1"/>
  <c r="F69" i="6"/>
  <c r="G69" i="6" s="1"/>
  <c r="D78" i="6"/>
  <c r="C78" i="6"/>
  <c r="D67" i="6"/>
  <c r="C67" i="6"/>
  <c r="F66" i="6"/>
  <c r="G66" i="6" s="1"/>
  <c r="D64" i="6"/>
  <c r="C64" i="6"/>
  <c r="F63" i="6"/>
  <c r="G63" i="6" s="1"/>
  <c r="F62" i="6"/>
  <c r="G62" i="6" s="1"/>
  <c r="F61" i="6"/>
  <c r="G61" i="6" s="1"/>
  <c r="F60" i="6"/>
  <c r="G60" i="6" s="1"/>
  <c r="F53" i="6"/>
  <c r="F51" i="6"/>
  <c r="G51" i="6" s="1"/>
  <c r="F48" i="6"/>
  <c r="G48" i="6" s="1"/>
  <c r="D54" i="6"/>
  <c r="C54" i="6"/>
  <c r="D39" i="6"/>
  <c r="D31" i="6"/>
  <c r="D24" i="6"/>
  <c r="C13" i="6"/>
  <c r="F6" i="6"/>
  <c r="G6" i="6" s="1"/>
  <c r="F5" i="6"/>
  <c r="G5" i="6" s="1"/>
  <c r="F4" i="6"/>
  <c r="G4" i="6" s="1"/>
  <c r="D32" i="6" l="1"/>
  <c r="D118" i="6"/>
  <c r="F114" i="6"/>
  <c r="F118" i="6" s="1"/>
  <c r="D79" i="6"/>
  <c r="C103" i="6"/>
  <c r="F78" i="6"/>
  <c r="G78" i="6" s="1"/>
  <c r="D103" i="6"/>
  <c r="F67" i="6"/>
  <c r="G67" i="6" s="1"/>
  <c r="F54" i="6"/>
  <c r="G54" i="6" s="1"/>
  <c r="C118" i="6"/>
  <c r="D41" i="6"/>
  <c r="F7" i="6"/>
  <c r="G53" i="6"/>
  <c r="F64" i="6"/>
  <c r="G64" i="6" s="1"/>
  <c r="C79" i="6"/>
  <c r="G109" i="6"/>
  <c r="F103" i="6"/>
  <c r="G86" i="6"/>
  <c r="G118" i="6" l="1"/>
  <c r="G114" i="6"/>
  <c r="G103" i="6"/>
  <c r="F79" i="6"/>
  <c r="G79" i="6" s="1"/>
  <c r="D7" i="6"/>
  <c r="G7" i="6" s="1"/>
  <c r="C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coa</author>
  </authors>
  <commentList>
    <comment ref="E1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295,659,029.43</t>
        </r>
      </text>
    </comment>
    <comment ref="F1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(108,319,056.08)</t>
        </r>
      </text>
    </comment>
    <comment ref="B14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81,000,000</t>
        </r>
      </text>
    </comment>
    <comment ref="C1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81,000,000</t>
        </r>
      </text>
    </comment>
    <comment ref="E14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26,431,693.16</t>
        </r>
      </text>
    </comment>
    <comment ref="F14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54,568,306.84</t>
        </r>
      </text>
    </comment>
    <comment ref="B18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35,120,000</t>
        </r>
      </text>
    </comment>
    <comment ref="C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35,120,000</t>
        </r>
      </text>
    </comment>
    <comment ref="E18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29,380,366.85</t>
        </r>
      </text>
    </comment>
    <comment ref="F18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5,739,343.15</t>
        </r>
      </text>
    </comment>
    <comment ref="B19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53,118,000</t>
        </r>
      </text>
    </comment>
    <comment ref="C19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53,118,000</t>
        </r>
      </text>
    </comment>
    <comment ref="E19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28,152,696.04</t>
        </r>
      </text>
    </comment>
    <comment ref="F19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24,965,303.96</t>
        </r>
      </text>
    </comment>
    <comment ref="A24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share from GOCCs</t>
        </r>
      </text>
    </comment>
    <comment ref="A2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should be under Other Receipts</t>
        </r>
      </text>
    </comment>
    <comment ref="A2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sub-accounts under Other Receipts: a.) Grants and Donations; b.) Other Subsidy Income</t>
        </r>
      </text>
    </comment>
    <comment ref="E27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239,543,724.01</t>
        </r>
      </text>
    </comment>
    <comment ref="F27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(239,543,724.01)</t>
        </r>
      </text>
    </comment>
    <comment ref="B33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1,401,193,004.00</t>
        </r>
      </text>
    </comment>
    <comment ref="C33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1,401,193,004.00</t>
        </r>
      </text>
    </comment>
    <comment ref="E33" authorId="0" shapeId="0" xr:uid="{00000000-0006-0000-0600-000016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1,541,168,478.81</t>
        </r>
      </text>
    </comment>
    <comment ref="F33" authorId="0" shapeId="0" xr:uid="{00000000-0006-0000-0600-000017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(139,975,474.81)</t>
        </r>
      </text>
    </comment>
    <comment ref="B40" authorId="0" shapeId="0" xr:uid="{00000000-0006-0000-0600-000018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6,381,581</t>
        </r>
      </text>
    </comment>
    <comment ref="C40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6,665,163.96</t>
        </r>
      </text>
    </comment>
    <comment ref="D40" authorId="0" shapeId="0" xr:uid="{00000000-0006-0000-0600-00001A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(283,582.96)</t>
        </r>
      </text>
    </comment>
    <comment ref="E40" authorId="0" shapeId="0" xr:uid="{00000000-0006-0000-0600-00001B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2,248,620.78</t>
        </r>
      </text>
    </comment>
    <comment ref="F40" authorId="0" shapeId="0" xr:uid="{00000000-0006-0000-0600-00001C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4,416,543.18</t>
        </r>
      </text>
    </comment>
    <comment ref="B41" authorId="0" shapeId="0" xr:uid="{00000000-0006-0000-0600-00001D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17,515,010</t>
        </r>
      </text>
    </comment>
    <comment ref="C41" authorId="0" shapeId="0" xr:uid="{00000000-0006-0000-0600-00001E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17,909,010</t>
        </r>
      </text>
    </comment>
    <comment ref="D41" authorId="0" shapeId="0" xr:uid="{00000000-0006-0000-0600-00001F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(394,000)</t>
        </r>
      </text>
    </comment>
    <comment ref="E41" authorId="0" shapeId="0" xr:uid="{00000000-0006-0000-0600-000020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8,631,807.94</t>
        </r>
      </text>
    </comment>
    <comment ref="F41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9,277,202.06</t>
        </r>
      </text>
    </comment>
    <comment ref="B42" authorId="0" shapeId="0" xr:uid="{00000000-0006-0000-0600-000022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88,000</t>
        </r>
      </text>
    </comment>
    <comment ref="C42" authorId="0" shapeId="0" xr:uid="{00000000-0006-0000-0600-000023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88,000</t>
        </r>
      </text>
    </comment>
    <comment ref="D42" authorId="0" shapeId="0" xr:uid="{00000000-0006-0000-0600-000024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-0-</t>
        </r>
      </text>
    </comment>
    <comment ref="E42" authorId="0" shapeId="0" xr:uid="{00000000-0006-0000-0600-000025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62,000</t>
        </r>
      </text>
    </comment>
    <comment ref="F42" authorId="0" shapeId="0" xr:uid="{00000000-0006-0000-0600-000026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26,000</t>
        </r>
      </text>
    </comment>
    <comment ref="B44" authorId="0" shapeId="0" xr:uid="{00000000-0006-0000-0600-000027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74,535,811</t>
        </r>
      </text>
    </comment>
    <comment ref="C44" authorId="0" shapeId="0" xr:uid="{00000000-0006-0000-0600-000028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77,109,780.84</t>
        </r>
      </text>
    </comment>
    <comment ref="D44" authorId="0" shapeId="0" xr:uid="{00000000-0006-0000-0600-000029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(2,573,969.84)</t>
        </r>
      </text>
    </comment>
    <comment ref="E44" authorId="0" shapeId="0" xr:uid="{00000000-0006-0000-0600-00002A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63,648,847.49</t>
        </r>
      </text>
    </comment>
    <comment ref="F44" authorId="0" shapeId="0" xr:uid="{00000000-0006-0000-0600-00002B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13,460,933.35</t>
        </r>
      </text>
    </comment>
    <comment ref="B45" authorId="0" shapeId="0" xr:uid="{00000000-0006-0000-0600-00002C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39,439,000</t>
        </r>
      </text>
    </comment>
    <comment ref="C45" authorId="0" shapeId="0" xr:uid="{00000000-0006-0000-0600-00002D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44,556,448</t>
        </r>
      </text>
    </comment>
    <comment ref="D45" authorId="0" shapeId="0" xr:uid="{00000000-0006-0000-0600-00002E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(5,117,448)</t>
        </r>
      </text>
    </comment>
    <comment ref="E45" authorId="0" shapeId="0" xr:uid="{00000000-0006-0000-0600-00002F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32,507,041.82</t>
        </r>
      </text>
    </comment>
    <comment ref="F45" authorId="0" shapeId="0" xr:uid="{00000000-0006-0000-0600-000030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12,049,406.18</t>
        </r>
      </text>
    </comment>
    <comment ref="B46" authorId="0" shapeId="0" xr:uid="{00000000-0006-0000-0600-000031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-0-</t>
        </r>
      </text>
    </comment>
    <comment ref="C46" authorId="0" shapeId="0" xr:uid="{00000000-0006-0000-0600-000032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-0-</t>
        </r>
      </text>
    </comment>
    <comment ref="F46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-0-</t>
        </r>
      </text>
    </comment>
    <comment ref="B58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84,530,000</t>
        </r>
      </text>
    </comment>
    <comment ref="C58" authorId="0" shapeId="0" xr:uid="{00000000-0006-0000-0600-000035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95,030,000</t>
        </r>
      </text>
    </comment>
    <comment ref="E58" authorId="0" shapeId="0" xr:uid="{00000000-0006-0000-0600-000036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80,022,806.59</t>
        </r>
      </text>
    </comment>
    <comment ref="F58" authorId="0" shapeId="0" xr:uid="{00000000-0006-0000-0600-000037000000}">
      <text>
        <r>
          <rPr>
            <b/>
            <sz val="9"/>
            <color indexed="81"/>
            <rFont val="Tahoma"/>
            <family val="2"/>
          </rPr>
          <t>coa:</t>
        </r>
        <r>
          <rPr>
            <sz val="9"/>
            <color indexed="81"/>
            <rFont val="Tahoma"/>
            <family val="2"/>
          </rPr>
          <t xml:space="preserve">
per AFR: 15,007,193.41</t>
        </r>
      </text>
    </comment>
  </commentList>
</comments>
</file>

<file path=xl/sharedStrings.xml><?xml version="1.0" encoding="utf-8"?>
<sst xmlns="http://schemas.openxmlformats.org/spreadsheetml/2006/main" count="1950" uniqueCount="860">
  <si>
    <t>GF</t>
  </si>
  <si>
    <t>SEF</t>
  </si>
  <si>
    <t>ASSETS</t>
  </si>
  <si>
    <t>Total Liabilities</t>
  </si>
  <si>
    <t>Government Equity</t>
  </si>
  <si>
    <t>Revenue</t>
  </si>
  <si>
    <t>Total Revenue</t>
  </si>
  <si>
    <t>Surplus (Deficit) for the period</t>
  </si>
  <si>
    <t>Balance at December 31, 2019</t>
  </si>
  <si>
    <t>Cash and Cash Equivalents</t>
  </si>
  <si>
    <t>Investments</t>
  </si>
  <si>
    <t>Receivables</t>
  </si>
  <si>
    <t>Prepayments and Deferred Charges</t>
  </si>
  <si>
    <t>Investment Property</t>
  </si>
  <si>
    <t>Property, Plant and Equipment</t>
  </si>
  <si>
    <t>Intangible Assets</t>
  </si>
  <si>
    <t>Current Liabilities</t>
  </si>
  <si>
    <t>Financial Liabilities</t>
  </si>
  <si>
    <t>Inter-Agency Payables</t>
  </si>
  <si>
    <t>Trust Liabilities</t>
  </si>
  <si>
    <t>Non-Current Liabilities</t>
  </si>
  <si>
    <t>Other Payables</t>
  </si>
  <si>
    <t>Statement of Comparison of Budget and Actual Amounts</t>
  </si>
  <si>
    <t>Particulars</t>
  </si>
  <si>
    <t>Difference Original and Final Budget</t>
  </si>
  <si>
    <t>Actual Amounts</t>
  </si>
  <si>
    <t xml:space="preserve">Difference Final Budget and Actual </t>
  </si>
  <si>
    <t>Budgeted Amounts</t>
  </si>
  <si>
    <t>Original</t>
  </si>
  <si>
    <t>Final</t>
  </si>
  <si>
    <t xml:space="preserve">     f.        Special Education Tax</t>
  </si>
  <si>
    <t>Total Tax Revenue</t>
  </si>
  <si>
    <t xml:space="preserve">      Total Non-Tax Revenue</t>
  </si>
  <si>
    <t xml:space="preserve">             - Interest Income</t>
  </si>
  <si>
    <t xml:space="preserve">             - Subsidy from National Government</t>
  </si>
  <si>
    <t xml:space="preserve">             - Subsidy from GOCC</t>
  </si>
  <si>
    <t xml:space="preserve">             - Subsidy from Other Funds</t>
  </si>
  <si>
    <t xml:space="preserve">             - Miscellaneous Income</t>
  </si>
  <si>
    <t>Total Revenues and Receipts</t>
  </si>
  <si>
    <t xml:space="preserve">Expenditures 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</si>
  <si>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</si>
  <si>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</si>
  <si>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</si>
  <si>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</si>
  <si>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</si>
  <si>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</si>
  <si>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Social Services and Social Welfare</t>
  </si>
  <si>
    <t>Economic Services</t>
  </si>
  <si>
    <t>Other Purposes:</t>
  </si>
  <si>
    <t>Financial Expense</t>
  </si>
  <si>
    <t>Amortization</t>
  </si>
  <si>
    <t>LDRRMF</t>
  </si>
  <si>
    <t>20% Development Fund</t>
  </si>
  <si>
    <t>Allocation for Senior Citizens and PWD</t>
  </si>
  <si>
    <t>Others</t>
  </si>
  <si>
    <t>Total Current Appropriations</t>
  </si>
  <si>
    <t>Continuing Appropriations (Capital Outlay)</t>
  </si>
  <si>
    <t xml:space="preserve">    General Public Services</t>
  </si>
  <si>
    <t xml:space="preserve">    Education</t>
  </si>
  <si>
    <t xml:space="preserve">    Health, Nutrition and Population Control</t>
  </si>
  <si>
    <t xml:space="preserve">Social Services and Social Welfare   </t>
  </si>
  <si>
    <t>Total Continuing Appropriations</t>
  </si>
  <si>
    <t>2018 Not Yet Due and Demandable</t>
  </si>
  <si>
    <t>2017 Not Yet Due and Demandable</t>
  </si>
  <si>
    <t>2016 Not Yet Due and Demandable</t>
  </si>
  <si>
    <t>2015 Not Yet Due and Demandable</t>
  </si>
  <si>
    <t>Total Not Yet Due and Demandable</t>
  </si>
  <si>
    <t xml:space="preserve">Total </t>
  </si>
  <si>
    <t>Tax Revenue</t>
  </si>
  <si>
    <t>Service and Business Income</t>
  </si>
  <si>
    <t>Non-Cash Expenses</t>
  </si>
  <si>
    <t>Financial Expenses</t>
  </si>
  <si>
    <t>Share from Internal Revenue Allotment</t>
  </si>
  <si>
    <t>Interest Income</t>
  </si>
  <si>
    <t>Interest Expense</t>
  </si>
  <si>
    <t>Balance at January 1</t>
  </si>
  <si>
    <t>TOTAL ASSETS</t>
  </si>
  <si>
    <t>Miscellaneous Income</t>
  </si>
  <si>
    <t>Inventories</t>
  </si>
  <si>
    <t>Accounts</t>
  </si>
  <si>
    <t>Cash – Local Treasury</t>
  </si>
  <si>
    <t>Cash in Bank- Local Currency, Current Account</t>
  </si>
  <si>
    <t>Cash in Bank- Local Currency, Savings Account</t>
  </si>
  <si>
    <t>Total</t>
  </si>
  <si>
    <r>
      <t xml:space="preserve">Note </t>
    </r>
    <r>
      <rPr>
        <b/>
        <sz val="12"/>
        <color rgb="FF010202"/>
        <rFont val="Times New Roman"/>
        <family val="1"/>
      </rPr>
      <t>4 -</t>
    </r>
  </si>
  <si>
    <r>
      <t xml:space="preserve">Cash </t>
    </r>
    <r>
      <rPr>
        <b/>
        <sz val="12"/>
        <color theme="1"/>
        <rFont val="Times New Roman"/>
        <family val="1"/>
      </rPr>
      <t>and</t>
    </r>
    <r>
      <rPr>
        <b/>
        <sz val="12"/>
        <color rgb="FF010202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Cash</t>
    </r>
    <r>
      <rPr>
        <b/>
        <sz val="12"/>
        <color rgb="FF010202"/>
        <rFont val="Times New Roman"/>
        <family val="1"/>
      </rPr>
      <t xml:space="preserve"> Equivalents</t>
    </r>
    <r>
      <rPr>
        <sz val="12"/>
        <color rgb="FF010202"/>
        <rFont val="Times New Roman"/>
        <family val="1"/>
      </rPr>
      <t xml:space="preserve"> </t>
    </r>
  </si>
  <si>
    <t>Restatement</t>
  </si>
  <si>
    <t>As previously reported</t>
  </si>
  <si>
    <t>CITY OF NAVOTAS</t>
  </si>
  <si>
    <t>MOvement</t>
  </si>
  <si>
    <t>Amount</t>
  </si>
  <si>
    <t>%</t>
  </si>
  <si>
    <t xml:space="preserve">              Fund</t>
  </si>
  <si>
    <t xml:space="preserve">   General Fund (GF)</t>
  </si>
  <si>
    <t xml:space="preserve">   Special Education Fund (SEF)</t>
  </si>
  <si>
    <t xml:space="preserve">   Trust Fund (TF)</t>
  </si>
  <si>
    <t>Particular</t>
  </si>
  <si>
    <t xml:space="preserve">Depository Bank                                                      </t>
  </si>
  <si>
    <t xml:space="preserve">         Amount </t>
  </si>
  <si>
    <t>Current</t>
  </si>
  <si>
    <t>LBP</t>
  </si>
  <si>
    <t>20% IRA CDF</t>
  </si>
  <si>
    <t>5% LDRRMF</t>
  </si>
  <si>
    <t>Navotas Polytechnic College</t>
  </si>
  <si>
    <t>Navotas City Hospital – Current</t>
  </si>
  <si>
    <t>Navotas City Hospital – Charges</t>
  </si>
  <si>
    <t>Navotas Hospital – Professional Fees</t>
  </si>
  <si>
    <t>Sub-total</t>
  </si>
  <si>
    <t>Trust Fund</t>
  </si>
  <si>
    <t>30% -DRRMF</t>
  </si>
  <si>
    <t>Navotas City Health Office - Charges</t>
  </si>
  <si>
    <t>Navotas City Health Office - Prof Fees</t>
  </si>
  <si>
    <t>High Yield Savings Account</t>
  </si>
  <si>
    <t>Total Cash and Cash Equivalents</t>
  </si>
  <si>
    <r>
      <t xml:space="preserve">Note </t>
    </r>
    <r>
      <rPr>
        <b/>
        <sz val="12"/>
        <color rgb="FF010202"/>
        <rFont val="Times New Roman"/>
        <family val="1"/>
      </rPr>
      <t>5 -</t>
    </r>
  </si>
  <si>
    <t>Investments in Time Deposits</t>
  </si>
  <si>
    <t>Cash in Bank - Local Currency, Time Deposits</t>
  </si>
  <si>
    <t>Financial Assets – Available for sale</t>
  </si>
  <si>
    <t xml:space="preserve">Investments in Stocks                   </t>
  </si>
  <si>
    <t>Financial Assets – Others</t>
  </si>
  <si>
    <t>Guaranty Deposit</t>
  </si>
  <si>
    <r>
      <t xml:space="preserve">Note </t>
    </r>
    <r>
      <rPr>
        <b/>
        <sz val="12"/>
        <color rgb="FF010202"/>
        <rFont val="Times New Roman"/>
        <family val="1"/>
      </rPr>
      <t>6 -</t>
    </r>
  </si>
  <si>
    <t>Loans and Receivable Accounts</t>
  </si>
  <si>
    <t>Real Property Tax Receivable</t>
  </si>
  <si>
    <t>Special Education Tax Receivable</t>
  </si>
  <si>
    <t>Interests Receivables</t>
  </si>
  <si>
    <t>Loans Receivable – Others</t>
  </si>
  <si>
    <t>Inter-Agency Receivables</t>
  </si>
  <si>
    <t>Due from National Government Agencies</t>
  </si>
  <si>
    <t>Intra – Agency Receivables</t>
  </si>
  <si>
    <t xml:space="preserve">Due from Other Funds </t>
  </si>
  <si>
    <t xml:space="preserve">Advances </t>
  </si>
  <si>
    <t>Advances for Officers and Employees</t>
  </si>
  <si>
    <t>Other Receivables</t>
  </si>
  <si>
    <t>Receivables – Disallowances/Charges</t>
  </si>
  <si>
    <t>Due from Officers and Employees</t>
  </si>
  <si>
    <r>
      <t>Note 7</t>
    </r>
    <r>
      <rPr>
        <b/>
        <sz val="12"/>
        <color rgb="FF010202"/>
        <rFont val="Times New Roman"/>
        <family val="1"/>
      </rPr>
      <t xml:space="preserve"> -</t>
    </r>
  </si>
  <si>
    <t>Merchandise Inventory</t>
  </si>
  <si>
    <t>Food Supplies for Distributions</t>
  </si>
  <si>
    <t>Welfare Goods for Distribution</t>
  </si>
  <si>
    <t xml:space="preserve">Medical, Dental and Laboratory Supplies </t>
  </si>
  <si>
    <t xml:space="preserve">     for Distribution</t>
  </si>
  <si>
    <t xml:space="preserve">        </t>
  </si>
  <si>
    <t>Office Supplies for Distribution</t>
  </si>
  <si>
    <t>Office Supplies Inventory</t>
  </si>
  <si>
    <t>Accountable Forms, Plates and Stickers</t>
  </si>
  <si>
    <t>Non- Accountable Forms Inventory</t>
  </si>
  <si>
    <t>Animal/Zoological Supplies Inventory</t>
  </si>
  <si>
    <t>Food Supplies Inventory</t>
  </si>
  <si>
    <t>Drugs and Medicines Inventory</t>
  </si>
  <si>
    <t xml:space="preserve">     Inventor</t>
  </si>
  <si>
    <t xml:space="preserve">    </t>
  </si>
  <si>
    <t xml:space="preserve">Textbooks and Instructional Materials </t>
  </si>
  <si>
    <t xml:space="preserve">     Inventory</t>
  </si>
  <si>
    <t>Other Supplies and Materials Inventory</t>
  </si>
  <si>
    <t>Note 8 -</t>
  </si>
  <si>
    <t>Account</t>
  </si>
  <si>
    <t>Prepayments</t>
  </si>
  <si>
    <t xml:space="preserve">   Advances to Contractors</t>
  </si>
  <si>
    <t xml:space="preserve">   Prepaid Rent</t>
  </si>
  <si>
    <t xml:space="preserve">   Prepaid Registration</t>
  </si>
  <si>
    <t xml:space="preserve">   Prepaid Insurance</t>
  </si>
  <si>
    <t xml:space="preserve">   Other Prepayments</t>
  </si>
  <si>
    <t>Sub-Total</t>
  </si>
  <si>
    <t>Deferred Charges</t>
  </si>
  <si>
    <t xml:space="preserve">   Discount on Advance Payment</t>
  </si>
  <si>
    <r>
      <t>Note 10</t>
    </r>
    <r>
      <rPr>
        <b/>
        <sz val="12"/>
        <color rgb="FF010202"/>
        <rFont val="Times New Roman"/>
        <family val="1"/>
      </rPr>
      <t xml:space="preserve"> - Property, Plant and Equipment</t>
    </r>
  </si>
  <si>
    <t>Description</t>
  </si>
  <si>
    <t xml:space="preserve">  Gross Amount of PPE 2018 </t>
  </si>
  <si>
    <t xml:space="preserve">  Additions/ Adjustments/ Disposal  </t>
  </si>
  <si>
    <t xml:space="preserve"> Accumulated Depreciation  </t>
  </si>
  <si>
    <t xml:space="preserve"> Carrying Amount as of </t>
  </si>
  <si>
    <t xml:space="preserve"> Dec. 31, 2019 </t>
  </si>
  <si>
    <t xml:space="preserve">Land </t>
  </si>
  <si>
    <t>Land Improvements</t>
  </si>
  <si>
    <t>Infrastructure Assets</t>
  </si>
  <si>
    <t>Buildings and Other Structures</t>
  </si>
  <si>
    <t>Machinery and Equipment</t>
  </si>
  <si>
    <t>Transportation Equipment</t>
  </si>
  <si>
    <t>Furniture, Fixtures and Books</t>
  </si>
  <si>
    <t>Other Property, Plant and Equipment</t>
  </si>
  <si>
    <t>Construction in Progress</t>
  </si>
  <si>
    <r>
      <t>Note 11</t>
    </r>
    <r>
      <rPr>
        <b/>
        <sz val="12"/>
        <color rgb="FF010202"/>
        <rFont val="Times New Roman"/>
        <family val="1"/>
      </rPr>
      <t xml:space="preserve"> - Intangible Assets</t>
    </r>
  </si>
  <si>
    <t>Cost</t>
  </si>
  <si>
    <t>Accumulated Amortization</t>
  </si>
  <si>
    <t>Carrying Value as of Dec. 31, 2019</t>
  </si>
  <si>
    <t>Computer Software</t>
  </si>
  <si>
    <r>
      <t>Note 12</t>
    </r>
    <r>
      <rPr>
        <b/>
        <sz val="12"/>
        <color rgb="FF010202"/>
        <rFont val="Times New Roman"/>
        <family val="1"/>
      </rPr>
      <t xml:space="preserve"> - Financial Liabilities</t>
    </r>
  </si>
  <si>
    <t xml:space="preserve">  Accounts Payables</t>
  </si>
  <si>
    <t xml:space="preserve">  Due to Officers and Employees</t>
  </si>
  <si>
    <t xml:space="preserve">  Leave Benefits Payables</t>
  </si>
  <si>
    <t xml:space="preserve">  Loans Payables – Domestic</t>
  </si>
  <si>
    <t>Project</t>
  </si>
  <si>
    <t>Balance</t>
  </si>
  <si>
    <r>
      <t>A.</t>
    </r>
    <r>
      <rPr>
        <sz val="7"/>
        <color rgb="FF010202"/>
        <rFont val="Times New Roman"/>
        <family val="1"/>
      </rPr>
      <t xml:space="preserve">               </t>
    </r>
    <r>
      <rPr>
        <sz val="12"/>
        <color rgb="FF010202"/>
        <rFont val="Times New Roman"/>
        <family val="1"/>
      </rPr>
      <t>Construction of Navotas Coastal Dike</t>
    </r>
  </si>
  <si>
    <r>
      <t>B.</t>
    </r>
    <r>
      <rPr>
        <sz val="7"/>
        <color rgb="FF010202"/>
        <rFont val="Times New Roman"/>
        <family val="1"/>
      </rPr>
      <t xml:space="preserve">               </t>
    </r>
    <r>
      <rPr>
        <sz val="12"/>
        <color rgb="FF010202"/>
        <rFont val="Times New Roman"/>
        <family val="1"/>
      </rPr>
      <t xml:space="preserve">Construction/Completion of a 3-Storey </t>
    </r>
  </si>
  <si>
    <t xml:space="preserve">     Navotas City Hospital</t>
  </si>
  <si>
    <r>
      <t>C.</t>
    </r>
    <r>
      <rPr>
        <sz val="7"/>
        <color rgb="FF010202"/>
        <rFont val="Times New Roman"/>
        <family val="1"/>
      </rPr>
      <t xml:space="preserve">               </t>
    </r>
    <r>
      <rPr>
        <sz val="12"/>
        <color rgb="FF010202"/>
        <rFont val="Times New Roman"/>
        <family val="1"/>
      </rPr>
      <t xml:space="preserve">Supply and Installation of Streetlights for </t>
    </r>
  </si>
  <si>
    <t xml:space="preserve">     Navotas Columbarium and </t>
  </si>
  <si>
    <t xml:space="preserve">     Crematorium</t>
  </si>
  <si>
    <r>
      <t>D.</t>
    </r>
    <r>
      <rPr>
        <sz val="7"/>
        <color rgb="FF010202"/>
        <rFont val="Times New Roman"/>
        <family val="1"/>
      </rPr>
      <t xml:space="preserve">               </t>
    </r>
    <r>
      <rPr>
        <sz val="12"/>
        <color rgb="FF010202"/>
        <rFont val="Times New Roman"/>
        <family val="1"/>
      </rPr>
      <t xml:space="preserve">Construction of Navotas City </t>
    </r>
  </si>
  <si>
    <t xml:space="preserve">     Columbarium and Crematorium</t>
  </si>
  <si>
    <r>
      <t>E.</t>
    </r>
    <r>
      <rPr>
        <sz val="7"/>
        <color rgb="FF010202"/>
        <rFont val="Times New Roman"/>
        <family val="1"/>
      </rPr>
      <t xml:space="preserve">                </t>
    </r>
    <r>
      <rPr>
        <sz val="12"/>
        <color rgb="FF010202"/>
        <rFont val="Times New Roman"/>
        <family val="1"/>
      </rPr>
      <t xml:space="preserve">Construction of Navotas City Training </t>
    </r>
  </si>
  <si>
    <t xml:space="preserve">     Center and Navotas City Medical and </t>
  </si>
  <si>
    <t xml:space="preserve">     Wellness Center (Medical Arts </t>
  </si>
  <si>
    <t xml:space="preserve">     Building)</t>
  </si>
  <si>
    <r>
      <t>F.</t>
    </r>
    <r>
      <rPr>
        <sz val="7"/>
        <color rgb="FF010202"/>
        <rFont val="Times New Roman"/>
        <family val="1"/>
      </rPr>
      <t xml:space="preserve">                  </t>
    </r>
    <r>
      <rPr>
        <sz val="12"/>
        <color rgb="FF010202"/>
        <rFont val="Times New Roman"/>
        <family val="1"/>
      </rPr>
      <t xml:space="preserve">Construction/expansion of 3-storey </t>
    </r>
  </si>
  <si>
    <t xml:space="preserve">    Training center with Multi-purpose </t>
  </si>
  <si>
    <t xml:space="preserve">    Building with roof deck</t>
  </si>
  <si>
    <r>
      <t>G.</t>
    </r>
    <r>
      <rPr>
        <sz val="7"/>
        <color rgb="FF010202"/>
        <rFont val="Times New Roman"/>
        <family val="1"/>
      </rPr>
      <t xml:space="preserve">               </t>
    </r>
    <r>
      <rPr>
        <sz val="12"/>
        <color rgb="FF010202"/>
        <rFont val="Times New Roman"/>
        <family val="1"/>
      </rPr>
      <t xml:space="preserve">Construction of additional 4-storey </t>
    </r>
  </si>
  <si>
    <t xml:space="preserve">    Hospital building with roof deck and </t>
  </si>
  <si>
    <t xml:space="preserve">    upgrading/ construction of additional </t>
  </si>
  <si>
    <t xml:space="preserve">    floor on the existing Navotas City </t>
  </si>
  <si>
    <t xml:space="preserve">    Hospital</t>
  </si>
  <si>
    <t xml:space="preserve"> Total</t>
  </si>
  <si>
    <t>(As Restated)</t>
  </si>
  <si>
    <t>Due to BIR</t>
  </si>
  <si>
    <t>Due to GSIS</t>
  </si>
  <si>
    <t>Due to PAG-IBIG</t>
  </si>
  <si>
    <t>Due to PhilHealth</t>
  </si>
  <si>
    <t>Due to NGASs</t>
  </si>
  <si>
    <t>Due to GOCCs</t>
  </si>
  <si>
    <t>Due to LGUs</t>
  </si>
  <si>
    <r>
      <t>Note 13</t>
    </r>
    <r>
      <rPr>
        <b/>
        <sz val="12"/>
        <color rgb="FF010202"/>
        <rFont val="Times New Roman"/>
        <family val="1"/>
      </rPr>
      <t xml:space="preserve"> - Inter-Agency Payables</t>
    </r>
  </si>
  <si>
    <t>Note 14- Trust Liabilities</t>
  </si>
  <si>
    <t>Trust Liabilities - DRRMF</t>
  </si>
  <si>
    <t>Bail Bonds Payables</t>
  </si>
  <si>
    <t>Guarantee/Security/Deposits Payable</t>
  </si>
  <si>
    <t>2019 LDRRMF</t>
  </si>
  <si>
    <t>2018 LDRRMF</t>
  </si>
  <si>
    <t>2017 LDRRMF</t>
  </si>
  <si>
    <t>2016 LDRRMF</t>
  </si>
  <si>
    <t>2015 LDRRMF</t>
  </si>
  <si>
    <t xml:space="preserve">Total  </t>
  </si>
  <si>
    <t xml:space="preserve"> Total </t>
  </si>
  <si>
    <t>Note 15- Deferred Credits/Unearned Income</t>
  </si>
  <si>
    <t>Deferred Real Property Tax</t>
  </si>
  <si>
    <t>Deferred Special Education Tax</t>
  </si>
  <si>
    <t>Other Deferred Credits</t>
  </si>
  <si>
    <r>
      <t xml:space="preserve">Note 17- </t>
    </r>
    <r>
      <rPr>
        <b/>
        <sz val="12"/>
        <color theme="1"/>
        <rFont val="Times New Roman"/>
        <family val="1"/>
      </rPr>
      <t>Related</t>
    </r>
    <r>
      <rPr>
        <b/>
        <sz val="12"/>
        <color rgb="FF010202"/>
        <rFont val="Times New Roman"/>
        <family val="1"/>
      </rPr>
      <t xml:space="preserve"> Parties</t>
    </r>
  </si>
  <si>
    <t>Elective officials</t>
  </si>
  <si>
    <t>Regular employees</t>
  </si>
  <si>
    <t>Co-Terminus</t>
  </si>
  <si>
    <t>Casual employees</t>
  </si>
  <si>
    <t xml:space="preserve">Job Order/Contract of Service </t>
  </si>
  <si>
    <t xml:space="preserve">            Total </t>
  </si>
  <si>
    <r>
      <t>Note</t>
    </r>
    <r>
      <rPr>
        <b/>
        <sz val="12"/>
        <color rgb="FF010202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 xml:space="preserve">19 </t>
    </r>
    <r>
      <rPr>
        <b/>
        <sz val="12"/>
        <color rgb="FF010202"/>
        <rFont val="Times New Roman"/>
        <family val="1"/>
      </rPr>
      <t xml:space="preserve">- </t>
    </r>
    <r>
      <rPr>
        <b/>
        <sz val="12"/>
        <color theme="1"/>
        <rFont val="Times New Roman"/>
        <family val="1"/>
      </rPr>
      <t>Tax Revenue</t>
    </r>
  </si>
  <si>
    <t>Tax Revenue – Individual and Corporation</t>
  </si>
  <si>
    <t xml:space="preserve">   Professional Tax</t>
  </si>
  <si>
    <t xml:space="preserve">   Community tax</t>
  </si>
  <si>
    <t>Tax Revenue-Property</t>
  </si>
  <si>
    <t xml:space="preserve">   Real Property Tax- Basic</t>
  </si>
  <si>
    <t xml:space="preserve">   Discount on Real Property Tax </t>
  </si>
  <si>
    <t xml:space="preserve">   Special Education Tax</t>
  </si>
  <si>
    <r>
      <t xml:space="preserve">   </t>
    </r>
    <r>
      <rPr>
        <i/>
        <sz val="12"/>
        <color rgb="FF010202"/>
        <rFont val="Times New Roman"/>
        <family val="1"/>
      </rPr>
      <t>Discount on Special Education Tax</t>
    </r>
  </si>
  <si>
    <t xml:space="preserve">   Real Property Transfer Tax</t>
  </si>
  <si>
    <t>Tax Revenue-Goods and Services</t>
  </si>
  <si>
    <t xml:space="preserve">   Business Tax</t>
  </si>
  <si>
    <t xml:space="preserve">   Tax on Delivery trucks and Vans</t>
  </si>
  <si>
    <t xml:space="preserve">   Franchise Tax</t>
  </si>
  <si>
    <t>Tax Revenue-Others</t>
  </si>
  <si>
    <t xml:space="preserve">   Other Taxes</t>
  </si>
  <si>
    <t>Tax Revenue – Fines and Penalties</t>
  </si>
  <si>
    <t xml:space="preserve">   Tax Revenue – Fines and Penalties –other taxes</t>
  </si>
  <si>
    <t xml:space="preserve">   Property Taxes</t>
  </si>
  <si>
    <t>Share from National Taxes</t>
  </si>
  <si>
    <t>Share from IRA</t>
  </si>
  <si>
    <t>Share from Expanded Value Added Tax</t>
  </si>
  <si>
    <t xml:space="preserve"> - </t>
  </si>
  <si>
    <t>Note 20 - Service and Business Income</t>
  </si>
  <si>
    <t>Service Income</t>
  </si>
  <si>
    <t>Permit Fees</t>
  </si>
  <si>
    <t>Registration Fees</t>
  </si>
  <si>
    <t>Clearance and Certificate Fees</t>
  </si>
  <si>
    <t>Inspection Fees</t>
  </si>
  <si>
    <t>Processing Fees</t>
  </si>
  <si>
    <t>Fishery Rental Fees</t>
  </si>
  <si>
    <t xml:space="preserve">               -   </t>
  </si>
  <si>
    <t xml:space="preserve">                       - </t>
  </si>
  <si>
    <t>Fees for Sealing and Licensing of Weights and Measures</t>
  </si>
  <si>
    <t>Fines and Penalties-Service Income</t>
  </si>
  <si>
    <t>Other Service Income</t>
  </si>
  <si>
    <r>
      <t> </t>
    </r>
    <r>
      <rPr>
        <i/>
        <sz val="12"/>
        <color rgb="FF010202"/>
        <rFont val="Times New Roman"/>
        <family val="1"/>
      </rPr>
      <t>Sub-total</t>
    </r>
  </si>
  <si>
    <t>Business Income</t>
  </si>
  <si>
    <t>School Fees</t>
  </si>
  <si>
    <t>Rent/Lease Income</t>
  </si>
  <si>
    <t>Road Network  Fees</t>
  </si>
  <si>
    <t>Parking Fees</t>
  </si>
  <si>
    <t>Receipts  from Market Operation</t>
  </si>
  <si>
    <t>Receipt from Cemetery Operations</t>
  </si>
  <si>
    <t>Garbage Fees</t>
  </si>
  <si>
    <t>Hospital Fees</t>
  </si>
  <si>
    <t>Fines and Penalties - Business Income</t>
  </si>
  <si>
    <r>
      <t> </t>
    </r>
    <r>
      <rPr>
        <i/>
        <sz val="12"/>
        <color rgb="FF000000"/>
        <rFont val="Times New Roman"/>
        <family val="1"/>
      </rPr>
      <t>Sub-total</t>
    </r>
  </si>
  <si>
    <t> Total</t>
  </si>
  <si>
    <t>Note 21 - Share, Grants and Donation</t>
  </si>
  <si>
    <t xml:space="preserve">        Accounts</t>
  </si>
  <si>
    <t>Share from PCSO</t>
  </si>
  <si>
    <t>Grants and Donations in Kind</t>
  </si>
  <si>
    <t xml:space="preserve">                -   </t>
  </si>
  <si>
    <t>Note 22 - Miscellaneous Income and Other Non-Operating Income</t>
  </si>
  <si>
    <t>Other Non-Operating Income</t>
  </si>
  <si>
    <t>Sale of Garnished Confiscated/ Abandoned/Seized Goods and Properties</t>
  </si>
  <si>
    <t xml:space="preserve">                 </t>
  </si>
  <si>
    <t xml:space="preserve">         </t>
  </si>
  <si>
    <t>Other Income</t>
  </si>
  <si>
    <r>
      <t>Note 23 - Employee</t>
    </r>
    <r>
      <rPr>
        <b/>
        <sz val="12"/>
        <color theme="1"/>
        <rFont val="Times New Roman"/>
        <family val="1"/>
      </rPr>
      <t xml:space="preserve"> Costs</t>
    </r>
  </si>
  <si>
    <t>Salaries and Wages – Regular</t>
  </si>
  <si>
    <t>Salaries and Wages- Casual/Contractual</t>
  </si>
  <si>
    <t>Other Compensation</t>
  </si>
  <si>
    <t>Personal Economic Relief allowance</t>
  </si>
  <si>
    <t>Representation Allowance</t>
  </si>
  <si>
    <t>Transportation Allowance</t>
  </si>
  <si>
    <t>Clothing/Uniform Allowance</t>
  </si>
  <si>
    <t>Subsistence Allowance</t>
  </si>
  <si>
    <t>Productivity Incentive Allowance</t>
  </si>
  <si>
    <t>Honoraria</t>
  </si>
  <si>
    <t>Hazard Pay</t>
  </si>
  <si>
    <t>Overtime and Night Pay</t>
  </si>
  <si>
    <t>Year-End Bonus</t>
  </si>
  <si>
    <t>Cash Gift</t>
  </si>
  <si>
    <t>Other Bonuses and Allowances</t>
  </si>
  <si>
    <t>Personnel Benefit Contribution</t>
  </si>
  <si>
    <t>Retirement and Life Insurance Premiums</t>
  </si>
  <si>
    <t>Pag-IBIG Contribution</t>
  </si>
  <si>
    <t>PhilHealth Contribution</t>
  </si>
  <si>
    <t>Employees Compensation Insurance Premiums</t>
  </si>
  <si>
    <t>Other Personnel Benefit</t>
  </si>
  <si>
    <t>Terminal Leave Benefits</t>
  </si>
  <si>
    <t>Note 24 - Maintenance and Other Operating Expenses</t>
  </si>
  <si>
    <t xml:space="preserve">                        Accounts</t>
  </si>
  <si>
    <t>Traveling Expenses</t>
  </si>
  <si>
    <t>Traveling Expenses - Local</t>
  </si>
  <si>
    <t>Training and Scholarship Expenses</t>
  </si>
  <si>
    <t>Training Expenses</t>
  </si>
  <si>
    <t>Supplies and Material Expenses</t>
  </si>
  <si>
    <t>Office Supplies Expenses</t>
  </si>
  <si>
    <t>Accountable Forms Expenses</t>
  </si>
  <si>
    <t>Non-Accountable Forms Expenses</t>
  </si>
  <si>
    <t>Animal/Zoological Supplies Express</t>
  </si>
  <si>
    <t>Food Supplies Expenses</t>
  </si>
  <si>
    <t>Welfare Goods Express</t>
  </si>
  <si>
    <t>Medical, dental and Laboratory Supplies Expenses</t>
  </si>
  <si>
    <t>Fuel, Oil and Lubricant Expenses</t>
  </si>
  <si>
    <t>Other Supplies and Material Expenses</t>
  </si>
  <si>
    <t>Drugs and Medicine Express</t>
  </si>
  <si>
    <t>Textbooks and Instructional Materials Expenses</t>
  </si>
  <si>
    <t>Utility Expenses</t>
  </si>
  <si>
    <t>Water Expenses</t>
  </si>
  <si>
    <t>Electricity Expenses</t>
  </si>
  <si>
    <t>Communication Expenses</t>
  </si>
  <si>
    <t>Postage and Courier Services</t>
  </si>
  <si>
    <t>Telephone Expenses</t>
  </si>
  <si>
    <t>Internet Subscription Expenses</t>
  </si>
  <si>
    <t>Awards/Rewards and Prices</t>
  </si>
  <si>
    <t>Awards/Rewards Expenses</t>
  </si>
  <si>
    <t>Confidential, Intelligence and Extraordinary Expenses</t>
  </si>
  <si>
    <t>Extraordinary and Miscellaneous Expenses</t>
  </si>
  <si>
    <t>Note 25 - Contracted Services</t>
  </si>
  <si>
    <t xml:space="preserve">                         Accounts</t>
  </si>
  <si>
    <t>Professional Services</t>
  </si>
  <si>
    <t>Legal Services</t>
  </si>
  <si>
    <t>Auditing Services</t>
  </si>
  <si>
    <t>Other Professional Services</t>
  </si>
  <si>
    <t>General Services</t>
  </si>
  <si>
    <t>Environmental /Sanitary Services</t>
  </si>
  <si>
    <t>Janitorial Services</t>
  </si>
  <si>
    <t>Security Services</t>
  </si>
  <si>
    <t>Other General Services</t>
  </si>
  <si>
    <t>Note 26 - Repairs and Maintenance</t>
  </si>
  <si>
    <t>Repairs and Maintenance -Infrastructure Assets</t>
  </si>
  <si>
    <t xml:space="preserve">Repairs and Maintenance -Buildings and Other Structure  </t>
  </si>
  <si>
    <t>Repairs and Maintenance -Machinery and Equipment</t>
  </si>
  <si>
    <t>Repairs and Maintenance -Transportation Equipment</t>
  </si>
  <si>
    <t>Repairs and Maintenance – PPE</t>
  </si>
  <si>
    <t>Note 28- Taxes, Insurance Premiums and Other Fees</t>
  </si>
  <si>
    <t xml:space="preserve">Taxes, Duties and Licenses  </t>
  </si>
  <si>
    <t>Fidelity Bond Premiums</t>
  </si>
  <si>
    <t>Insurance Expenses</t>
  </si>
  <si>
    <t>Note 29- Other Maintenance and Operating Expenses</t>
  </si>
  <si>
    <t>                          Accounts</t>
  </si>
  <si>
    <t>Advertising Expenses</t>
  </si>
  <si>
    <t>Printing and Publication Expenses</t>
  </si>
  <si>
    <t>Representation Expenses</t>
  </si>
  <si>
    <t>Rent/Lease Expenses</t>
  </si>
  <si>
    <t>Membership Dues and Contributions to Organization</t>
  </si>
  <si>
    <t xml:space="preserve">           </t>
  </si>
  <si>
    <t>Donations</t>
  </si>
  <si>
    <t>Other Maintenance and Operating Expenses</t>
  </si>
  <si>
    <t xml:space="preserve">             </t>
  </si>
  <si>
    <t>Subtotal</t>
  </si>
  <si>
    <t>TOTAL MOOE</t>
  </si>
  <si>
    <t>Note 27 - Transfer</t>
  </si>
  <si>
    <t>Transfer of Unspent LDRRMF</t>
  </si>
  <si>
    <t>Should be restatement</t>
  </si>
  <si>
    <t>Undisclosed</t>
  </si>
  <si>
    <t>Note 30 - Non-Cash Expenses</t>
  </si>
  <si>
    <t>Depreciation</t>
  </si>
  <si>
    <t>Depreciation - Land Improvements</t>
  </si>
  <si>
    <t>Depreciation - Infrastructure Assets</t>
  </si>
  <si>
    <t xml:space="preserve">Depreciation - Buildings and Other Structure </t>
  </si>
  <si>
    <t>Depreciation - Machinery and Equipment</t>
  </si>
  <si>
    <t>Depreciation - Transportation Equipment</t>
  </si>
  <si>
    <t>Depreciation - Furniture, Fixtures and Book</t>
  </si>
  <si>
    <t>Depreciation - Other Property, Plant and Equipment</t>
  </si>
  <si>
    <t>Amortization - Intangible Asset</t>
  </si>
  <si>
    <t>Losses</t>
  </si>
  <si>
    <t>Loss on Sale of PPE</t>
  </si>
  <si>
    <r>
      <t>Note 32 - Transfers</t>
    </r>
    <r>
      <rPr>
        <b/>
        <sz val="12"/>
        <color rgb="FF000000"/>
        <rFont val="Times New Roman"/>
        <family val="1"/>
      </rPr>
      <t>, Assistance and Subsidy</t>
    </r>
  </si>
  <si>
    <t>Subsidy from National Government</t>
  </si>
  <si>
    <t xml:space="preserve">Subsidy from Government Owned Controlled Corporations </t>
  </si>
  <si>
    <t>Subsidy from Other Funds</t>
  </si>
  <si>
    <t xml:space="preserve">Note 33 - Financial Assistance/Subsidy
</t>
  </si>
  <si>
    <t>Subsidy to National Government Agencies</t>
  </si>
  <si>
    <t>Subsidy to Other LGUs</t>
  </si>
  <si>
    <t xml:space="preserve">                    -   </t>
  </si>
  <si>
    <t>Subsidy to Other Funds</t>
  </si>
  <si>
    <t>Subsidy- Others</t>
  </si>
  <si>
    <t xml:space="preserve">     Amount</t>
  </si>
  <si>
    <r>
      <t>1.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Completed Local Road Projects from DPWH</t>
    </r>
  </si>
  <si>
    <r>
      <t>2.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Construction of Public Market at Barangay Tanza funded by Bottom Ups Budgeting (BUB)</t>
    </r>
  </si>
  <si>
    <r>
      <t>3.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IT Equipment (Laptop) for Navotas City Hospital (NCH) from TF</t>
    </r>
  </si>
  <si>
    <r>
      <t>4.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 xml:space="preserve">Construction of Pescador Park at Barangay Bangkulasi charged to LGSF - </t>
    </r>
    <r>
      <rPr>
        <sz val="12"/>
        <color theme="1"/>
        <rFont val="Times New Roman"/>
        <family val="1"/>
      </rPr>
      <t>TF</t>
    </r>
  </si>
  <si>
    <r>
      <t>5.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E-Tricycle for Navotas Training Center charged to TESDA from TF</t>
    </r>
  </si>
  <si>
    <r>
      <t>6.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 xml:space="preserve">Construction of Faculty Rooms charged to BUB from TF to SEF </t>
    </r>
  </si>
  <si>
    <r>
      <t>a.</t>
    </r>
    <r>
      <rPr>
        <sz val="7"/>
        <color rgb="FF000000"/>
        <rFont val="Times New Roman"/>
        <family val="1"/>
      </rPr>
      <t xml:space="preserve">       </t>
    </r>
    <r>
      <rPr>
        <sz val="12"/>
        <color rgb="FF000000"/>
        <rFont val="Times New Roman"/>
        <family val="1"/>
      </rPr>
      <t xml:space="preserve">Tangos High School </t>
    </r>
  </si>
  <si>
    <r>
      <t>b.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 xml:space="preserve">San Roque Senior High School </t>
    </r>
  </si>
  <si>
    <r>
      <t>c.</t>
    </r>
    <r>
      <rPr>
        <sz val="7"/>
        <color rgb="FF000000"/>
        <rFont val="Times New Roman"/>
        <family val="1"/>
      </rPr>
      <t xml:space="preserve">       </t>
    </r>
    <r>
      <rPr>
        <sz val="12"/>
        <color rgb="FF000000"/>
        <rFont val="Times New Roman"/>
        <family val="1"/>
      </rPr>
      <t xml:space="preserve">Kaunlaran National High School </t>
    </r>
  </si>
  <si>
    <r>
      <t>7.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IT Equipments for Navotas Polytechnic College charged to BUB from TF to NPC</t>
    </r>
  </si>
  <si>
    <t>Note 34 - Local Disaster Risk Reduction and Management Fund</t>
  </si>
  <si>
    <t>Available</t>
  </si>
  <si>
    <t>Utilized</t>
  </si>
  <si>
    <t>Current Year Appropriation</t>
  </si>
  <si>
    <t>Quick Response Fund (30%)</t>
  </si>
  <si>
    <t>Mitigation Fund (70%)</t>
  </si>
  <si>
    <t xml:space="preserve">   MOOE-             </t>
  </si>
  <si>
    <t xml:space="preserve">   Capital Outlay     </t>
  </si>
  <si>
    <t>Continuing Appropriation</t>
  </si>
  <si>
    <t>Special Trust Fund</t>
  </si>
  <si>
    <t xml:space="preserve">   CY 2018-     P17,545,552</t>
  </si>
  <si>
    <t xml:space="preserve">   CY 2017 -      15,259,251</t>
  </si>
  <si>
    <t xml:space="preserve">   CY 2016-       14,237,292</t>
  </si>
  <si>
    <t xml:space="preserve">   CY 2015-           170,980</t>
  </si>
  <si>
    <t xml:space="preserve">Note 35 - Reconciliation of Net Cash Flows from Operating Activities to        Surplus/(Deficit) </t>
  </si>
  <si>
    <t>Surplus/(Deficit)</t>
  </si>
  <si>
    <t>Non-cash transactions</t>
  </si>
  <si>
    <t xml:space="preserve">    Depreciation</t>
  </si>
  <si>
    <t xml:space="preserve">    Amortization</t>
  </si>
  <si>
    <t xml:space="preserve">    Transfer of Unspent LDRRMF</t>
  </si>
  <si>
    <t xml:space="preserve">    Grants and Donations in kind</t>
  </si>
  <si>
    <t xml:space="preserve">    Interest Expense</t>
  </si>
  <si>
    <t xml:space="preserve">    Donations in kind</t>
  </si>
  <si>
    <t>Decrease in Investments</t>
  </si>
  <si>
    <t>Increase in Receivables</t>
  </si>
  <si>
    <t>Increase in Inventories</t>
  </si>
  <si>
    <t>Decrease in Prepayments</t>
  </si>
  <si>
    <t>Decrease in Inter-agency payables</t>
  </si>
  <si>
    <t>Increase in Trust Liabilities</t>
  </si>
  <si>
    <t>Increase in Deferred Credits</t>
  </si>
  <si>
    <t>Net Cash Flows From Operating Activities</t>
  </si>
  <si>
    <t>Note 36 - Reconciliation of Budget and Actual Amounts</t>
  </si>
  <si>
    <t>Income</t>
  </si>
  <si>
    <t>MOOE</t>
  </si>
  <si>
    <t>Comparison Statement of Budget and Actual</t>
  </si>
  <si>
    <t>Basis Differences:</t>
  </si>
  <si>
    <t>Receipts not considered as income:</t>
  </si>
  <si>
    <t>Subsidy</t>
  </si>
  <si>
    <t>Non-cash expenses:</t>
  </si>
  <si>
    <t>Debt Service - Loan amortization</t>
  </si>
  <si>
    <t>Capital Expenditures</t>
  </si>
  <si>
    <t>Current Appropriations</t>
  </si>
  <si>
    <t>Continuing Appropriations</t>
  </si>
  <si>
    <t>Timing Differences:</t>
  </si>
  <si>
    <t>Per Statement of Financial Performance</t>
  </si>
  <si>
    <t>Note 37 - Change in Accounting Policy</t>
  </si>
  <si>
    <t>General Fund</t>
  </si>
  <si>
    <t xml:space="preserve">   Transfer of Purchase of Equipment from TF</t>
  </si>
  <si>
    <t xml:space="preserve">    Infrastructure Projects</t>
  </si>
  <si>
    <t xml:space="preserve">    Transfer of Purchase of Equipment,   Inventories, and supplies from TF- (5% LDRRMF)</t>
  </si>
  <si>
    <t>Statement of Changes in Net Assets/Equity</t>
  </si>
  <si>
    <t>Add (Deduct) Changes in net assets/equity during the year</t>
  </si>
  <si>
    <t>Total changes during the year</t>
  </si>
  <si>
    <t xml:space="preserve">A.      Local Sources </t>
  </si>
  <si>
    <t xml:space="preserve">  1.       Tax Revenue</t>
  </si>
  <si>
    <t xml:space="preserve">     e.        Other Local Taxes</t>
  </si>
  <si>
    <t>2.       Non-Tax Revenue</t>
  </si>
  <si>
    <t xml:space="preserve">    a.       Service Income</t>
  </si>
  <si>
    <t xml:space="preserve">    b.       Business Income</t>
  </si>
  <si>
    <t xml:space="preserve">    c.        Other Income and Receipts</t>
  </si>
  <si>
    <t>1.       Share from the National Internal Revenue Taxes (IRA)</t>
  </si>
  <si>
    <t xml:space="preserve">     Debt Service</t>
  </si>
  <si>
    <t xml:space="preserve">B.      External Sources </t>
  </si>
  <si>
    <t>2.       Share from PCSO</t>
  </si>
  <si>
    <t xml:space="preserve">       - Grants and Donation in Kind</t>
  </si>
  <si>
    <t>3.       Other Shares from National Tax Collections - Shares from EVAT</t>
  </si>
  <si>
    <t>4.       Other Receipts</t>
  </si>
  <si>
    <t>Adjustments recognized directly in net assets/equity</t>
  </si>
  <si>
    <t>Total Appropriations</t>
  </si>
  <si>
    <t xml:space="preserve">     c.       Tax Revenue - Goods and Services</t>
  </si>
  <si>
    <t xml:space="preserve">     d.       Tax Revenue - Fines and Penalties</t>
  </si>
  <si>
    <t xml:space="preserve">     b.       Tax Revenue - Property </t>
  </si>
  <si>
    <t xml:space="preserve">     a.       Tax Revenue - Individual &amp;  Corporation</t>
  </si>
  <si>
    <t>For the Year Ended December 31, 2020</t>
  </si>
  <si>
    <t>Bayanihan Grant</t>
  </si>
  <si>
    <t>2019 Not Yet Due and Demandable</t>
  </si>
  <si>
    <t>PS</t>
  </si>
  <si>
    <t>FE</t>
  </si>
  <si>
    <t>CO</t>
  </si>
  <si>
    <t>DSWD NCR – Social Pension for Indigent Senior Citizen</t>
  </si>
  <si>
    <t>Office of the President – Grant of Financial Assistance – COVID-19</t>
  </si>
  <si>
    <t>DOH NCRO Medical Assistance to NCH</t>
  </si>
  <si>
    <t>DOH MMCHO Cash Grant award for CHO</t>
  </si>
  <si>
    <t>Lifestyle Relative Disease Prevention and Control Program</t>
  </si>
  <si>
    <t>National Tuberculosis Program</t>
  </si>
  <si>
    <t>Oral Health Program</t>
  </si>
  <si>
    <t>Therma Mobile Inc. Development Livelihood Fund (DLF) (ER 1-94) Opening of Account, Share of LGU from Department of Energy</t>
  </si>
  <si>
    <t>Therma Mobile Inc. Representation Watershed Management, Health and with Environment Enhancement Fund (RWMHEEF) Opening of Account, Share of LGU from DOE</t>
  </si>
  <si>
    <t>DSWD NCR 2019 Performance Challenge Fund (PCF) Incentive on Seal of Good Governance 2019 awardee</t>
  </si>
  <si>
    <t>Special Allotment Release Order (SARO) – Local Government Support Fund (LGSF) Priority Program for various projects</t>
  </si>
  <si>
    <t>SARO – Local Government and Regional Coordination Bureau (LGRCB)-1 Priority Program and Project (Proposed Pescador Part Extension and R-10 Park)</t>
  </si>
  <si>
    <t>Bureau of Treasury – Medical Assistance Program under LGSF</t>
  </si>
  <si>
    <t>Bureau of Treasury – Hazard Pay (AO 35) and Special Risk Allowance (AO 36)</t>
  </si>
  <si>
    <t>Bureau of Treasury – Financial Assistance – Typhoon Ulysses</t>
  </si>
  <si>
    <t>Cash - Local Treasury</t>
  </si>
  <si>
    <t xml:space="preserve">Cash in Bank - Local Currency, Current    </t>
  </si>
  <si>
    <t xml:space="preserve">     Account</t>
  </si>
  <si>
    <t xml:space="preserve">Cash in Bank - Local Currency, Savings </t>
  </si>
  <si>
    <t>Fund</t>
  </si>
  <si>
    <t>General Fund (GF)</t>
  </si>
  <si>
    <t>Special Education Fund (SEF)</t>
  </si>
  <si>
    <t>Trust Fund (TF)</t>
  </si>
  <si>
    <t xml:space="preserve">-              </t>
  </si>
  <si>
    <r>
      <t>Land Bank of the Philippines (LBP)</t>
    </r>
    <r>
      <rPr>
        <sz val="12"/>
        <color rgb="FF010202"/>
        <rFont val="Times New Roman"/>
        <family val="1"/>
      </rPr>
      <t xml:space="preserve"> </t>
    </r>
  </si>
  <si>
    <t>20% Internal Revenue Allotment (IRA) - Cash Disbursement Fund (CDF)</t>
  </si>
  <si>
    <t>SAGF Bayanihan</t>
  </si>
  <si>
    <t>Navotas City Hospital – Proper</t>
  </si>
  <si>
    <r>
      <t xml:space="preserve">          </t>
    </r>
    <r>
      <rPr>
        <sz val="12"/>
        <color rgb="FF010202"/>
        <rFont val="Times New Roman"/>
        <family val="1"/>
      </rPr>
      <t>LBP</t>
    </r>
  </si>
  <si>
    <t>TF</t>
  </si>
  <si>
    <t>Navotas City Health Office - Professional Fees</t>
  </si>
  <si>
    <t>Thermal Mobile, Inc -DLF</t>
  </si>
  <si>
    <t>Thermal Mobile, Inc – RWMHEEF</t>
  </si>
  <si>
    <t xml:space="preserve"> Amount </t>
  </si>
  <si>
    <t xml:space="preserve">Transfer fund from NCH to TF Intended to </t>
  </si>
  <si>
    <t>Diagnostic Procedure</t>
  </si>
  <si>
    <t>Staled/cancelled checks</t>
  </si>
  <si>
    <r>
      <t>Interest earned on Savings Account during the 3</t>
    </r>
    <r>
      <rPr>
        <vertAlign val="superscript"/>
        <sz val="12"/>
        <color rgb="FF010202"/>
        <rFont val="Times New Roman"/>
        <family val="1"/>
      </rPr>
      <t>rd</t>
    </r>
    <r>
      <rPr>
        <sz val="12"/>
        <color rgb="FF010202"/>
        <rFont val="Times New Roman"/>
        <family val="1"/>
      </rPr>
      <t xml:space="preserve"> and 4</t>
    </r>
    <r>
      <rPr>
        <vertAlign val="superscript"/>
        <sz val="12"/>
        <color rgb="FF010202"/>
        <rFont val="Times New Roman"/>
        <family val="1"/>
      </rPr>
      <t>th</t>
    </r>
    <r>
      <rPr>
        <sz val="12"/>
        <color rgb="FF010202"/>
        <rFont val="Times New Roman"/>
        <family val="1"/>
      </rPr>
      <t xml:space="preserve"> quarter of 2019</t>
    </r>
  </si>
  <si>
    <t>Refund of Salary</t>
  </si>
  <si>
    <t>Financial Assets - Available for sale</t>
  </si>
  <si>
    <r>
      <t>Inter - Agency Receivables</t>
    </r>
    <r>
      <rPr>
        <sz val="8"/>
        <color theme="1"/>
        <rFont val="Times New Roman"/>
        <family val="1"/>
      </rPr>
      <t> </t>
    </r>
  </si>
  <si>
    <t xml:space="preserve">Due from National Government Agencies (NGAs) </t>
  </si>
  <si>
    <t xml:space="preserve">      </t>
  </si>
  <si>
    <t>Intra - Agency Receivables</t>
  </si>
  <si>
    <t xml:space="preserve">Due from Other Funds, net of Due to Other Funds </t>
  </si>
  <si>
    <t xml:space="preserve">                   -   </t>
  </si>
  <si>
    <t xml:space="preserve">        - </t>
  </si>
  <si>
    <t xml:space="preserve">          </t>
  </si>
  <si>
    <t>Due from Non-Government Organization/People’s Organization</t>
  </si>
  <si>
    <t>Neither past due or impaired</t>
  </si>
  <si>
    <t>Past Due but not impaired</t>
  </si>
  <si>
    <t>≤ 30 Days</t>
  </si>
  <si>
    <t>30-60 days</t>
  </si>
  <si>
    <t>≥ 60 days</t>
  </si>
  <si>
    <t>Real Property Tax Receivables</t>
  </si>
  <si>
    <t>-</t>
  </si>
  <si>
    <t>Special Education Tax Receivables</t>
  </si>
  <si>
    <t>Interest Receivables</t>
  </si>
  <si>
    <t>Loans Receivables – Others</t>
  </si>
  <si>
    <t>Due from National Government</t>
  </si>
  <si>
    <t>Due from Local Government Units</t>
  </si>
  <si>
    <t>Due from other Funds (net of Due to Other Funds)</t>
  </si>
  <si>
    <t>Receivables - Disallowances/Charges</t>
  </si>
  <si>
    <t>Due from Non-Organization/People’s Organization</t>
  </si>
  <si>
    <t xml:space="preserve">Other Receivables                                                               </t>
  </si>
  <si>
    <t>Inventory Held for Sale</t>
  </si>
  <si>
    <t>Inventory Held for Distribution</t>
  </si>
  <si>
    <t xml:space="preserve"> Medical, Dental and Laboratory Supplies for Distribution</t>
  </si>
  <si>
    <t xml:space="preserve"> Other Supplies and Materials for Distribution</t>
  </si>
  <si>
    <t>Inventory Held for Consumption</t>
  </si>
  <si>
    <t>Advances to Contractors</t>
  </si>
  <si>
    <t>Prepaid Rent</t>
  </si>
  <si>
    <t>Prepaid Registration</t>
  </si>
  <si>
    <t>Prepaid Insurance</t>
  </si>
  <si>
    <t>Other Prepayments</t>
  </si>
  <si>
    <t>Discount on Advance Payment</t>
  </si>
  <si>
    <t xml:space="preserve"> As of </t>
  </si>
  <si>
    <t xml:space="preserve">December 31, 2019 </t>
  </si>
  <si>
    <t xml:space="preserve">Additions </t>
  </si>
  <si>
    <t xml:space="preserve"> Disposals </t>
  </si>
  <si>
    <t xml:space="preserve"> Transfer/</t>
  </si>
  <si>
    <t xml:space="preserve">Adjustments </t>
  </si>
  <si>
    <t xml:space="preserve">As of December 31, 2020 </t>
  </si>
  <si>
    <t>Investment Property , Land</t>
  </si>
  <si>
    <t>Accumulated Depreciation</t>
  </si>
  <si>
    <t xml:space="preserve">Depreciation Expenses </t>
  </si>
  <si>
    <t>Grand Total</t>
  </si>
  <si>
    <r>
      <t xml:space="preserve">December 31, 2019 </t>
    </r>
    <r>
      <rPr>
        <sz val="8"/>
        <color theme="1"/>
        <rFont val="Times New Roman"/>
        <family val="1"/>
      </rPr>
      <t> </t>
    </r>
  </si>
  <si>
    <t>Land</t>
  </si>
  <si>
    <t>Other Land Improvement</t>
  </si>
  <si>
    <t>Road Networks</t>
  </si>
  <si>
    <t>Flood Control</t>
  </si>
  <si>
    <t>Water Supply System</t>
  </si>
  <si>
    <t>Power Supply System</t>
  </si>
  <si>
    <t>Seaport System</t>
  </si>
  <si>
    <t>Park, Plazas and Monument</t>
  </si>
  <si>
    <t>Other Infrastructure Assets</t>
  </si>
  <si>
    <t>Buildings</t>
  </si>
  <si>
    <t>School Building</t>
  </si>
  <si>
    <t xml:space="preserve">Hospitals and Health Centers </t>
  </si>
  <si>
    <t>Markets</t>
  </si>
  <si>
    <t>Other Structures</t>
  </si>
  <si>
    <t>Machinery</t>
  </si>
  <si>
    <t>Office Equipment</t>
  </si>
  <si>
    <t>Information and Communication Technology Equipment</t>
  </si>
  <si>
    <t>Communication Equipment</t>
  </si>
  <si>
    <t>Construction and Heavy Equipment</t>
  </si>
  <si>
    <t>Disaster Response and Rescue Equipment</t>
  </si>
  <si>
    <t>Military, Police and Security Equipment</t>
  </si>
  <si>
    <t>Medical Equipment</t>
  </si>
  <si>
    <t>Sports Equipment</t>
  </si>
  <si>
    <t>Technical and Scientific Equipment</t>
  </si>
  <si>
    <t>Other Machinery and Equipment</t>
  </si>
  <si>
    <t>Motor Vehicles</t>
  </si>
  <si>
    <t>Watercrafts</t>
  </si>
  <si>
    <t>Furniture and Fixtures</t>
  </si>
  <si>
    <t>Books</t>
  </si>
  <si>
    <t>Construction in Progress- Infrastructure</t>
  </si>
  <si>
    <t>Construction in Progress- Building and Other Structure</t>
  </si>
  <si>
    <t>Payables</t>
  </si>
  <si>
    <t>Accounts Payable</t>
  </si>
  <si>
    <t>216.,925,224</t>
  </si>
  <si>
    <t>Due to Officers and Employees</t>
  </si>
  <si>
    <t>Leave Benefits Payables</t>
  </si>
  <si>
    <t>Loans Payable</t>
  </si>
  <si>
    <t>Loans Payable – Domestic</t>
  </si>
  <si>
    <t>Date Availed</t>
  </si>
  <si>
    <t>Promissory Note</t>
  </si>
  <si>
    <t>Maturity Date</t>
  </si>
  <si>
    <t xml:space="preserve"> Amount of Loan </t>
  </si>
  <si>
    <t>Amount Paid as of Year-End</t>
  </si>
  <si>
    <t xml:space="preserve"> Balance as of year end </t>
  </si>
  <si>
    <t>Principal</t>
  </si>
  <si>
    <t>Interest</t>
  </si>
  <si>
    <t>4808TL103832010</t>
  </si>
  <si>
    <t>4808TL144515010</t>
  </si>
  <si>
    <t>4808TL144515020</t>
  </si>
  <si>
    <t>11/28/2014</t>
  </si>
  <si>
    <t>4808TL144515030</t>
  </si>
  <si>
    <t>01/27/2015</t>
  </si>
  <si>
    <t>4808TL154515040</t>
  </si>
  <si>
    <t>08/28/2015</t>
  </si>
  <si>
    <t>4808TL154515050</t>
  </si>
  <si>
    <t>4808TL174830010</t>
  </si>
  <si>
    <t>06/28/2019</t>
  </si>
  <si>
    <t>4808TL194830020</t>
  </si>
  <si>
    <t>4808TL174831010</t>
  </si>
  <si>
    <t>4808TL184831020</t>
  </si>
  <si>
    <t>4808TL184831030</t>
  </si>
  <si>
    <t>4808TL194831040</t>
  </si>
  <si>
    <t>4808TL174865010</t>
  </si>
  <si>
    <t>4808TL184865020</t>
  </si>
  <si>
    <t>4808TL194865030</t>
  </si>
  <si>
    <t>4808TL184931010</t>
  </si>
  <si>
    <t>4808TL194931020</t>
  </si>
  <si>
    <t>4808TL184931030</t>
  </si>
  <si>
    <t>11/15/2018</t>
  </si>
  <si>
    <t>4808TL184977010</t>
  </si>
  <si>
    <t>11/15/2028</t>
  </si>
  <si>
    <t>07/14/2020</t>
  </si>
  <si>
    <t>4808TL204977020</t>
  </si>
  <si>
    <t>Ending Balances</t>
  </si>
  <si>
    <t>Less: Current Portion of the Loan</t>
  </si>
  <si>
    <t>Non-Current Portion of the Loan</t>
  </si>
  <si>
    <r>
      <t>Accounts</t>
    </r>
    <r>
      <rPr>
        <sz val="8"/>
        <color theme="1"/>
        <rFont val="Times New Roman"/>
        <family val="1"/>
      </rPr>
      <t> </t>
    </r>
  </si>
  <si>
    <t>Due to NGAs</t>
  </si>
  <si>
    <t>Due to Local Government Units (LGUs)</t>
  </si>
  <si>
    <r>
      <t> </t>
    </r>
    <r>
      <rPr>
        <sz val="10"/>
        <color theme="1"/>
        <rFont val="Times New Roman"/>
        <family val="1"/>
      </rPr>
      <t>Please add disclosure of accounts</t>
    </r>
  </si>
  <si>
    <r>
      <t> </t>
    </r>
    <r>
      <rPr>
        <sz val="10"/>
        <color theme="1"/>
        <rFont val="Times New Roman"/>
        <family val="1"/>
      </rPr>
      <t>Please add disclosure on the significant increase for this account</t>
    </r>
  </si>
  <si>
    <r>
      <t> </t>
    </r>
    <r>
      <rPr>
        <sz val="10"/>
        <color theme="1"/>
        <rFont val="Times New Roman"/>
        <family val="1"/>
      </rPr>
      <t>Noted</t>
    </r>
  </si>
  <si>
    <r>
      <t> </t>
    </r>
    <r>
      <rPr>
        <sz val="10"/>
        <color theme="1"/>
        <rFont val="Times New Roman"/>
        <family val="1"/>
      </rPr>
      <t>Per face of FS: 194,536,155</t>
    </r>
  </si>
  <si>
    <r>
      <t>Account</t>
    </r>
    <r>
      <rPr>
        <sz val="8"/>
        <color theme="1"/>
        <rFont val="Times New Roman"/>
        <family val="1"/>
      </rPr>
      <t> </t>
    </r>
    <r>
      <rPr>
        <b/>
        <sz val="12"/>
        <color theme="1"/>
        <rFont val="Times New Roman"/>
        <family val="1"/>
      </rPr>
      <t>s</t>
    </r>
  </si>
  <si>
    <t>Trust Liabilities – DRRMF</t>
  </si>
  <si>
    <r>
      <t> </t>
    </r>
    <r>
      <rPr>
        <sz val="10"/>
        <color theme="1"/>
        <rFont val="Times New Roman"/>
        <family val="1"/>
      </rPr>
      <t>Please add disclosure on the significant decrease of this account</t>
    </r>
  </si>
  <si>
    <t>Also, please include in the total amount the amount of unspent DRRm transferred, and adjust the total TL accordingly</t>
  </si>
  <si>
    <r>
      <t>2020 LDRRMF</t>
    </r>
    <r>
      <rPr>
        <sz val="8"/>
        <color theme="1"/>
        <rFont val="Times New Roman"/>
        <family val="1"/>
      </rPr>
      <t>  </t>
    </r>
  </si>
  <si>
    <t>3,959,974*</t>
  </si>
  <si>
    <t>2015LDRRMF</t>
  </si>
  <si>
    <t xml:space="preserve">Sub-Total  </t>
  </si>
  <si>
    <r>
      <t> </t>
    </r>
    <r>
      <rPr>
        <sz val="10"/>
        <color theme="1"/>
        <rFont val="Times New Roman"/>
        <family val="1"/>
      </rPr>
      <t>Please include amount transferred of unspent DRRM amounting to 3,959,974</t>
    </r>
  </si>
  <si>
    <r>
      <t> </t>
    </r>
    <r>
      <rPr>
        <sz val="10"/>
        <color theme="1"/>
        <rFont val="Times New Roman"/>
        <family val="1"/>
      </rPr>
      <t>noted</t>
    </r>
  </si>
  <si>
    <r>
      <t>Accounts</t>
    </r>
    <r>
      <rPr>
        <sz val="8"/>
        <color theme="1"/>
        <rFont val="Times New Roman"/>
        <family val="1"/>
      </rPr>
      <t>  </t>
    </r>
  </si>
  <si>
    <t>Tax Revenue - Individual and Corporation</t>
  </si>
  <si>
    <t>Professional Tax</t>
  </si>
  <si>
    <t>,Community tax</t>
  </si>
  <si>
    <t>Tax Revenue - Property</t>
  </si>
  <si>
    <t>Real Property Tax - Basic</t>
  </si>
  <si>
    <t xml:space="preserve">Discount on Real Property Tax </t>
  </si>
  <si>
    <t>Special Education Tax</t>
  </si>
  <si>
    <t>Discount on Special Education Tax</t>
  </si>
  <si>
    <t>Real Property Transfer Tax</t>
  </si>
  <si>
    <t>Tax Revenue - Goods and Services</t>
  </si>
  <si>
    <t>Business Tax</t>
  </si>
  <si>
    <t>Tax on Delivery Trucks and Vans</t>
  </si>
  <si>
    <t>Franchise Tax</t>
  </si>
  <si>
    <t>Other Taxes</t>
  </si>
  <si>
    <t>Tax Revenue - Fines and Penalties</t>
  </si>
  <si>
    <t>Tax Revenue - Fines and Penalties -Other Taxes</t>
  </si>
  <si>
    <t xml:space="preserve">  </t>
  </si>
  <si>
    <t>Property Taxes</t>
  </si>
  <si>
    <t xml:space="preserve">   </t>
  </si>
  <si>
    <t xml:space="preserve">    - </t>
  </si>
  <si>
    <t xml:space="preserve">     </t>
  </si>
  <si>
    <t>Fines and Penalties - Service Income</t>
  </si>
  <si>
    <t>Rent Income</t>
  </si>
  <si>
    <t>Road Network Fees</t>
  </si>
  <si>
    <t>Receipts from Market Operation</t>
  </si>
  <si>
    <t xml:space="preserve">Interest Income </t>
  </si>
  <si>
    <t xml:space="preserve">Interest income for Savings Account </t>
  </si>
  <si>
    <t xml:space="preserve">Transfer of fund from NCH to TF intended </t>
  </si>
  <si>
    <t xml:space="preserve">For diagnostic procedure under socio Civic </t>
  </si>
  <si>
    <t>Fund Project.</t>
  </si>
  <si>
    <r>
      <t>Grants and Donations in Kind</t>
    </r>
    <r>
      <rPr>
        <sz val="8"/>
        <color theme="1"/>
        <rFont val="Times New Roman"/>
        <family val="1"/>
      </rPr>
      <t> </t>
    </r>
  </si>
  <si>
    <r>
      <t> </t>
    </r>
    <r>
      <rPr>
        <sz val="10"/>
        <color theme="1"/>
        <rFont val="Times New Roman"/>
        <family val="1"/>
      </rPr>
      <t>Please disclose significant increase</t>
    </r>
  </si>
  <si>
    <t xml:space="preserve">  -</t>
  </si>
  <si>
    <t>Salaries and Wages</t>
  </si>
  <si>
    <t>Salaries and Wages - Regular</t>
  </si>
  <si>
    <t>Salaries and Wages - Casual/Contractual</t>
  </si>
  <si>
    <t xml:space="preserve">Personnel Benefit Contribution </t>
  </si>
  <si>
    <t xml:space="preserve">     Other Personnel Benefits</t>
  </si>
  <si>
    <t xml:space="preserve">- </t>
  </si>
  <si>
    <t xml:space="preserve">        -   </t>
  </si>
  <si>
    <t>Awards/Rewards and Prizes</t>
  </si>
  <si>
    <t xml:space="preserve">             -   </t>
  </si>
  <si>
    <t>Consulting Services</t>
  </si>
  <si>
    <t>Repairs and Maintenance - Infrastructure Assets</t>
  </si>
  <si>
    <t xml:space="preserve">               </t>
  </si>
  <si>
    <t xml:space="preserve">  -   </t>
  </si>
  <si>
    <t>Repairs and Maintenance - Machinery and Equipment</t>
  </si>
  <si>
    <t>Repairs and Maintenance - Transportation Equipment</t>
  </si>
  <si>
    <t>Repairs and Maintenance - PPE</t>
  </si>
  <si>
    <t xml:space="preserve"> </t>
  </si>
  <si>
    <t>Depreciation – Investment Property</t>
  </si>
  <si>
    <t xml:space="preserve">-   </t>
  </si>
  <si>
    <t xml:space="preserve">Interest Expenses  </t>
  </si>
  <si>
    <t>Bank Charges</t>
  </si>
  <si>
    <t>Other Financial Charges</t>
  </si>
  <si>
    <t>Subsidy from NGAs</t>
  </si>
  <si>
    <t>Subsidy from Government Owned Controlled Corporations (GOCCs)</t>
  </si>
  <si>
    <t xml:space="preserve">  Capital Outlay     </t>
  </si>
  <si>
    <t xml:space="preserve">   CY 2019-       </t>
  </si>
  <si>
    <t xml:space="preserve">   CY 2018-       </t>
  </si>
  <si>
    <t xml:space="preserve">   CY 2017-         </t>
  </si>
  <si>
    <t xml:space="preserve">   CY 2016-         </t>
  </si>
  <si>
    <t xml:space="preserve">   CY 2015-            </t>
  </si>
  <si>
    <t>Increase in Other Payables</t>
  </si>
  <si>
    <t>Increase in Investments</t>
  </si>
  <si>
    <t>Increase in Prepayments and deferred charges</t>
  </si>
  <si>
    <t>Increase in Financial Liabilities</t>
  </si>
  <si>
    <t>Increase in Inter-agency payables</t>
  </si>
  <si>
    <t>Decrease in Trust Liabilities</t>
  </si>
  <si>
    <t>Increase in Deferred Credits/ Unearned Income</t>
  </si>
  <si>
    <t>Subsidy to other funds</t>
  </si>
  <si>
    <t>Subsidy from other funds</t>
  </si>
  <si>
    <t>Grants and Donations in kind</t>
  </si>
  <si>
    <t>-Purchase of DOH-compliant ambulance for the</t>
  </si>
  <si>
    <t xml:space="preserve">  use of CDRRMO from TF.</t>
  </si>
  <si>
    <t xml:space="preserve">-Purchase of existing CCTV system with </t>
  </si>
  <si>
    <t xml:space="preserve">  Installation charged to CDRRMO from TF</t>
  </si>
  <si>
    <t>-Adjustment on water bills &amp; electric bill</t>
  </si>
  <si>
    <t>Statement of Financial Position</t>
  </si>
  <si>
    <t>CY 2019
(Unrestated)</t>
  </si>
  <si>
    <t>CY 2019
(As Restated)</t>
  </si>
  <si>
    <t>Cash in Bank - Local Currency, Current Account</t>
  </si>
  <si>
    <t>Cash in Bank - Local Currency, Savings Account</t>
  </si>
  <si>
    <t>Investment in Stocks</t>
  </si>
  <si>
    <t>Loans and Receivable Account</t>
  </si>
  <si>
    <t>Interest Receivable</t>
  </si>
  <si>
    <t>Loans Receivable - Others</t>
  </si>
  <si>
    <t>Inter-Agency Receivable</t>
  </si>
  <si>
    <t>Due from National Government Agencies (NGAs)</t>
  </si>
  <si>
    <t>Intra-Agency Receivables</t>
  </si>
  <si>
    <t>Due from Other Funds, net of Due to Other Funds</t>
  </si>
  <si>
    <t>Due from Non-Government Organization/People's Organization</t>
  </si>
  <si>
    <t>Flood Control System</t>
  </si>
  <si>
    <t>Accumulated Depreciation - Other Land Improvement</t>
  </si>
  <si>
    <t>Accumulated Depreciation - Road Networks</t>
  </si>
  <si>
    <t>Accumulated Depreciation - Flood Control System</t>
  </si>
  <si>
    <t>Accumulated Depreciation - Water Supply System</t>
  </si>
  <si>
    <t>Accumulated Depreciation - Power Supply System</t>
  </si>
  <si>
    <t>Accumulated Depreciation - Seaport System</t>
  </si>
  <si>
    <t>Accumulated Depreciation - Park, Plazas and Monument</t>
  </si>
  <si>
    <t>Accumulated Depreciation - Other Infrastructure Assets</t>
  </si>
  <si>
    <t>Accumulated Depreciation - Buildings</t>
  </si>
  <si>
    <t>Accumulated Depreciation - School Building</t>
  </si>
  <si>
    <t xml:space="preserve">Accumulated Depreciation - Hospitals and Health Centers </t>
  </si>
  <si>
    <t>Accumulated Depreciation - Markets</t>
  </si>
  <si>
    <t>Accumulated Depreciation - Other Structures</t>
  </si>
  <si>
    <t>Accumulated Depreciation - Machinery</t>
  </si>
  <si>
    <t>Accumulated Depreciation - Office Equipment</t>
  </si>
  <si>
    <t>Accumulated Depreciation - Information and Communication Technology Equipment</t>
  </si>
  <si>
    <t>Accumulated Depreciation - Communication Equipment</t>
  </si>
  <si>
    <t>Accumulated Depreciation - Construction and Heavy Equipment</t>
  </si>
  <si>
    <t>Accumulated Depreciation - Disaster Response and Rescue Equipment</t>
  </si>
  <si>
    <t>Accumulated Depreciation - Military, Police and Security Equipment</t>
  </si>
  <si>
    <t>Accumulated Depreciation - Medical Equipment</t>
  </si>
  <si>
    <t>Accumulated Depreciation - Sports Equipment</t>
  </si>
  <si>
    <t>Accumulated Depreciation - Technical and Scientific Equipment</t>
  </si>
  <si>
    <t>Accumulated Depreciation - Other Machinery and Equipment</t>
  </si>
  <si>
    <t>Accumulated Depreciation - Motor Vehicles</t>
  </si>
  <si>
    <t>Accumulated Depreciation - Watercrafts</t>
  </si>
  <si>
    <t>Accumulated Depreciation - Furniture and Fixtures</t>
  </si>
  <si>
    <t>Accumulated Depreciation - Books</t>
  </si>
  <si>
    <t>Accumulated Depreciation - Other Property, Plant and Equipment</t>
  </si>
  <si>
    <t>Subsidy to NGAs</t>
  </si>
  <si>
    <t>Subsidy – Others</t>
  </si>
  <si>
    <t>Medical, Dental and Laboratory Supplies for Distribution</t>
  </si>
  <si>
    <t>Other Supplies and Materials for Distribution</t>
  </si>
  <si>
    <t> Sub-total</t>
  </si>
  <si>
    <t>Medical, Dental and Laboratory Supplies Inventory</t>
  </si>
  <si>
    <t>Textbooks and Instructional Materials Inventory</t>
  </si>
  <si>
    <t>Loans Payable – Domestic, Current</t>
  </si>
  <si>
    <t>Loans Payable – Domestic, Non-Current</t>
  </si>
  <si>
    <t>Total Financial Liabilities</t>
  </si>
  <si>
    <t>Deferred Credits/Unearned Income</t>
  </si>
  <si>
    <t>TOTAL LIABILITIES and GOVERNMENT EQUITY</t>
  </si>
  <si>
    <t>Community tax</t>
  </si>
  <si>
    <t>Repairs and Maintenance</t>
  </si>
  <si>
    <t>Taxes, Insurance Premiums and Other Fees</t>
  </si>
  <si>
    <t>Depreciation - Other Property, Plant and Equipment Amortization</t>
  </si>
  <si>
    <t>Transfers, Assistance and Subsidy</t>
  </si>
  <si>
    <t>Financial Assistance/Subsidy</t>
  </si>
  <si>
    <t>Statement of Financial Performance</t>
  </si>
  <si>
    <t>TOTAL REVENUE</t>
  </si>
  <si>
    <t>CURRENT OPERATING EXPENSES</t>
  </si>
  <si>
    <t>SURPLUS/DEFICIT for the PERIOD</t>
  </si>
  <si>
    <t>Shares, Grants and Donation</t>
  </si>
  <si>
    <t>additional line items - not allowed</t>
  </si>
  <si>
    <t>not matched</t>
  </si>
  <si>
    <t>matched with AFR</t>
  </si>
  <si>
    <t>Debt Service</t>
  </si>
  <si>
    <t xml:space="preserve">         b. Other Subsidy Income</t>
  </si>
  <si>
    <t xml:space="preserve">         a. Grants and Donations</t>
  </si>
  <si>
    <t>2.   Share from GOCCs</t>
  </si>
  <si>
    <t>1.   Share from the National Internal Revenue Taxes (IRA)</t>
  </si>
  <si>
    <t xml:space="preserve">    c.      Other Income and Receipts</t>
  </si>
  <si>
    <t xml:space="preserve">    b.      Business Income</t>
  </si>
  <si>
    <t xml:space="preserve">    a.      Service Income</t>
  </si>
  <si>
    <t xml:space="preserve">     c.      Other Local Taxes</t>
  </si>
  <si>
    <t xml:space="preserve">     b.      Tax Revenue - Goods and Services</t>
  </si>
  <si>
    <t xml:space="preserve">     a.      Tax Revenue - Property </t>
  </si>
  <si>
    <t>Depository Bank</t>
  </si>
  <si>
    <r>
      <t> </t>
    </r>
    <r>
      <rPr>
        <sz val="10"/>
        <color theme="1"/>
        <rFont val="Times New Roman"/>
        <family val="1"/>
      </rPr>
      <t>No balance for Due to GOCC for the receivable from PhilHealth? How does the City record claims from the hospital bills of the patients in Navotas City Hospital?</t>
    </r>
  </si>
  <si>
    <t>-No billing was recorded in the books of accounts, hence, included in the AOM on Audit of FS</t>
  </si>
  <si>
    <t>-check Part II</t>
  </si>
  <si>
    <t xml:space="preserve">                          </t>
  </si>
  <si>
    <t>3.   Other Receipts</t>
  </si>
  <si>
    <t>Assets</t>
  </si>
  <si>
    <t>Liabilities</t>
  </si>
  <si>
    <t>Equity</t>
  </si>
  <si>
    <t>Expenses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</si>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</sst>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10202"/>
      <name val="Times New Roman"/>
      <family val="1"/>
    </font>
    <font>
      <sz val="12"/>
      <color rgb="FF000000"/>
      <name val="Times New Roman"/>
      <family val="1"/>
    </font>
    <font>
      <b/>
      <sz val="12"/>
      <color rgb="FF01020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rgb="FF010202"/>
      <name val="Times New Roman"/>
      <family val="1"/>
    </font>
    <font>
      <b/>
      <sz val="11"/>
      <color theme="1"/>
      <name val="Calibri"/>
      <family val="2"/>
      <scheme val="minor"/>
    </font>
    <font>
      <sz val="7"/>
      <color rgb="FF010202"/>
      <name val="Times New Roman"/>
      <family val="1"/>
    </font>
    <font>
      <b/>
      <i/>
      <sz val="12"/>
      <color rgb="FF010202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7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sz val="10"/>
      <color theme="1"/>
      <name val="Times New Roman"/>
      <family val="1"/>
    </font>
    <font>
      <sz val="11"/>
      <color rgb="FF010202"/>
      <name val="Times New Roman"/>
      <family val="1"/>
    </font>
    <font>
      <b/>
      <sz val="11"/>
      <color rgb="FF010202"/>
      <name val="Times New Roman"/>
      <family val="1"/>
    </font>
    <font>
      <b/>
      <sz val="10"/>
      <color rgb="FF010202"/>
      <name val="Times New Roman"/>
      <family val="1"/>
    </font>
    <font>
      <vertAlign val="superscript"/>
      <sz val="12"/>
      <color rgb="FF010202"/>
      <name val="Times New Roman"/>
      <family val="1"/>
    </font>
    <font>
      <sz val="8"/>
      <color theme="1"/>
      <name val="Times New Roman"/>
      <family val="1"/>
    </font>
    <font>
      <sz val="10"/>
      <color rgb="FF010202"/>
      <name val="Times New Roman"/>
      <family val="1"/>
    </font>
    <font>
      <b/>
      <sz val="11.5"/>
      <color rgb="FF010202"/>
      <name val="Times New Roman"/>
      <family val="1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  <font>
      <sz val="11.5"/>
      <color rgb="FF010202"/>
      <name val="Times New Roman"/>
      <family val="1"/>
    </font>
    <font>
      <i/>
      <sz val="11.5"/>
      <color rgb="FF010202"/>
      <name val="Times New Roman"/>
      <family val="1"/>
    </font>
    <font>
      <b/>
      <sz val="11.5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11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010202"/>
      <name val="Times New Roman"/>
      <family val="1"/>
    </font>
    <font>
      <b/>
      <sz val="9"/>
      <color rgb="FF01020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1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7">
    <xf numFmtId="0" fontId="0" fillId="0" borderId="0" xfId="0"/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justify" vertical="center" wrapText="1"/>
    </xf>
    <xf numFmtId="3" fontId="6" fillId="0" borderId="0" xfId="0" applyNumberFormat="1" applyFont="1" applyAlignment="1">
      <alignment horizontal="right" vertical="center" wrapText="1"/>
    </xf>
    <xf numFmtId="0" fontId="8" fillId="0" borderId="5" xfId="0" applyFont="1" applyBorder="1" applyAlignment="1">
      <alignment horizontal="justify" vertical="center" wrapText="1"/>
    </xf>
    <xf numFmtId="3" fontId="8" fillId="0" borderId="5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9" fillId="0" borderId="0" xfId="0" applyFont="1" applyAlignment="1"/>
    <xf numFmtId="0" fontId="8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justify" vertical="center"/>
    </xf>
    <xf numFmtId="3" fontId="6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8" fillId="0" borderId="5" xfId="0" applyFont="1" applyBorder="1" applyAlignment="1">
      <alignment horizontal="justify" vertical="center"/>
    </xf>
    <xf numFmtId="3" fontId="8" fillId="0" borderId="5" xfId="0" applyNumberFormat="1" applyFont="1" applyBorder="1" applyAlignment="1">
      <alignment horizontal="right" vertical="center"/>
    </xf>
    <xf numFmtId="3" fontId="0" fillId="0" borderId="0" xfId="0" applyNumberFormat="1" applyAlignment="1"/>
    <xf numFmtId="164" fontId="0" fillId="0" borderId="0" xfId="1" applyFont="1" applyAlignment="1"/>
    <xf numFmtId="9" fontId="0" fillId="0" borderId="0" xfId="5" applyFont="1" applyAlignment="1"/>
    <xf numFmtId="9" fontId="8" fillId="0" borderId="5" xfId="5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3" fontId="7" fillId="0" borderId="6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3" fontId="8" fillId="0" borderId="6" xfId="0" applyNumberFormat="1" applyFont="1" applyBorder="1" applyAlignment="1">
      <alignment horizontal="right" vertical="center" wrapText="1"/>
    </xf>
    <xf numFmtId="0" fontId="8" fillId="0" borderId="6" xfId="0" applyFont="1" applyBorder="1" applyAlignment="1">
      <alignment vertical="center" wrapText="1"/>
    </xf>
    <xf numFmtId="0" fontId="4" fillId="0" borderId="0" xfId="0" applyFont="1" applyAlignment="1">
      <alignment vertical="top" wrapText="1"/>
    </xf>
    <xf numFmtId="0" fontId="6" fillId="0" borderId="6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6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7" fillId="0" borderId="5" xfId="0" applyFont="1" applyBorder="1" applyAlignment="1">
      <alignment vertical="center"/>
    </xf>
    <xf numFmtId="0" fontId="8" fillId="0" borderId="0" xfId="0" applyFont="1" applyAlignment="1">
      <alignment horizontal="justify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 indent="3"/>
    </xf>
    <xf numFmtId="0" fontId="4" fillId="0" borderId="0" xfId="0" applyFont="1" applyAlignment="1">
      <alignment vertical="top" wrapText="1"/>
    </xf>
    <xf numFmtId="0" fontId="11" fillId="0" borderId="5" xfId="0" applyFont="1" applyBorder="1" applyAlignment="1">
      <alignment horizontal="justify" vertical="center" wrapText="1"/>
    </xf>
    <xf numFmtId="0" fontId="11" fillId="0" borderId="5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 indent="2"/>
    </xf>
    <xf numFmtId="0" fontId="7" fillId="0" borderId="0" xfId="0" applyFont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vertical="center" wrapText="1"/>
    </xf>
    <xf numFmtId="3" fontId="7" fillId="0" borderId="2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vertical="center" wrapText="1"/>
    </xf>
    <xf numFmtId="3" fontId="7" fillId="0" borderId="7" xfId="0" applyNumberFormat="1" applyFont="1" applyBorder="1" applyAlignment="1">
      <alignment horizontal="right" vertical="center"/>
    </xf>
    <xf numFmtId="0" fontId="5" fillId="0" borderId="0" xfId="0" applyFont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3" fontId="7" fillId="0" borderId="13" xfId="0" applyNumberFormat="1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7" fillId="0" borderId="13" xfId="0" applyFont="1" applyBorder="1" applyAlignment="1">
      <alignment horizontal="right" vertical="center"/>
    </xf>
    <xf numFmtId="0" fontId="5" fillId="0" borderId="10" xfId="0" applyFont="1" applyBorder="1" applyAlignment="1">
      <alignment vertical="center"/>
    </xf>
    <xf numFmtId="3" fontId="5" fillId="0" borderId="13" xfId="0" applyNumberFormat="1" applyFont="1" applyBorder="1" applyAlignment="1">
      <alignment horizontal="right" vertical="center"/>
    </xf>
    <xf numFmtId="3" fontId="6" fillId="0" borderId="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 indent="5"/>
    </xf>
    <xf numFmtId="4" fontId="0" fillId="0" borderId="0" xfId="0" applyNumberFormat="1" applyAlignment="1"/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3" fontId="10" fillId="0" borderId="0" xfId="0" applyNumberFormat="1" applyFont="1" applyAlignment="1">
      <alignment horizontal="right" vertical="center" wrapText="1"/>
    </xf>
    <xf numFmtId="0" fontId="9" fillId="0" borderId="5" xfId="0" applyFont="1" applyBorder="1" applyAlignment="1">
      <alignment vertical="center" wrapText="1"/>
    </xf>
    <xf numFmtId="3" fontId="9" fillId="0" borderId="5" xfId="0" applyNumberFormat="1" applyFont="1" applyBorder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3" fontId="5" fillId="0" borderId="5" xfId="0" applyNumberFormat="1" applyFont="1" applyBorder="1" applyAlignment="1">
      <alignment horizontal="right" vertical="center" wrapText="1"/>
    </xf>
    <xf numFmtId="0" fontId="7" fillId="0" borderId="14" xfId="0" applyFont="1" applyBorder="1" applyAlignment="1">
      <alignment horizontal="justify" vertical="center" wrapText="1"/>
    </xf>
    <xf numFmtId="3" fontId="7" fillId="0" borderId="14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3" fontId="7" fillId="0" borderId="6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3" fontId="5" fillId="0" borderId="6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right" vertical="center" wrapText="1"/>
    </xf>
    <xf numFmtId="0" fontId="10" fillId="0" borderId="6" xfId="0" applyFont="1" applyBorder="1" applyAlignment="1">
      <alignment horizontal="justify" vertical="center" wrapText="1"/>
    </xf>
    <xf numFmtId="3" fontId="10" fillId="0" borderId="6" xfId="0" applyNumberFormat="1" applyFont="1" applyBorder="1" applyAlignment="1">
      <alignment horizontal="right" vertical="center" wrapText="1"/>
    </xf>
    <xf numFmtId="0" fontId="9" fillId="0" borderId="6" xfId="0" applyFont="1" applyBorder="1" applyAlignment="1">
      <alignment horizontal="justify" vertical="center" wrapText="1"/>
    </xf>
    <xf numFmtId="3" fontId="9" fillId="0" borderId="6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6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7" fillId="0" borderId="14" xfId="0" applyFont="1" applyBorder="1" applyAlignment="1">
      <alignment vertical="center" wrapText="1"/>
    </xf>
    <xf numFmtId="3" fontId="7" fillId="0" borderId="14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 wrapText="1"/>
    </xf>
    <xf numFmtId="0" fontId="12" fillId="0" borderId="0" xfId="0" applyFont="1" applyAlignment="1"/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7" fillId="0" borderId="6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vertical="center" wrapText="1"/>
    </xf>
    <xf numFmtId="3" fontId="5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/>
    <xf numFmtId="0" fontId="0" fillId="0" borderId="15" xfId="0" applyBorder="1" applyAlignment="1"/>
    <xf numFmtId="3" fontId="0" fillId="0" borderId="15" xfId="0" applyNumberFormat="1" applyBorder="1" applyAlignment="1"/>
    <xf numFmtId="0" fontId="7" fillId="0" borderId="0" xfId="0" applyFont="1" applyAlignment="1">
      <alignment horizontal="left" vertical="center" wrapText="1" indent="3"/>
    </xf>
    <xf numFmtId="0" fontId="12" fillId="0" borderId="0" xfId="0" applyFont="1" applyAlignment="1">
      <alignment horizontal="left"/>
    </xf>
    <xf numFmtId="0" fontId="5" fillId="0" borderId="8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5" fillId="0" borderId="10" xfId="0" applyFont="1" applyBorder="1" applyAlignment="1">
      <alignment vertical="center" wrapText="1"/>
    </xf>
    <xf numFmtId="0" fontId="7" fillId="0" borderId="13" xfId="0" applyFont="1" applyBorder="1" applyAlignment="1">
      <alignment horizontal="right" vertical="center" wrapText="1"/>
    </xf>
    <xf numFmtId="0" fontId="7" fillId="0" borderId="10" xfId="0" applyFont="1" applyBorder="1" applyAlignment="1">
      <alignment vertical="center" wrapText="1"/>
    </xf>
    <xf numFmtId="3" fontId="7" fillId="0" borderId="13" xfId="0" applyNumberFormat="1" applyFont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15" fillId="0" borderId="10" xfId="0" applyFont="1" applyBorder="1" applyAlignment="1">
      <alignment vertical="center" wrapText="1"/>
    </xf>
    <xf numFmtId="0" fontId="5" fillId="0" borderId="13" xfId="0" applyFont="1" applyBorder="1" applyAlignment="1">
      <alignment horizontal="righ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 indent="5"/>
    </xf>
    <xf numFmtId="0" fontId="10" fillId="0" borderId="6" xfId="0" applyFont="1" applyBorder="1" applyAlignment="1">
      <alignment horizontal="left" vertical="center" wrapText="1" indent="5"/>
    </xf>
    <xf numFmtId="0" fontId="10" fillId="0" borderId="6" xfId="0" applyFont="1" applyBorder="1" applyAlignment="1">
      <alignment horizontal="righ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10" fillId="0" borderId="13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justify" vertical="center" wrapText="1"/>
    </xf>
    <xf numFmtId="3" fontId="10" fillId="0" borderId="13" xfId="0" applyNumberFormat="1" applyFont="1" applyBorder="1" applyAlignment="1">
      <alignment horizontal="right" vertical="center" wrapText="1"/>
    </xf>
    <xf numFmtId="3" fontId="9" fillId="0" borderId="13" xfId="0" applyNumberFormat="1" applyFont="1" applyBorder="1" applyAlignment="1">
      <alignment horizontal="right" vertical="center" wrapText="1"/>
    </xf>
    <xf numFmtId="0" fontId="18" fillId="0" borderId="0" xfId="0" applyFont="1" applyFill="1" applyBorder="1"/>
    <xf numFmtId="3" fontId="5" fillId="2" borderId="6" xfId="0" applyNumberFormat="1" applyFont="1" applyFill="1" applyBorder="1" applyAlignment="1">
      <alignment horizontal="right" vertical="center" wrapText="1"/>
    </xf>
    <xf numFmtId="3" fontId="7" fillId="2" borderId="0" xfId="0" applyNumberFormat="1" applyFont="1" applyFill="1" applyAlignment="1">
      <alignment horizontal="right" vertical="center" wrapText="1"/>
    </xf>
    <xf numFmtId="3" fontId="7" fillId="0" borderId="0" xfId="0" applyNumberFormat="1" applyFont="1" applyFill="1" applyAlignment="1">
      <alignment horizontal="right" vertical="center"/>
    </xf>
    <xf numFmtId="165" fontId="20" fillId="0" borderId="2" xfId="1" applyNumberFormat="1" applyFont="1" applyFill="1" applyBorder="1"/>
    <xf numFmtId="165" fontId="20" fillId="0" borderId="0" xfId="1" applyNumberFormat="1" applyFont="1" applyFill="1" applyBorder="1"/>
    <xf numFmtId="165" fontId="20" fillId="0" borderId="4" xfId="1" applyNumberFormat="1" applyFont="1" applyFill="1" applyBorder="1"/>
    <xf numFmtId="164" fontId="20" fillId="0" borderId="2" xfId="1" applyFont="1" applyFill="1" applyBorder="1"/>
    <xf numFmtId="0" fontId="18" fillId="0" borderId="0" xfId="0" applyFont="1" applyFill="1"/>
    <xf numFmtId="165" fontId="18" fillId="0" borderId="0" xfId="1" applyNumberFormat="1" applyFont="1" applyFill="1"/>
    <xf numFmtId="0" fontId="21" fillId="0" borderId="0" xfId="0" applyFont="1" applyFill="1" applyAlignment="1">
      <alignment horizontal="justify" vertical="center"/>
    </xf>
    <xf numFmtId="164" fontId="18" fillId="0" borderId="0" xfId="1" applyFont="1" applyFill="1"/>
    <xf numFmtId="164" fontId="20" fillId="0" borderId="1" xfId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justify" vertical="center" wrapText="1"/>
    </xf>
    <xf numFmtId="0" fontId="18" fillId="0" borderId="0" xfId="0" applyNumberFormat="1" applyFont="1" applyFill="1"/>
    <xf numFmtId="0" fontId="18" fillId="0" borderId="0" xfId="0" applyFont="1" applyFill="1" applyAlignment="1">
      <alignment horizontal="left" vertical="center" wrapText="1"/>
    </xf>
    <xf numFmtId="165" fontId="18" fillId="0" borderId="0" xfId="0" applyNumberFormat="1" applyFont="1" applyFill="1"/>
    <xf numFmtId="0" fontId="20" fillId="0" borderId="2" xfId="0" applyFont="1" applyFill="1" applyBorder="1" applyAlignment="1">
      <alignment horizontal="justify" vertical="center" wrapText="1"/>
    </xf>
    <xf numFmtId="0" fontId="18" fillId="0" borderId="0" xfId="0" applyFont="1" applyFill="1" applyAlignment="1">
      <alignment horizontal="justify" vertical="center" wrapText="1"/>
    </xf>
    <xf numFmtId="0" fontId="18" fillId="0" borderId="0" xfId="0" applyFont="1" applyFill="1" applyAlignment="1">
      <alignment horizontal="left" vertical="center" wrapText="1" indent="3"/>
    </xf>
    <xf numFmtId="0" fontId="20" fillId="0" borderId="4" xfId="0" applyFont="1" applyFill="1" applyBorder="1"/>
    <xf numFmtId="0" fontId="18" fillId="0" borderId="0" xfId="0" applyFont="1" applyFill="1" applyAlignment="1">
      <alignment horizontal="left" vertical="center" wrapText="1" indent="1"/>
    </xf>
    <xf numFmtId="166" fontId="18" fillId="0" borderId="0" xfId="1" applyNumberFormat="1" applyFont="1" applyFill="1"/>
    <xf numFmtId="165" fontId="20" fillId="0" borderId="0" xfId="1" applyNumberFormat="1" applyFont="1" applyFill="1"/>
    <xf numFmtId="0" fontId="18" fillId="0" borderId="0" xfId="0" applyFont="1" applyFill="1" applyBorder="1" applyAlignment="1">
      <alignment horizontal="justify" vertical="center" wrapText="1"/>
    </xf>
    <xf numFmtId="0" fontId="20" fillId="0" borderId="7" xfId="0" applyFont="1" applyFill="1" applyBorder="1" applyAlignment="1">
      <alignment horizontal="justify" vertical="center" wrapText="1"/>
    </xf>
    <xf numFmtId="165" fontId="20" fillId="0" borderId="7" xfId="1" applyNumberFormat="1" applyFont="1" applyFill="1" applyBorder="1"/>
    <xf numFmtId="0" fontId="20" fillId="0" borderId="0" xfId="0" applyFont="1" applyFill="1"/>
    <xf numFmtId="0" fontId="20" fillId="0" borderId="18" xfId="0" applyFont="1" applyFill="1" applyBorder="1" applyAlignment="1">
      <alignment horizontal="justify" vertical="center" wrapText="1"/>
    </xf>
    <xf numFmtId="165" fontId="20" fillId="0" borderId="18" xfId="1" applyNumberFormat="1" applyFont="1" applyFill="1" applyBorder="1"/>
    <xf numFmtId="0" fontId="21" fillId="0" borderId="0" xfId="0" applyFont="1" applyFill="1" applyAlignment="1">
      <alignment horizontal="justify" vertical="center" wrapText="1"/>
    </xf>
    <xf numFmtId="164" fontId="21" fillId="0" borderId="0" xfId="1" applyFont="1" applyFill="1"/>
    <xf numFmtId="0" fontId="21" fillId="0" borderId="0" xfId="0" applyFont="1" applyFill="1"/>
    <xf numFmtId="0" fontId="20" fillId="0" borderId="0" xfId="0" applyFont="1" applyFill="1" applyBorder="1" applyAlignment="1">
      <alignment horizontal="justify" vertical="center" wrapText="1"/>
    </xf>
    <xf numFmtId="164" fontId="18" fillId="0" borderId="0" xfId="1" applyFont="1" applyFill="1" applyBorder="1"/>
    <xf numFmtId="164" fontId="21" fillId="0" borderId="0" xfId="1" applyFont="1" applyFill="1" applyBorder="1" applyAlignment="1">
      <alignment horizontal="left" vertical="center" wrapText="1"/>
    </xf>
    <xf numFmtId="43" fontId="20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/>
    <xf numFmtId="164" fontId="18" fillId="0" borderId="0" xfId="0" applyNumberFormat="1" applyFont="1" applyFill="1" applyBorder="1"/>
    <xf numFmtId="0" fontId="22" fillId="0" borderId="0" xfId="0" applyFont="1" applyFill="1" applyBorder="1"/>
    <xf numFmtId="0" fontId="21" fillId="0" borderId="0" xfId="0" applyFont="1" applyFill="1" applyBorder="1"/>
    <xf numFmtId="164" fontId="20" fillId="0" borderId="0" xfId="1" applyFont="1" applyFill="1" applyBorder="1" applyAlignment="1"/>
    <xf numFmtId="164" fontId="21" fillId="0" borderId="0" xfId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/>
    </xf>
    <xf numFmtId="164" fontId="20" fillId="0" borderId="0" xfId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/>
    </xf>
    <xf numFmtId="164" fontId="20" fillId="0" borderId="0" xfId="0" applyNumberFormat="1" applyFont="1" applyFill="1" applyBorder="1"/>
    <xf numFmtId="164" fontId="18" fillId="0" borderId="0" xfId="0" applyNumberFormat="1" applyFont="1" applyFill="1"/>
    <xf numFmtId="0" fontId="18" fillId="3" borderId="0" xfId="0" applyFont="1" applyFill="1" applyAlignment="1">
      <alignment horizontal="left" vertical="center" wrapText="1" indent="3"/>
    </xf>
    <xf numFmtId="165" fontId="18" fillId="3" borderId="0" xfId="1" applyNumberFormat="1" applyFont="1" applyFill="1"/>
    <xf numFmtId="165" fontId="18" fillId="3" borderId="0" xfId="0" applyNumberFormat="1" applyFont="1" applyFill="1"/>
    <xf numFmtId="0" fontId="18" fillId="3" borderId="0" xfId="0" applyFont="1" applyFill="1"/>
    <xf numFmtId="0" fontId="18" fillId="4" borderId="0" xfId="0" applyFont="1" applyFill="1" applyAlignment="1">
      <alignment horizontal="left" vertical="center" indent="3"/>
    </xf>
    <xf numFmtId="165" fontId="18" fillId="4" borderId="0" xfId="1" applyNumberFormat="1" applyFont="1" applyFill="1"/>
    <xf numFmtId="165" fontId="18" fillId="4" borderId="0" xfId="0" applyNumberFormat="1" applyFont="1" applyFill="1"/>
    <xf numFmtId="0" fontId="18" fillId="4" borderId="0" xfId="0" applyFont="1" applyFill="1"/>
    <xf numFmtId="0" fontId="18" fillId="4" borderId="0" xfId="0" applyFont="1" applyFill="1" applyBorder="1" applyAlignment="1">
      <alignment horizontal="justify" vertical="center"/>
    </xf>
    <xf numFmtId="0" fontId="18" fillId="4" borderId="0" xfId="0" applyFont="1" applyFill="1" applyBorder="1" applyAlignment="1">
      <alignment horizontal="left" vertical="center" indent="3"/>
    </xf>
    <xf numFmtId="165" fontId="18" fillId="4" borderId="0" xfId="1" applyNumberFormat="1" applyFont="1" applyFill="1" applyBorder="1"/>
    <xf numFmtId="0" fontId="18" fillId="5" borderId="0" xfId="0" applyFont="1" applyFill="1" applyAlignment="1">
      <alignment horizontal="left" vertical="center" wrapText="1" indent="3"/>
    </xf>
    <xf numFmtId="165" fontId="18" fillId="5" borderId="0" xfId="1" applyNumberFormat="1" applyFont="1" applyFill="1"/>
    <xf numFmtId="165" fontId="18" fillId="5" borderId="0" xfId="0" applyNumberFormat="1" applyFont="1" applyFill="1"/>
    <xf numFmtId="0" fontId="18" fillId="5" borderId="0" xfId="0" applyFont="1" applyFill="1"/>
    <xf numFmtId="165" fontId="20" fillId="5" borderId="0" xfId="1" applyNumberFormat="1" applyFont="1" applyFill="1"/>
    <xf numFmtId="0" fontId="18" fillId="5" borderId="0" xfId="0" applyFont="1" applyFill="1" applyBorder="1" applyAlignment="1">
      <alignment horizontal="left" vertical="center" wrapText="1" indent="1"/>
    </xf>
    <xf numFmtId="0" fontId="18" fillId="5" borderId="0" xfId="0" applyFont="1" applyFill="1" applyBorder="1" applyAlignment="1">
      <alignment horizontal="left" vertical="center" wrapText="1" indent="3"/>
    </xf>
    <xf numFmtId="0" fontId="18" fillId="5" borderId="0" xfId="0" applyFont="1" applyFill="1" applyBorder="1" applyAlignment="1">
      <alignment horizontal="justify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3" fontId="7" fillId="0" borderId="0" xfId="0" applyNumberFormat="1" applyFont="1" applyAlignment="1">
      <alignment horizontal="right" vertical="center" wrapText="1"/>
    </xf>
    <xf numFmtId="3" fontId="7" fillId="0" borderId="6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6" fillId="0" borderId="11" xfId="0" applyFont="1" applyBorder="1" applyAlignment="1">
      <alignment horizontal="justify" vertical="center" wrapText="1"/>
    </xf>
    <xf numFmtId="0" fontId="6" fillId="0" borderId="13" xfId="0" applyFont="1" applyBorder="1" applyAlignment="1">
      <alignment horizontal="right" vertical="center" wrapText="1"/>
    </xf>
    <xf numFmtId="3" fontId="0" fillId="0" borderId="0" xfId="0" applyNumberFormat="1"/>
    <xf numFmtId="3" fontId="6" fillId="0" borderId="13" xfId="0" applyNumberFormat="1" applyFont="1" applyBorder="1" applyAlignment="1">
      <alignment horizontal="right" vertical="center" wrapText="1"/>
    </xf>
    <xf numFmtId="0" fontId="6" fillId="0" borderId="10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3" fontId="6" fillId="0" borderId="0" xfId="0" applyNumberFormat="1" applyFont="1" applyAlignment="1">
      <alignment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vertical="center" wrapText="1"/>
    </xf>
    <xf numFmtId="0" fontId="5" fillId="0" borderId="1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3" fontId="24" fillId="0" borderId="0" xfId="0" applyNumberFormat="1" applyFont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3" fontId="24" fillId="0" borderId="6" xfId="0" applyNumberFormat="1" applyFont="1" applyBorder="1" applyAlignment="1">
      <alignment horizontal="right" vertical="center" wrapText="1"/>
    </xf>
    <xf numFmtId="3" fontId="25" fillId="0" borderId="6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6" xfId="0" applyBorder="1" applyAlignment="1">
      <alignment vertical="top" wrapText="1"/>
    </xf>
    <xf numFmtId="3" fontId="24" fillId="0" borderId="0" xfId="0" applyNumberFormat="1" applyFont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6" xfId="0" applyBorder="1" applyAlignment="1">
      <alignment vertical="top"/>
    </xf>
    <xf numFmtId="0" fontId="8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3" fontId="6" fillId="0" borderId="14" xfId="0" applyNumberFormat="1" applyFont="1" applyBorder="1" applyAlignment="1">
      <alignment vertical="center" wrapText="1"/>
    </xf>
    <xf numFmtId="0" fontId="28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14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3" fontId="8" fillId="0" borderId="14" xfId="0" applyNumberFormat="1" applyFont="1" applyBorder="1" applyAlignment="1">
      <alignment vertical="center" wrapText="1"/>
    </xf>
    <xf numFmtId="3" fontId="8" fillId="0" borderId="6" xfId="0" applyNumberFormat="1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3" fontId="8" fillId="0" borderId="0" xfId="0" applyNumberFormat="1" applyFont="1" applyAlignment="1">
      <alignment vertical="center" wrapText="1"/>
    </xf>
    <xf numFmtId="3" fontId="8" fillId="0" borderId="5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8" fillId="0" borderId="14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6" fillId="0" borderId="6" xfId="0" applyNumberFormat="1" applyFont="1" applyBorder="1" applyAlignment="1">
      <alignment vertical="center"/>
    </xf>
    <xf numFmtId="3" fontId="8" fillId="0" borderId="5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26" fillId="0" borderId="0" xfId="0" applyFont="1" applyAlignment="1">
      <alignment horizontal="right"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right" vertical="center" wrapText="1"/>
    </xf>
    <xf numFmtId="3" fontId="29" fillId="0" borderId="0" xfId="0" applyNumberFormat="1" applyFont="1" applyAlignment="1">
      <alignment vertical="center" wrapText="1"/>
    </xf>
    <xf numFmtId="3" fontId="29" fillId="0" borderId="6" xfId="0" applyNumberFormat="1" applyFont="1" applyBorder="1" applyAlignment="1">
      <alignment vertical="center" wrapText="1"/>
    </xf>
    <xf numFmtId="3" fontId="23" fillId="0" borderId="0" xfId="0" applyNumberFormat="1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6" fillId="0" borderId="6" xfId="0" applyFont="1" applyBorder="1" applyAlignment="1">
      <alignment vertical="center" wrapText="1"/>
    </xf>
    <xf numFmtId="0" fontId="26" fillId="0" borderId="1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5" xfId="0" applyFont="1" applyBorder="1" applyAlignment="1">
      <alignment vertical="center" wrapText="1"/>
    </xf>
    <xf numFmtId="3" fontId="29" fillId="0" borderId="14" xfId="0" applyNumberFormat="1" applyFont="1" applyBorder="1" applyAlignment="1">
      <alignment vertical="center" wrapText="1"/>
    </xf>
    <xf numFmtId="0" fontId="29" fillId="0" borderId="14" xfId="0" applyFont="1" applyBorder="1" applyAlignment="1">
      <alignment vertical="center" wrapText="1"/>
    </xf>
    <xf numFmtId="0" fontId="29" fillId="0" borderId="6" xfId="0" applyFont="1" applyBorder="1" applyAlignment="1">
      <alignment vertical="center" wrapText="1"/>
    </xf>
    <xf numFmtId="3" fontId="26" fillId="0" borderId="14" xfId="0" applyNumberFormat="1" applyFont="1" applyBorder="1" applyAlignment="1">
      <alignment vertical="center" wrapText="1"/>
    </xf>
    <xf numFmtId="3" fontId="26" fillId="0" borderId="0" xfId="0" applyNumberFormat="1" applyFont="1" applyAlignment="1">
      <alignment vertical="center" wrapText="1"/>
    </xf>
    <xf numFmtId="0" fontId="31" fillId="0" borderId="14" xfId="0" applyFont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 wrapText="1"/>
    </xf>
    <xf numFmtId="3" fontId="32" fillId="0" borderId="6" xfId="0" applyNumberFormat="1" applyFont="1" applyBorder="1" applyAlignment="1">
      <alignment horizontal="right" vertical="center"/>
    </xf>
    <xf numFmtId="3" fontId="33" fillId="0" borderId="6" xfId="0" applyNumberFormat="1" applyFont="1" applyBorder="1" applyAlignment="1">
      <alignment horizontal="right" vertical="center" wrapText="1"/>
    </xf>
    <xf numFmtId="3" fontId="32" fillId="0" borderId="0" xfId="0" applyNumberFormat="1" applyFont="1" applyAlignment="1">
      <alignment horizontal="right" vertical="center"/>
    </xf>
    <xf numFmtId="3" fontId="32" fillId="0" borderId="0" xfId="0" applyNumberFormat="1" applyFont="1" applyAlignment="1">
      <alignment horizontal="right" vertical="center" wrapText="1"/>
    </xf>
    <xf numFmtId="3" fontId="35" fillId="0" borderId="6" xfId="0" applyNumberFormat="1" applyFont="1" applyBorder="1" applyAlignment="1">
      <alignment horizontal="right" vertical="center"/>
    </xf>
    <xf numFmtId="3" fontId="35" fillId="0" borderId="6" xfId="0" applyNumberFormat="1" applyFont="1" applyBorder="1" applyAlignment="1">
      <alignment horizontal="right" vertical="center" wrapText="1"/>
    </xf>
    <xf numFmtId="3" fontId="33" fillId="0" borderId="0" xfId="0" applyNumberFormat="1" applyFont="1" applyAlignment="1">
      <alignment horizontal="right" vertical="center" wrapText="1"/>
    </xf>
    <xf numFmtId="3" fontId="30" fillId="0" borderId="6" xfId="0" applyNumberFormat="1" applyFont="1" applyBorder="1" applyAlignment="1">
      <alignment horizontal="right" vertical="center" wrapText="1"/>
    </xf>
    <xf numFmtId="3" fontId="31" fillId="0" borderId="6" xfId="0" applyNumberFormat="1" applyFont="1" applyBorder="1" applyAlignment="1">
      <alignment horizontal="right" vertical="center"/>
    </xf>
    <xf numFmtId="0" fontId="31" fillId="0" borderId="14" xfId="0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3" fillId="0" borderId="6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0" fontId="34" fillId="0" borderId="6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3" fontId="35" fillId="0" borderId="0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32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3" fontId="8" fillId="0" borderId="0" xfId="0" applyNumberFormat="1" applyFont="1" applyBorder="1" applyAlignment="1">
      <alignment horizontal="right" vertical="center" wrapText="1"/>
    </xf>
    <xf numFmtId="0" fontId="36" fillId="0" borderId="0" xfId="0" applyFont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7" fillId="0" borderId="6" xfId="0" applyFont="1" applyBorder="1" applyAlignment="1">
      <alignment vertical="center"/>
    </xf>
    <xf numFmtId="3" fontId="37" fillId="0" borderId="6" xfId="0" applyNumberFormat="1" applyFont="1" applyBorder="1" applyAlignment="1">
      <alignment horizontal="right" vertical="center"/>
    </xf>
    <xf numFmtId="0" fontId="37" fillId="0" borderId="6" xfId="0" applyFont="1" applyBorder="1" applyAlignment="1">
      <alignment horizontal="right" vertical="center"/>
    </xf>
    <xf numFmtId="0" fontId="36" fillId="0" borderId="6" xfId="0" applyFont="1" applyBorder="1" applyAlignment="1">
      <alignment vertical="center"/>
    </xf>
    <xf numFmtId="3" fontId="36" fillId="0" borderId="6" xfId="0" applyNumberFormat="1" applyFont="1" applyBorder="1" applyAlignment="1">
      <alignment horizontal="right" vertical="center"/>
    </xf>
    <xf numFmtId="0" fontId="36" fillId="0" borderId="6" xfId="0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right" vertical="center"/>
    </xf>
    <xf numFmtId="3" fontId="37" fillId="0" borderId="0" xfId="0" applyNumberFormat="1" applyFont="1" applyAlignment="1">
      <alignment horizontal="right" vertical="center"/>
    </xf>
    <xf numFmtId="0" fontId="36" fillId="0" borderId="5" xfId="0" applyFont="1" applyBorder="1" applyAlignment="1">
      <alignment vertical="center"/>
    </xf>
    <xf numFmtId="0" fontId="36" fillId="0" borderId="5" xfId="0" applyFont="1" applyBorder="1" applyAlignment="1">
      <alignment horizontal="right" vertical="center"/>
    </xf>
    <xf numFmtId="3" fontId="36" fillId="0" borderId="5" xfId="0" applyNumberFormat="1" applyFont="1" applyBorder="1" applyAlignment="1">
      <alignment horizontal="right" vertical="center"/>
    </xf>
    <xf numFmtId="0" fontId="36" fillId="0" borderId="14" xfId="0" applyFont="1" applyBorder="1" applyAlignment="1">
      <alignment vertical="center" wrapText="1"/>
    </xf>
    <xf numFmtId="0" fontId="36" fillId="0" borderId="0" xfId="0" applyFont="1" applyBorder="1" applyAlignment="1">
      <alignment vertical="center" wrapText="1"/>
    </xf>
    <xf numFmtId="0" fontId="36" fillId="0" borderId="6" xfId="0" applyFont="1" applyBorder="1" applyAlignment="1">
      <alignment vertical="center" wrapText="1"/>
    </xf>
    <xf numFmtId="0" fontId="36" fillId="0" borderId="14" xfId="0" applyFont="1" applyBorder="1" applyAlignment="1">
      <alignment vertical="center"/>
    </xf>
    <xf numFmtId="0" fontId="23" fillId="0" borderId="14" xfId="0" applyFont="1" applyBorder="1" applyAlignment="1">
      <alignment vertical="center" wrapText="1"/>
    </xf>
    <xf numFmtId="0" fontId="36" fillId="0" borderId="0" xfId="0" applyFont="1" applyAlignment="1">
      <alignment vertical="center" wrapText="1"/>
    </xf>
    <xf numFmtId="3" fontId="37" fillId="0" borderId="0" xfId="0" applyNumberFormat="1" applyFont="1" applyAlignment="1">
      <alignment vertical="center"/>
    </xf>
    <xf numFmtId="0" fontId="36" fillId="0" borderId="14" xfId="0" applyFont="1" applyBorder="1" applyAlignment="1">
      <alignment horizontal="left" vertical="center"/>
    </xf>
    <xf numFmtId="0" fontId="36" fillId="0" borderId="0" xfId="0" applyFont="1" applyBorder="1" applyAlignment="1">
      <alignment horizontal="left" vertical="center"/>
    </xf>
    <xf numFmtId="0" fontId="36" fillId="0" borderId="6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7" fillId="0" borderId="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0" fontId="36" fillId="0" borderId="6" xfId="0" applyFont="1" applyBorder="1" applyAlignment="1">
      <alignment horizontal="center" vertical="center" wrapText="1"/>
    </xf>
    <xf numFmtId="1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 wrapText="1"/>
    </xf>
    <xf numFmtId="3" fontId="37" fillId="0" borderId="0" xfId="0" applyNumberFormat="1" applyFont="1" applyAlignment="1">
      <alignment horizontal="right" vertical="center" wrapText="1"/>
    </xf>
    <xf numFmtId="0" fontId="37" fillId="0" borderId="0" xfId="0" applyFont="1" applyAlignment="1">
      <alignment horizontal="right" vertical="center" wrapText="1"/>
    </xf>
    <xf numFmtId="3" fontId="37" fillId="0" borderId="0" xfId="0" applyNumberFormat="1" applyFont="1" applyAlignment="1">
      <alignment horizontal="center" vertical="center"/>
    </xf>
    <xf numFmtId="14" fontId="37" fillId="0" borderId="0" xfId="0" applyNumberFormat="1" applyFont="1" applyAlignment="1">
      <alignment vertical="center"/>
    </xf>
    <xf numFmtId="0" fontId="37" fillId="0" borderId="6" xfId="0" applyFont="1" applyBorder="1" applyAlignment="1">
      <alignment horizontal="center" vertical="center"/>
    </xf>
    <xf numFmtId="3" fontId="36" fillId="0" borderId="0" xfId="0" applyNumberFormat="1" applyFont="1" applyAlignment="1">
      <alignment horizontal="right" vertical="center"/>
    </xf>
    <xf numFmtId="3" fontId="25" fillId="0" borderId="5" xfId="0" applyNumberFormat="1" applyFont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5" fillId="0" borderId="1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3" fontId="7" fillId="0" borderId="14" xfId="0" applyNumberFormat="1" applyFont="1" applyBorder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3" fontId="7" fillId="0" borderId="6" xfId="0" applyNumberFormat="1" applyFont="1" applyBorder="1" applyAlignment="1">
      <alignment horizontal="left" vertical="center"/>
    </xf>
    <xf numFmtId="3" fontId="5" fillId="0" borderId="6" xfId="0" applyNumberFormat="1" applyFont="1" applyBorder="1" applyAlignment="1">
      <alignment horizontal="left" vertical="center"/>
    </xf>
    <xf numFmtId="3" fontId="0" fillId="0" borderId="0" xfId="0" applyNumberFormat="1" applyAlignment="1">
      <alignment horizontal="left"/>
    </xf>
    <xf numFmtId="0" fontId="10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3" fontId="11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3" fontId="6" fillId="0" borderId="6" xfId="0" applyNumberFormat="1" applyFont="1" applyBorder="1" applyAlignment="1">
      <alignment horizontal="right" vertical="center"/>
    </xf>
    <xf numFmtId="3" fontId="39" fillId="0" borderId="6" xfId="0" applyNumberFormat="1" applyFont="1" applyBorder="1" applyAlignment="1">
      <alignment vertical="center"/>
    </xf>
    <xf numFmtId="3" fontId="39" fillId="0" borderId="5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3" fontId="16" fillId="0" borderId="14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3" fontId="39" fillId="0" borderId="0" xfId="0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right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3" fontId="10" fillId="0" borderId="0" xfId="0" applyNumberFormat="1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3" fontId="9" fillId="0" borderId="6" xfId="0" applyNumberFormat="1" applyFont="1" applyBorder="1" applyAlignment="1">
      <alignment horizontal="left" vertical="center"/>
    </xf>
    <xf numFmtId="0" fontId="15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vertical="center"/>
    </xf>
    <xf numFmtId="0" fontId="7" fillId="0" borderId="14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3" fontId="5" fillId="0" borderId="14" xfId="0" applyNumberFormat="1" applyFont="1" applyBorder="1" applyAlignment="1">
      <alignment vertical="center"/>
    </xf>
    <xf numFmtId="3" fontId="5" fillId="0" borderId="14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7" fillId="0" borderId="6" xfId="0" applyNumberFormat="1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3" fontId="9" fillId="0" borderId="0" xfId="0" applyNumberFormat="1" applyFont="1" applyAlignment="1">
      <alignment horizontal="right" vertical="center"/>
    </xf>
    <xf numFmtId="3" fontId="37" fillId="2" borderId="0" xfId="0" applyNumberFormat="1" applyFont="1" applyFill="1" applyAlignment="1">
      <alignment horizontal="right" vertical="center"/>
    </xf>
    <xf numFmtId="3" fontId="37" fillId="2" borderId="0" xfId="0" applyNumberFormat="1" applyFont="1" applyFill="1" applyAlignment="1">
      <alignment vertical="center"/>
    </xf>
    <xf numFmtId="0" fontId="37" fillId="2" borderId="0" xfId="0" applyFont="1" applyFill="1" applyAlignment="1">
      <alignment horizontal="right" vertical="center"/>
    </xf>
    <xf numFmtId="3" fontId="37" fillId="6" borderId="0" xfId="0" applyNumberFormat="1" applyFont="1" applyFill="1" applyAlignment="1">
      <alignment horizontal="right" vertical="center"/>
    </xf>
    <xf numFmtId="0" fontId="37" fillId="0" borderId="0" xfId="0" applyFont="1" applyBorder="1" applyAlignment="1">
      <alignment vertical="center"/>
    </xf>
    <xf numFmtId="0" fontId="40" fillId="0" borderId="0" xfId="0" applyFont="1"/>
    <xf numFmtId="0" fontId="40" fillId="0" borderId="0" xfId="0" applyFont="1" applyAlignment="1">
      <alignment horizontal="center" vertical="center"/>
    </xf>
    <xf numFmtId="165" fontId="40" fillId="0" borderId="0" xfId="1" applyNumberFormat="1" applyFont="1" applyAlignment="1">
      <alignment horizontal="center" vertical="center" wrapText="1"/>
    </xf>
    <xf numFmtId="165" fontId="40" fillId="0" borderId="0" xfId="1" applyNumberFormat="1" applyFont="1" applyAlignment="1">
      <alignment horizontal="center" vertical="center"/>
    </xf>
    <xf numFmtId="165" fontId="40" fillId="0" borderId="0" xfId="1" applyNumberFormat="1" applyFont="1"/>
    <xf numFmtId="0" fontId="38" fillId="0" borderId="2" xfId="0" applyFont="1" applyBorder="1"/>
    <xf numFmtId="165" fontId="38" fillId="0" borderId="2" xfId="1" applyNumberFormat="1" applyFont="1" applyBorder="1"/>
    <xf numFmtId="0" fontId="38" fillId="0" borderId="0" xfId="0" applyFont="1"/>
    <xf numFmtId="0" fontId="40" fillId="0" borderId="0" xfId="0" applyFont="1" applyFill="1" applyBorder="1"/>
    <xf numFmtId="0" fontId="38" fillId="0" borderId="2" xfId="0" applyFont="1" applyFill="1" applyBorder="1"/>
    <xf numFmtId="165" fontId="40" fillId="0" borderId="0" xfId="1" applyNumberFormat="1" applyFont="1" applyAlignment="1">
      <alignment vertical="center" wrapText="1"/>
    </xf>
    <xf numFmtId="165" fontId="40" fillId="0" borderId="15" xfId="1" applyNumberFormat="1" applyFont="1" applyBorder="1"/>
    <xf numFmtId="0" fontId="40" fillId="0" borderId="0" xfId="0" applyFont="1" applyFill="1" applyBorder="1" applyAlignment="1">
      <alignment horizontal="left" indent="1"/>
    </xf>
    <xf numFmtId="165" fontId="41" fillId="0" borderId="0" xfId="1" applyNumberFormat="1" applyFont="1" applyAlignment="1">
      <alignment horizontal="right" vertical="center" wrapText="1"/>
    </xf>
    <xf numFmtId="165" fontId="40" fillId="0" borderId="0" xfId="1" applyNumberFormat="1" applyFont="1" applyBorder="1"/>
    <xf numFmtId="165" fontId="41" fillId="0" borderId="0" xfId="1" applyNumberFormat="1" applyFont="1" applyBorder="1" applyAlignment="1">
      <alignment horizontal="right" vertical="center" wrapText="1"/>
    </xf>
    <xf numFmtId="0" fontId="40" fillId="0" borderId="2" xfId="0" applyFont="1" applyBorder="1"/>
    <xf numFmtId="165" fontId="41" fillId="0" borderId="2" xfId="1" applyNumberFormat="1" applyFont="1" applyBorder="1" applyAlignment="1">
      <alignment horizontal="right" vertical="center" wrapText="1"/>
    </xf>
    <xf numFmtId="165" fontId="40" fillId="0" borderId="2" xfId="1" applyNumberFormat="1" applyFont="1" applyBorder="1"/>
    <xf numFmtId="0" fontId="40" fillId="0" borderId="1" xfId="0" applyFont="1" applyFill="1" applyBorder="1" applyAlignment="1">
      <alignment horizontal="left" indent="1"/>
    </xf>
    <xf numFmtId="165" fontId="41" fillId="0" borderId="1" xfId="1" applyNumberFormat="1" applyFont="1" applyBorder="1" applyAlignment="1">
      <alignment horizontal="right" vertical="center" wrapText="1"/>
    </xf>
    <xf numFmtId="165" fontId="40" fillId="0" borderId="1" xfId="1" applyNumberFormat="1" applyFont="1" applyBorder="1"/>
    <xf numFmtId="165" fontId="40" fillId="0" borderId="0" xfId="1" applyNumberFormat="1" applyFont="1" applyAlignment="1">
      <alignment vertical="top" wrapText="1"/>
    </xf>
    <xf numFmtId="0" fontId="40" fillId="0" borderId="2" xfId="0" applyFont="1" applyFill="1" applyBorder="1"/>
    <xf numFmtId="0" fontId="41" fillId="0" borderId="0" xfId="0" applyFont="1" applyAlignment="1">
      <alignment vertical="center" wrapText="1"/>
    </xf>
    <xf numFmtId="0" fontId="41" fillId="0" borderId="0" xfId="0" applyFont="1" applyBorder="1" applyAlignment="1">
      <alignment horizontal="left" vertical="center" wrapText="1" indent="1"/>
    </xf>
    <xf numFmtId="165" fontId="37" fillId="0" borderId="0" xfId="1" applyNumberFormat="1" applyFont="1" applyBorder="1" applyAlignment="1">
      <alignment horizontal="right" vertical="center"/>
    </xf>
    <xf numFmtId="0" fontId="40" fillId="0" borderId="0" xfId="0" applyFont="1" applyBorder="1"/>
    <xf numFmtId="0" fontId="41" fillId="0" borderId="0" xfId="0" applyFont="1" applyAlignment="1">
      <alignment horizontal="left" vertical="center"/>
    </xf>
    <xf numFmtId="165" fontId="37" fillId="0" borderId="0" xfId="1" applyNumberFormat="1" applyFont="1" applyAlignment="1">
      <alignment horizontal="right" vertical="center"/>
    </xf>
    <xf numFmtId="0" fontId="41" fillId="0" borderId="0" xfId="0" applyFont="1" applyAlignment="1">
      <alignment horizontal="left" vertical="center" wrapText="1" indent="1"/>
    </xf>
    <xf numFmtId="165" fontId="37" fillId="0" borderId="0" xfId="1" applyNumberFormat="1" applyFont="1" applyAlignment="1">
      <alignment horizontal="right" vertical="center" wrapText="1"/>
    </xf>
    <xf numFmtId="0" fontId="41" fillId="0" borderId="2" xfId="0" applyFont="1" applyBorder="1" applyAlignment="1">
      <alignment vertical="center" wrapText="1"/>
    </xf>
    <xf numFmtId="0" fontId="42" fillId="0" borderId="2" xfId="0" applyFont="1" applyBorder="1" applyAlignment="1">
      <alignment vertical="center" wrapText="1"/>
    </xf>
    <xf numFmtId="165" fontId="36" fillId="0" borderId="2" xfId="1" applyNumberFormat="1" applyFont="1" applyBorder="1" applyAlignment="1">
      <alignment horizontal="right" vertical="center"/>
    </xf>
    <xf numFmtId="0" fontId="37" fillId="0" borderId="0" xfId="0" applyFont="1" applyAlignment="1">
      <alignment horizontal="justify" vertical="center" wrapText="1"/>
    </xf>
    <xf numFmtId="165" fontId="40" fillId="0" borderId="0" xfId="1" applyNumberFormat="1" applyFont="1" applyAlignment="1">
      <alignment horizontal="right" vertical="center" wrapText="1"/>
    </xf>
    <xf numFmtId="165" fontId="41" fillId="0" borderId="0" xfId="1" applyNumberFormat="1" applyFont="1"/>
    <xf numFmtId="0" fontId="36" fillId="0" borderId="2" xfId="0" applyFont="1" applyBorder="1" applyAlignment="1">
      <alignment vertical="center"/>
    </xf>
    <xf numFmtId="165" fontId="38" fillId="0" borderId="0" xfId="1" applyNumberFormat="1" applyFont="1" applyBorder="1"/>
    <xf numFmtId="0" fontId="37" fillId="0" borderId="1" xfId="0" applyFont="1" applyBorder="1" applyAlignment="1">
      <alignment horizontal="left" indent="1"/>
    </xf>
    <xf numFmtId="165" fontId="36" fillId="0" borderId="1" xfId="1" applyNumberFormat="1" applyFont="1" applyBorder="1"/>
    <xf numFmtId="0" fontId="37" fillId="2" borderId="0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165" fontId="37" fillId="0" borderId="0" xfId="1" applyNumberFormat="1" applyFont="1"/>
    <xf numFmtId="0" fontId="42" fillId="0" borderId="0" xfId="0" applyFont="1" applyAlignment="1">
      <alignment horizontal="justify" vertical="center"/>
    </xf>
    <xf numFmtId="0" fontId="41" fillId="0" borderId="1" xfId="0" applyFont="1" applyBorder="1"/>
    <xf numFmtId="165" fontId="41" fillId="0" borderId="1" xfId="1" applyNumberFormat="1" applyFont="1" applyBorder="1"/>
    <xf numFmtId="0" fontId="42" fillId="0" borderId="4" xfId="0" applyFont="1" applyBorder="1"/>
    <xf numFmtId="165" fontId="42" fillId="0" borderId="4" xfId="1" applyNumberFormat="1" applyFont="1" applyBorder="1"/>
    <xf numFmtId="165" fontId="38" fillId="0" borderId="4" xfId="1" applyNumberFormat="1" applyFont="1" applyBorder="1"/>
    <xf numFmtId="0" fontId="41" fillId="0" borderId="0" xfId="0" applyFont="1" applyBorder="1"/>
    <xf numFmtId="165" fontId="41" fillId="0" borderId="0" xfId="1" applyNumberFormat="1" applyFont="1" applyBorder="1"/>
    <xf numFmtId="0" fontId="41" fillId="0" borderId="0" xfId="0" applyFont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0" fillId="0" borderId="0" xfId="0" applyFont="1" applyBorder="1" applyAlignment="1">
      <alignment vertical="center" wrapText="1"/>
    </xf>
    <xf numFmtId="0" fontId="38" fillId="0" borderId="2" xfId="0" applyFont="1" applyBorder="1" applyAlignment="1">
      <alignment vertical="center" wrapText="1"/>
    </xf>
    <xf numFmtId="0" fontId="37" fillId="0" borderId="0" xfId="0" applyFont="1" applyBorder="1" applyAlignment="1">
      <alignment horizontal="justify" vertical="center" wrapText="1"/>
    </xf>
    <xf numFmtId="165" fontId="37" fillId="0" borderId="0" xfId="1" applyNumberFormat="1" applyFont="1" applyBorder="1" applyAlignment="1">
      <alignment horizontal="right" vertical="center" wrapText="1"/>
    </xf>
    <xf numFmtId="0" fontId="36" fillId="0" borderId="2" xfId="0" applyFont="1" applyBorder="1" applyAlignment="1">
      <alignment horizontal="justify" vertical="center" wrapText="1"/>
    </xf>
    <xf numFmtId="0" fontId="38" fillId="0" borderId="4" xfId="0" applyFont="1" applyBorder="1"/>
    <xf numFmtId="165" fontId="41" fillId="0" borderId="0" xfId="1" applyNumberFormat="1" applyFont="1" applyBorder="1" applyAlignment="1">
      <alignment vertical="center" wrapText="1"/>
    </xf>
    <xf numFmtId="0" fontId="41" fillId="0" borderId="0" xfId="0" applyFont="1" applyAlignment="1">
      <alignment horizontal="left" vertical="center" wrapText="1" indent="3"/>
    </xf>
    <xf numFmtId="165" fontId="42" fillId="0" borderId="2" xfId="1" applyNumberFormat="1" applyFont="1" applyBorder="1" applyAlignment="1">
      <alignment horizontal="right" vertical="center" wrapText="1"/>
    </xf>
    <xf numFmtId="0" fontId="41" fillId="0" borderId="0" xfId="0" applyFont="1" applyBorder="1" applyAlignment="1">
      <alignment horizontal="left" vertical="center" wrapText="1" indent="3"/>
    </xf>
    <xf numFmtId="165" fontId="36" fillId="0" borderId="2" xfId="1" applyNumberFormat="1" applyFont="1" applyBorder="1" applyAlignment="1">
      <alignment horizontal="right" vertical="center" wrapText="1"/>
    </xf>
    <xf numFmtId="0" fontId="41" fillId="0" borderId="0" xfId="0" applyFont="1" applyBorder="1" applyAlignment="1">
      <alignment vertical="center"/>
    </xf>
    <xf numFmtId="165" fontId="40" fillId="0" borderId="0" xfId="1" applyNumberFormat="1" applyFont="1" applyBorder="1" applyAlignment="1">
      <alignment horizontal="right" vertical="center" wrapText="1"/>
    </xf>
    <xf numFmtId="0" fontId="41" fillId="0" borderId="0" xfId="0" applyFont="1" applyAlignment="1">
      <alignment horizontal="left" vertical="center" indent="1"/>
    </xf>
    <xf numFmtId="165" fontId="37" fillId="0" borderId="2" xfId="1" applyNumberFormat="1" applyFont="1" applyBorder="1" applyAlignment="1">
      <alignment horizontal="right" vertical="center"/>
    </xf>
    <xf numFmtId="0" fontId="37" fillId="0" borderId="0" xfId="0" applyFont="1" applyAlignment="1">
      <alignment horizontal="left" vertical="center" wrapText="1" indent="1"/>
    </xf>
    <xf numFmtId="0" fontId="37" fillId="0" borderId="0" xfId="0" applyFont="1" applyBorder="1" applyAlignment="1">
      <alignment horizontal="left" vertical="center" wrapText="1" indent="1"/>
    </xf>
    <xf numFmtId="0" fontId="37" fillId="0" borderId="2" xfId="0" applyFont="1" applyBorder="1" applyAlignment="1">
      <alignment vertical="center" wrapText="1"/>
    </xf>
    <xf numFmtId="0" fontId="36" fillId="0" borderId="2" xfId="0" applyFont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7" fillId="0" borderId="0" xfId="0" applyFont="1" applyAlignment="1">
      <alignment horizontal="left" vertical="center" indent="1"/>
    </xf>
    <xf numFmtId="0" fontId="37" fillId="0" borderId="0" xfId="0" applyFont="1" applyBorder="1" applyAlignment="1">
      <alignment horizontal="left" vertical="center" indent="3"/>
    </xf>
    <xf numFmtId="0" fontId="36" fillId="0" borderId="0" xfId="0" applyFont="1" applyBorder="1" applyAlignment="1">
      <alignment vertical="center"/>
    </xf>
    <xf numFmtId="165" fontId="36" fillId="0" borderId="0" xfId="1" applyNumberFormat="1" applyFont="1" applyBorder="1" applyAlignment="1">
      <alignment horizontal="right" vertical="center" wrapTex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Alignment="1">
      <alignment horizontal="left" vertical="center" wrapText="1"/>
    </xf>
    <xf numFmtId="165" fontId="38" fillId="0" borderId="2" xfId="1" applyNumberFormat="1" applyFont="1" applyBorder="1" applyAlignment="1">
      <alignment vertical="top" wrapText="1"/>
    </xf>
    <xf numFmtId="165" fontId="40" fillId="0" borderId="0" xfId="1" applyNumberFormat="1" applyFont="1" applyBorder="1" applyAlignment="1">
      <alignment vertical="top" wrapText="1"/>
    </xf>
    <xf numFmtId="165" fontId="37" fillId="0" borderId="0" xfId="1" applyNumberFormat="1" applyFont="1" applyBorder="1" applyAlignment="1">
      <alignment vertical="center" wrapText="1"/>
    </xf>
    <xf numFmtId="0" fontId="37" fillId="0" borderId="0" xfId="0" applyFont="1" applyBorder="1" applyAlignment="1">
      <alignment horizontal="left" vertical="center" wrapText="1"/>
    </xf>
    <xf numFmtId="0" fontId="37" fillId="0" borderId="0" xfId="0" applyFont="1" applyBorder="1"/>
    <xf numFmtId="165" fontId="37" fillId="0" borderId="0" xfId="1" applyNumberFormat="1" applyFont="1" applyBorder="1"/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left" vertical="center" wrapText="1"/>
    </xf>
    <xf numFmtId="0" fontId="38" fillId="0" borderId="0" xfId="0" applyFont="1" applyFill="1" applyBorder="1"/>
    <xf numFmtId="0" fontId="38" fillId="0" borderId="3" xfId="0" applyFont="1" applyFill="1" applyBorder="1"/>
    <xf numFmtId="165" fontId="40" fillId="0" borderId="0" xfId="1" applyNumberFormat="1" applyFont="1" applyFill="1" applyBorder="1" applyAlignment="1">
      <alignment wrapText="1"/>
    </xf>
    <xf numFmtId="165" fontId="40" fillId="0" borderId="2" xfId="1" applyNumberFormat="1" applyFont="1" applyFill="1" applyBorder="1" applyAlignment="1">
      <alignment wrapText="1"/>
    </xf>
    <xf numFmtId="165" fontId="40" fillId="0" borderId="3" xfId="1" applyNumberFormat="1" applyFont="1" applyFill="1" applyBorder="1" applyAlignment="1">
      <alignment wrapText="1"/>
    </xf>
    <xf numFmtId="165" fontId="40" fillId="0" borderId="3" xfId="1" applyNumberFormat="1" applyFont="1" applyBorder="1"/>
    <xf numFmtId="0" fontId="18" fillId="7" borderId="0" xfId="0" applyFont="1" applyFill="1" applyAlignment="1">
      <alignment horizontal="left" vertical="center" wrapText="1"/>
    </xf>
    <xf numFmtId="165" fontId="18" fillId="7" borderId="0" xfId="1" applyNumberFormat="1" applyFont="1" applyFill="1"/>
    <xf numFmtId="165" fontId="18" fillId="7" borderId="0" xfId="0" applyNumberFormat="1" applyFont="1" applyFill="1"/>
    <xf numFmtId="0" fontId="18" fillId="7" borderId="0" xfId="0" applyFont="1" applyFill="1"/>
    <xf numFmtId="0" fontId="18" fillId="2" borderId="0" xfId="0" applyFont="1" applyFill="1"/>
    <xf numFmtId="165" fontId="18" fillId="2" borderId="0" xfId="1" applyNumberFormat="1" applyFont="1" applyFill="1"/>
    <xf numFmtId="165" fontId="18" fillId="2" borderId="0" xfId="0" applyNumberFormat="1" applyFont="1" applyFill="1"/>
    <xf numFmtId="0" fontId="18" fillId="8" borderId="0" xfId="0" applyFont="1" applyFill="1"/>
    <xf numFmtId="165" fontId="18" fillId="8" borderId="0" xfId="1" applyNumberFormat="1" applyFont="1" applyFill="1"/>
    <xf numFmtId="165" fontId="18" fillId="8" borderId="0" xfId="0" applyNumberFormat="1" applyFont="1" applyFill="1"/>
    <xf numFmtId="0" fontId="18" fillId="7" borderId="0" xfId="0" applyFont="1" applyFill="1" applyAlignment="1">
      <alignment horizontal="justify" vertical="center" wrapText="1"/>
    </xf>
    <xf numFmtId="165" fontId="20" fillId="8" borderId="4" xfId="1" applyNumberFormat="1" applyFont="1" applyFill="1" applyBorder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vertical="center"/>
    </xf>
    <xf numFmtId="0" fontId="2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6" fillId="0" borderId="6" xfId="0" applyFont="1" applyBorder="1" applyAlignment="1">
      <alignment horizontal="right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3" fontId="29" fillId="0" borderId="0" xfId="0" applyNumberFormat="1" applyFont="1" applyAlignment="1">
      <alignment horizontal="right" vertical="center" wrapText="1"/>
    </xf>
    <xf numFmtId="0" fontId="29" fillId="0" borderId="6" xfId="0" applyFont="1" applyBorder="1" applyAlignment="1">
      <alignment horizontal="right" vertical="center" wrapText="1"/>
    </xf>
    <xf numFmtId="3" fontId="29" fillId="0" borderId="6" xfId="0" applyNumberFormat="1" applyFont="1" applyBorder="1" applyAlignment="1">
      <alignment horizontal="right" vertical="center" wrapText="1"/>
    </xf>
    <xf numFmtId="3" fontId="23" fillId="0" borderId="6" xfId="0" applyNumberFormat="1" applyFont="1" applyBorder="1" applyAlignment="1">
      <alignment horizontal="right" vertical="center" wrapText="1"/>
    </xf>
    <xf numFmtId="0" fontId="26" fillId="0" borderId="6" xfId="0" applyFont="1" applyBorder="1" applyAlignment="1">
      <alignment horizontal="right" vertical="center" wrapText="1"/>
    </xf>
    <xf numFmtId="3" fontId="26" fillId="0" borderId="6" xfId="0" applyNumberFormat="1" applyFont="1" applyBorder="1" applyAlignment="1">
      <alignment horizontal="right" vertical="center" wrapText="1"/>
    </xf>
    <xf numFmtId="0" fontId="29" fillId="0" borderId="6" xfId="0" applyFont="1" applyBorder="1" applyAlignment="1">
      <alignment vertical="center"/>
    </xf>
    <xf numFmtId="0" fontId="31" fillId="0" borderId="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4" fillId="0" borderId="6" xfId="0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5" fillId="0" borderId="0" xfId="0" applyFont="1" applyAlignment="1">
      <alignment horizontal="right" vertical="center" wrapText="1"/>
    </xf>
    <xf numFmtId="0" fontId="5" fillId="0" borderId="5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justify" vertical="center"/>
    </xf>
    <xf numFmtId="0" fontId="18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/>
    <xf numFmtId="0" fontId="18" fillId="0" borderId="0" xfId="0" applyFont="1" applyFill="1" applyBorder="1" applyAlignment="1">
      <alignment horizontal="left" vertical="center" wrapText="1" indent="3"/>
    </xf>
    <xf numFmtId="0" fontId="18" fillId="0" borderId="0" xfId="0" applyFont="1" applyFill="1" applyBorder="1" applyAlignment="1">
      <alignment horizontal="left" vertical="center" indent="3"/>
    </xf>
    <xf numFmtId="164" fontId="20" fillId="0" borderId="0" xfId="1" applyFont="1" applyFill="1" applyBorder="1"/>
    <xf numFmtId="0" fontId="21" fillId="0" borderId="0" xfId="0" applyFont="1" applyFill="1" applyBorder="1" applyAlignment="1">
      <alignment horizontal="justify" vertical="center" wrapText="1"/>
    </xf>
    <xf numFmtId="164" fontId="0" fillId="0" borderId="0" xfId="1" applyFont="1"/>
    <xf numFmtId="0" fontId="4" fillId="0" borderId="5" xfId="0" applyFont="1" applyBorder="1"/>
    <xf numFmtId="4" fontId="7" fillId="0" borderId="0" xfId="0" applyNumberFormat="1" applyFont="1" applyAlignment="1">
      <alignment horizontal="right" vertical="center"/>
    </xf>
    <xf numFmtId="4" fontId="7" fillId="0" borderId="14" xfId="0" applyNumberFormat="1" applyFont="1" applyBorder="1" applyAlignment="1">
      <alignment horizontal="right" vertical="center"/>
    </xf>
    <xf numFmtId="0" fontId="45" fillId="0" borderId="0" xfId="6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0" xfId="6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indent="3"/>
    </xf>
    <xf numFmtId="0" fontId="4" fillId="0" borderId="0" xfId="0" applyFont="1" applyAlignment="1">
      <alignment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indent="3"/>
    </xf>
    <xf numFmtId="0" fontId="7" fillId="0" borderId="6" xfId="0" applyFont="1" applyBorder="1" applyAlignment="1">
      <alignment horizontal="left" vertical="center" indent="3"/>
    </xf>
    <xf numFmtId="0" fontId="7" fillId="0" borderId="0" xfId="0" applyFont="1" applyAlignment="1">
      <alignment horizontal="left" vertical="center" wrapText="1" indent="1"/>
    </xf>
    <xf numFmtId="0" fontId="7" fillId="0" borderId="6" xfId="0" applyFont="1" applyBorder="1" applyAlignment="1">
      <alignment horizontal="left" vertical="center" wrapText="1" indent="1"/>
    </xf>
    <xf numFmtId="3" fontId="7" fillId="0" borderId="14" xfId="0" applyNumberFormat="1" applyFont="1" applyBorder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3" fontId="7" fillId="0" borderId="6" xfId="0" applyNumberFormat="1" applyFont="1" applyBorder="1" applyAlignment="1">
      <alignment horizontal="right" vertical="center" wrapText="1"/>
    </xf>
    <xf numFmtId="3" fontId="5" fillId="0" borderId="5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5" fillId="0" borderId="1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6" fillId="0" borderId="14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8" fillId="0" borderId="14" xfId="0" applyFont="1" applyBorder="1" applyAlignment="1">
      <alignment vertical="center"/>
    </xf>
    <xf numFmtId="0" fontId="38" fillId="0" borderId="6" xfId="0" applyFont="1" applyBorder="1" applyAlignment="1">
      <alignment vertical="center"/>
    </xf>
    <xf numFmtId="0" fontId="38" fillId="0" borderId="5" xfId="0" applyFont="1" applyBorder="1" applyAlignment="1">
      <alignment vertical="center"/>
    </xf>
    <xf numFmtId="0" fontId="36" fillId="0" borderId="5" xfId="0" applyFont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26" fillId="0" borderId="1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right" vertical="center" wrapText="1"/>
    </xf>
    <xf numFmtId="3" fontId="6" fillId="0" borderId="6" xfId="0" applyNumberFormat="1" applyFont="1" applyBorder="1" applyAlignment="1">
      <alignment horizontal="right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right" vertical="center" wrapText="1"/>
    </xf>
    <xf numFmtId="3" fontId="29" fillId="0" borderId="0" xfId="0" applyNumberFormat="1" applyFont="1" applyAlignment="1">
      <alignment horizontal="right" vertical="center" wrapText="1"/>
    </xf>
    <xf numFmtId="3" fontId="32" fillId="0" borderId="0" xfId="0" applyNumberFormat="1" applyFont="1" applyAlignment="1">
      <alignment horizontal="right" vertical="center"/>
    </xf>
    <xf numFmtId="3" fontId="33" fillId="0" borderId="0" xfId="0" applyNumberFormat="1" applyFont="1" applyAlignment="1">
      <alignment horizontal="right" vertical="center" wrapText="1"/>
    </xf>
    <xf numFmtId="0" fontId="26" fillId="0" borderId="5" xfId="0" applyFont="1" applyBorder="1" applyAlignment="1">
      <alignment horizontal="center" vertical="center" wrapText="1"/>
    </xf>
  </cellXfs>
  <cellStyles count="10">
    <cellStyle name="Comma" xfId="1" builtinId="3"/>
    <cellStyle name="Comma 10 2" xfId="8" xr:uid="{00000000-0005-0000-0000-000001000000}"/>
    <cellStyle name="Comma 2 2" xfId="4" xr:uid="{00000000-0005-0000-0000-000002000000}"/>
    <cellStyle name="Comma 4" xfId="2" xr:uid="{00000000-0005-0000-0000-000003000000}"/>
    <cellStyle name="Comma 8" xfId="9" xr:uid="{00000000-0005-0000-0000-000004000000}"/>
    <cellStyle name="Normal" xfId="0" builtinId="0"/>
    <cellStyle name="Normal 4" xfId="3" xr:uid="{00000000-0005-0000-0000-000006000000}"/>
    <cellStyle name="Normal 5" xfId="7" xr:uid="{00000000-0005-0000-0000-000007000000}"/>
    <cellStyle name="Normal 7" xfId="6" xr:uid="{00000000-0005-0000-0000-000008000000}"/>
    <cellStyle name="Percent" xfId="5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9"/>
  <sheetViews>
    <sheetView workbookViewId="0">
      <selection activeCell="F9" sqref="F9"/>
    </sheetView>
  </sheetViews>
  <sheetFormatPr defaultRowHeight="15" x14ac:dyDescent="0.25"/>
  <cols>
    <col min="4" max="4" width="16.85546875" style="585" bestFit="1" customWidth="1"/>
    <col min="5" max="5" width="17.28515625" style="585" bestFit="1" customWidth="1"/>
    <col min="6" max="6" width="15.28515625" style="585" bestFit="1" customWidth="1"/>
  </cols>
  <sheetData>
    <row r="3" spans="1:6" ht="15.75" thickBot="1" x14ac:dyDescent="0.3"/>
    <row r="4" spans="1:6" ht="15.75" x14ac:dyDescent="0.25">
      <c r="A4" t="s">
        <v>76</v>
      </c>
      <c r="D4" s="585">
        <v>4584651899.9899998</v>
      </c>
      <c r="E4" s="588">
        <v>4179863042.1399999</v>
      </c>
      <c r="F4" s="585">
        <v>404788857.85000002</v>
      </c>
    </row>
    <row r="5" spans="1:6" ht="15.75" x14ac:dyDescent="0.25">
      <c r="A5" t="s">
        <v>3</v>
      </c>
      <c r="D5" s="585">
        <v>1121255035.0799999</v>
      </c>
      <c r="E5" s="587">
        <v>998689759.14999998</v>
      </c>
      <c r="F5" s="585">
        <v>122565275.93000001</v>
      </c>
    </row>
    <row r="6" spans="1:6" ht="15.75" x14ac:dyDescent="0.25">
      <c r="A6" t="s">
        <v>4</v>
      </c>
      <c r="D6" s="585">
        <v>3463396864.9099998</v>
      </c>
      <c r="E6" s="587">
        <v>3181173282.9899998</v>
      </c>
      <c r="F6" s="585">
        <v>282223581.92000002</v>
      </c>
    </row>
    <row r="7" spans="1:6" ht="15.75" x14ac:dyDescent="0.25">
      <c r="A7" t="s">
        <v>6</v>
      </c>
      <c r="D7" s="585">
        <v>1878606861.4200001</v>
      </c>
      <c r="E7" s="587">
        <v>1684331624.6800001</v>
      </c>
      <c r="F7" s="585">
        <v>194275236.74000001</v>
      </c>
    </row>
    <row r="8" spans="1:6" ht="15.75" x14ac:dyDescent="0.25">
      <c r="A8" t="s">
        <v>858</v>
      </c>
      <c r="D8" s="585">
        <v>1603504138.3399999</v>
      </c>
      <c r="E8" s="587">
        <v>1438055629.97</v>
      </c>
      <c r="F8" s="585">
        <v>165448508.37</v>
      </c>
    </row>
    <row r="9" spans="1:6" ht="15.75" x14ac:dyDescent="0.25">
      <c r="A9" t="s">
        <v>7</v>
      </c>
      <c r="D9" s="585">
        <v>275102723.07999998</v>
      </c>
      <c r="E9" s="587">
        <v>246275994.71000001</v>
      </c>
      <c r="F9" s="585">
        <v>28826728.370000154</v>
      </c>
    </row>
    <row r="12" spans="1:6" ht="15.75" thickBot="1" x14ac:dyDescent="0.3"/>
    <row r="13" spans="1:6" ht="16.5" thickBot="1" x14ac:dyDescent="0.3">
      <c r="D13" s="586"/>
      <c r="E13" s="577">
        <v>2020</v>
      </c>
    </row>
    <row r="14" spans="1:6" ht="15.75" x14ac:dyDescent="0.25">
      <c r="D14" s="21" t="s">
        <v>855</v>
      </c>
      <c r="E14" s="587">
        <v>4599659664.5699997</v>
      </c>
    </row>
    <row r="15" spans="1:6" ht="15.75" x14ac:dyDescent="0.25">
      <c r="D15" s="21" t="s">
        <v>856</v>
      </c>
      <c r="E15" s="587">
        <v>1136262799.6600001</v>
      </c>
    </row>
    <row r="16" spans="1:6" ht="15.75" x14ac:dyDescent="0.25">
      <c r="D16" s="21" t="s">
        <v>857</v>
      </c>
      <c r="E16" s="587">
        <v>3463396864.9099998</v>
      </c>
    </row>
    <row r="17" spans="4:5" ht="15.75" x14ac:dyDescent="0.25">
      <c r="D17" s="294" t="s">
        <v>5</v>
      </c>
      <c r="E17" s="587">
        <v>1878606861.4200001</v>
      </c>
    </row>
    <row r="18" spans="4:5" ht="15.75" x14ac:dyDescent="0.25">
      <c r="D18" s="294" t="s">
        <v>858</v>
      </c>
      <c r="E18" s="587">
        <v>1603504138.3399999</v>
      </c>
    </row>
    <row r="19" spans="4:5" ht="15.75" x14ac:dyDescent="0.25">
      <c r="D19" s="21" t="s">
        <v>859</v>
      </c>
      <c r="E19" s="587">
        <v>275102723.07999998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2"/>
  <sheetViews>
    <sheetView showGridLines="0" tabSelected="1" zoomScaleNormal="100" zoomScaleSheetLayoutView="80" workbookViewId="0">
      <selection activeCell="I14" sqref="I14"/>
    </sheetView>
  </sheetViews>
  <sheetFormatPr defaultColWidth="9.140625" defaultRowHeight="15.75" x14ac:dyDescent="0.25"/>
  <cols>
    <col min="1" max="1" width="46.28515625" style="157" customWidth="1"/>
    <col min="2" max="3" width="17.85546875" style="168" customWidth="1"/>
    <col min="4" max="4" width="18" style="165" customWidth="1"/>
    <col min="5" max="5" width="20" style="165" customWidth="1"/>
    <col min="6" max="6" width="17.140625" style="165" customWidth="1"/>
    <col min="7" max="16384" width="9.140625" style="165"/>
  </cols>
  <sheetData>
    <row r="1" spans="1:6" ht="18.75" x14ac:dyDescent="0.25">
      <c r="A1" s="589" t="s">
        <v>88</v>
      </c>
      <c r="B1" s="589"/>
      <c r="C1" s="589"/>
      <c r="D1" s="589"/>
      <c r="E1" s="589"/>
      <c r="F1" s="589"/>
    </row>
    <row r="2" spans="1:6" ht="18.75" x14ac:dyDescent="0.25">
      <c r="A2" s="589" t="s">
        <v>22</v>
      </c>
      <c r="B2" s="589"/>
      <c r="C2" s="589"/>
      <c r="D2" s="589"/>
      <c r="E2" s="589"/>
      <c r="F2" s="589"/>
    </row>
    <row r="3" spans="1:6" ht="18.75" x14ac:dyDescent="0.25">
      <c r="A3" s="589" t="s">
        <v>502</v>
      </c>
      <c r="B3" s="589"/>
      <c r="C3" s="589"/>
      <c r="D3" s="589"/>
      <c r="E3" s="589"/>
      <c r="F3" s="589"/>
    </row>
    <row r="4" spans="1:6" x14ac:dyDescent="0.25">
      <c r="A4" s="578"/>
      <c r="D4" s="204"/>
    </row>
    <row r="5" spans="1:6" ht="22.5" customHeight="1" x14ac:dyDescent="0.25">
      <c r="A5" s="590" t="s">
        <v>23</v>
      </c>
      <c r="B5" s="591" t="s">
        <v>27</v>
      </c>
      <c r="C5" s="591"/>
      <c r="D5" s="592" t="s">
        <v>24</v>
      </c>
      <c r="E5" s="592" t="s">
        <v>25</v>
      </c>
      <c r="F5" s="592" t="s">
        <v>26</v>
      </c>
    </row>
    <row r="6" spans="1:6" ht="26.25" customHeight="1" x14ac:dyDescent="0.25">
      <c r="A6" s="590"/>
      <c r="B6" s="169" t="s">
        <v>28</v>
      </c>
      <c r="C6" s="169" t="s">
        <v>29</v>
      </c>
      <c r="D6" s="593"/>
      <c r="E6" s="593"/>
      <c r="F6" s="593"/>
    </row>
    <row r="7" spans="1:6" x14ac:dyDescent="0.25">
      <c r="A7" s="190" t="s">
        <v>5</v>
      </c>
      <c r="F7" s="171"/>
    </row>
    <row r="8" spans="1:6" x14ac:dyDescent="0.25">
      <c r="A8" s="190" t="s">
        <v>482</v>
      </c>
      <c r="D8" s="171"/>
    </row>
    <row r="9" spans="1:6" x14ac:dyDescent="0.25">
      <c r="A9" s="579" t="s">
        <v>483</v>
      </c>
      <c r="B9" s="166"/>
      <c r="C9" s="166"/>
      <c r="D9" s="173"/>
      <c r="E9" s="173"/>
      <c r="F9" s="173"/>
    </row>
    <row r="10" spans="1:6" x14ac:dyDescent="0.25">
      <c r="A10" s="579" t="s">
        <v>848</v>
      </c>
      <c r="B10" s="166">
        <v>387000000</v>
      </c>
      <c r="C10" s="166">
        <v>387000000</v>
      </c>
      <c r="D10" s="173">
        <v>0</v>
      </c>
      <c r="E10" s="166">
        <v>278513323</v>
      </c>
      <c r="F10" s="166">
        <v>108486677</v>
      </c>
    </row>
    <row r="11" spans="1:6" x14ac:dyDescent="0.25">
      <c r="A11" s="579" t="s">
        <v>847</v>
      </c>
      <c r="B11" s="166">
        <v>215680000</v>
      </c>
      <c r="C11" s="166">
        <v>215680000</v>
      </c>
      <c r="D11" s="173">
        <v>0</v>
      </c>
      <c r="E11" s="166">
        <v>296068960</v>
      </c>
      <c r="F11" s="166">
        <v>-80388960</v>
      </c>
    </row>
    <row r="12" spans="1:6" x14ac:dyDescent="0.25">
      <c r="A12" s="579" t="s">
        <v>846</v>
      </c>
      <c r="B12" s="166">
        <v>81000000</v>
      </c>
      <c r="C12" s="166">
        <v>81000000</v>
      </c>
      <c r="D12" s="173">
        <v>0</v>
      </c>
      <c r="E12" s="166">
        <v>28567427</v>
      </c>
      <c r="F12" s="166">
        <v>52432573</v>
      </c>
    </row>
    <row r="13" spans="1:6" x14ac:dyDescent="0.25">
      <c r="A13" s="190" t="s">
        <v>31</v>
      </c>
      <c r="B13" s="161">
        <v>683680000</v>
      </c>
      <c r="C13" s="161">
        <v>683680000</v>
      </c>
      <c r="D13" s="161">
        <v>0</v>
      </c>
      <c r="E13" s="161">
        <v>603149710</v>
      </c>
      <c r="F13" s="161">
        <v>80530290</v>
      </c>
    </row>
    <row r="14" spans="1:6" x14ac:dyDescent="0.25">
      <c r="A14" s="181" t="s">
        <v>485</v>
      </c>
      <c r="B14" s="166"/>
      <c r="C14" s="166"/>
      <c r="D14" s="173"/>
      <c r="E14" s="166"/>
      <c r="F14" s="173"/>
    </row>
    <row r="15" spans="1:6" x14ac:dyDescent="0.25">
      <c r="A15" s="181" t="s">
        <v>845</v>
      </c>
      <c r="B15" s="166">
        <v>36170000</v>
      </c>
      <c r="C15" s="166">
        <v>36170000</v>
      </c>
      <c r="D15" s="173">
        <v>0</v>
      </c>
      <c r="E15" s="166">
        <v>29824977</v>
      </c>
      <c r="F15" s="166">
        <v>6345023</v>
      </c>
    </row>
    <row r="16" spans="1:6" x14ac:dyDescent="0.25">
      <c r="A16" s="181" t="s">
        <v>844</v>
      </c>
      <c r="B16" s="166">
        <v>148492190</v>
      </c>
      <c r="C16" s="166">
        <v>148492190</v>
      </c>
      <c r="D16" s="173">
        <v>0</v>
      </c>
      <c r="E16" s="166">
        <v>95054652</v>
      </c>
      <c r="F16" s="166">
        <v>53437538</v>
      </c>
    </row>
    <row r="17" spans="1:6" x14ac:dyDescent="0.25">
      <c r="A17" s="181" t="s">
        <v>843</v>
      </c>
      <c r="B17" s="166">
        <v>18527000</v>
      </c>
      <c r="C17" s="166">
        <v>18527000</v>
      </c>
      <c r="D17" s="173">
        <v>0</v>
      </c>
      <c r="E17" s="166">
        <v>33682092</v>
      </c>
      <c r="F17" s="166">
        <v>-15155092</v>
      </c>
    </row>
    <row r="18" spans="1:6" x14ac:dyDescent="0.25">
      <c r="A18" s="190" t="s">
        <v>32</v>
      </c>
      <c r="B18" s="161">
        <v>203189190</v>
      </c>
      <c r="C18" s="161">
        <v>203189190</v>
      </c>
      <c r="D18" s="161">
        <v>0</v>
      </c>
      <c r="E18" s="161">
        <v>158561721</v>
      </c>
      <c r="F18" s="161">
        <v>44627469</v>
      </c>
    </row>
    <row r="19" spans="1:6" x14ac:dyDescent="0.25">
      <c r="A19" s="190" t="s">
        <v>491</v>
      </c>
      <c r="B19" s="166"/>
      <c r="C19" s="166"/>
      <c r="D19" s="173"/>
      <c r="E19" s="166"/>
      <c r="F19" s="173"/>
    </row>
    <row r="20" spans="1:6" ht="31.5" x14ac:dyDescent="0.25">
      <c r="A20" s="181" t="s">
        <v>842</v>
      </c>
      <c r="B20" s="166">
        <v>720748004</v>
      </c>
      <c r="C20" s="166">
        <v>720748004</v>
      </c>
      <c r="D20" s="173">
        <v>0</v>
      </c>
      <c r="E20" s="166">
        <v>716974452</v>
      </c>
      <c r="F20" s="166">
        <v>3773552</v>
      </c>
    </row>
    <row r="21" spans="1:6" x14ac:dyDescent="0.25">
      <c r="A21" s="181" t="s">
        <v>841</v>
      </c>
      <c r="B21" s="166">
        <v>3000000</v>
      </c>
      <c r="C21" s="166">
        <v>3000000</v>
      </c>
      <c r="D21" s="173">
        <v>0</v>
      </c>
      <c r="E21" s="166">
        <v>1138520</v>
      </c>
      <c r="F21" s="166">
        <v>1861480</v>
      </c>
    </row>
    <row r="22" spans="1:6" x14ac:dyDescent="0.25">
      <c r="A22" s="181" t="s">
        <v>854</v>
      </c>
      <c r="B22" s="166">
        <v>0</v>
      </c>
      <c r="C22" s="166">
        <v>0</v>
      </c>
      <c r="D22" s="173">
        <v>0</v>
      </c>
      <c r="E22" s="166">
        <v>398782459</v>
      </c>
      <c r="F22" s="166">
        <v>-398782459</v>
      </c>
    </row>
    <row r="23" spans="1:6" x14ac:dyDescent="0.25">
      <c r="A23" s="181" t="s">
        <v>840</v>
      </c>
      <c r="B23" s="166"/>
      <c r="C23" s="166"/>
      <c r="D23" s="166"/>
      <c r="E23" s="166">
        <v>1759981</v>
      </c>
      <c r="F23" s="166">
        <v>-1759981</v>
      </c>
    </row>
    <row r="24" spans="1:6" x14ac:dyDescent="0.25">
      <c r="A24" s="181" t="s">
        <v>839</v>
      </c>
      <c r="B24" s="166"/>
      <c r="C24" s="166"/>
      <c r="D24" s="166"/>
      <c r="E24" s="166">
        <v>397022478</v>
      </c>
      <c r="F24" s="166">
        <v>-397022478</v>
      </c>
    </row>
    <row r="25" spans="1:6" ht="16.5" thickBot="1" x14ac:dyDescent="0.3">
      <c r="A25" s="580" t="s">
        <v>38</v>
      </c>
      <c r="B25" s="163">
        <v>1610617194</v>
      </c>
      <c r="C25" s="163">
        <v>1610617194</v>
      </c>
      <c r="D25" s="163">
        <v>0</v>
      </c>
      <c r="E25" s="163">
        <v>1878606862</v>
      </c>
      <c r="F25" s="163">
        <v>-267989668</v>
      </c>
    </row>
    <row r="26" spans="1:6" ht="16.5" thickTop="1" x14ac:dyDescent="0.25">
      <c r="A26" s="190" t="s">
        <v>39</v>
      </c>
      <c r="B26" s="166"/>
      <c r="C26" s="166"/>
      <c r="D26" s="173"/>
      <c r="E26" s="173"/>
      <c r="F26" s="173"/>
    </row>
    <row r="27" spans="1:6" x14ac:dyDescent="0.25">
      <c r="A27" s="190" t="s">
        <v>470</v>
      </c>
      <c r="B27" s="166"/>
      <c r="C27" s="166"/>
      <c r="D27" s="173"/>
      <c r="E27" s="173"/>
      <c r="F27" s="173"/>
    </row>
    <row r="28" spans="1:6" x14ac:dyDescent="0.25">
      <c r="A28" s="190" t="s">
        <v>40</v>
      </c>
      <c r="B28" s="166"/>
      <c r="C28" s="166"/>
      <c r="D28" s="173"/>
      <c r="E28" s="173"/>
      <c r="F28" s="173"/>
    </row>
    <row r="29" spans="1:6" x14ac:dyDescent="0.25">
      <c r="A29" s="581" t="s">
        <v>41</v>
      </c>
      <c r="B29" s="166">
        <v>218682473</v>
      </c>
      <c r="C29" s="166">
        <v>239713796</v>
      </c>
      <c r="D29" s="173">
        <v>-21031323</v>
      </c>
      <c r="E29" s="166">
        <v>172209354</v>
      </c>
      <c r="F29" s="166">
        <v>67504442</v>
      </c>
    </row>
    <row r="30" spans="1:6" x14ac:dyDescent="0.25">
      <c r="A30" s="582" t="s">
        <v>42</v>
      </c>
      <c r="B30" s="166">
        <v>481792041</v>
      </c>
      <c r="C30" s="166">
        <v>604021675</v>
      </c>
      <c r="D30" s="173">
        <v>-122229634</v>
      </c>
      <c r="E30" s="166">
        <v>495344440</v>
      </c>
      <c r="F30" s="166">
        <v>108677235</v>
      </c>
    </row>
    <row r="31" spans="1:6" x14ac:dyDescent="0.25">
      <c r="A31" s="581" t="s">
        <v>43</v>
      </c>
      <c r="B31" s="166">
        <v>7907969</v>
      </c>
      <c r="C31" s="166">
        <v>5762894</v>
      </c>
      <c r="D31" s="173">
        <v>2145075</v>
      </c>
      <c r="E31" s="166">
        <v>2072309</v>
      </c>
      <c r="F31" s="166">
        <v>3690585</v>
      </c>
    </row>
    <row r="32" spans="1:6" x14ac:dyDescent="0.25">
      <c r="A32" s="190" t="s">
        <v>44</v>
      </c>
      <c r="B32" s="166"/>
      <c r="C32" s="166"/>
      <c r="D32" s="173">
        <v>0</v>
      </c>
      <c r="E32" s="166"/>
      <c r="F32" s="166">
        <v>0</v>
      </c>
    </row>
    <row r="33" spans="1:6" x14ac:dyDescent="0.25">
      <c r="A33" s="581" t="s">
        <v>41</v>
      </c>
      <c r="B33" s="166">
        <v>18456711</v>
      </c>
      <c r="C33" s="166">
        <v>19177332</v>
      </c>
      <c r="D33" s="173">
        <v>-720621</v>
      </c>
      <c r="E33" s="166">
        <v>9892404</v>
      </c>
      <c r="F33" s="166">
        <v>9284928</v>
      </c>
    </row>
    <row r="34" spans="1:6" x14ac:dyDescent="0.25">
      <c r="A34" s="582" t="s">
        <v>42</v>
      </c>
      <c r="B34" s="166">
        <v>113047721</v>
      </c>
      <c r="C34" s="166">
        <v>153659629</v>
      </c>
      <c r="D34" s="173">
        <v>-40611908</v>
      </c>
      <c r="E34" s="166">
        <v>118251552</v>
      </c>
      <c r="F34" s="166">
        <v>35408077</v>
      </c>
    </row>
    <row r="35" spans="1:6" x14ac:dyDescent="0.25">
      <c r="A35" s="581" t="s">
        <v>43</v>
      </c>
      <c r="B35" s="166">
        <v>43804368</v>
      </c>
      <c r="C35" s="166">
        <v>22198896</v>
      </c>
      <c r="D35" s="173">
        <v>21605472</v>
      </c>
      <c r="E35" s="166">
        <v>10105000</v>
      </c>
      <c r="F35" s="166">
        <v>12093896</v>
      </c>
    </row>
    <row r="36" spans="1:6" x14ac:dyDescent="0.25">
      <c r="A36" s="190" t="s">
        <v>45</v>
      </c>
      <c r="B36" s="166"/>
      <c r="C36" s="166"/>
      <c r="D36" s="173">
        <v>0</v>
      </c>
      <c r="E36" s="166"/>
      <c r="F36" s="166">
        <v>0</v>
      </c>
    </row>
    <row r="37" spans="1:6" x14ac:dyDescent="0.25">
      <c r="A37" s="581" t="s">
        <v>41</v>
      </c>
      <c r="B37" s="166">
        <v>120070311</v>
      </c>
      <c r="C37" s="166">
        <v>119160005</v>
      </c>
      <c r="D37" s="173">
        <v>910306</v>
      </c>
      <c r="E37" s="166">
        <v>94088937</v>
      </c>
      <c r="F37" s="166">
        <v>25071068</v>
      </c>
    </row>
    <row r="38" spans="1:6" x14ac:dyDescent="0.25">
      <c r="A38" s="582" t="s">
        <v>42</v>
      </c>
      <c r="B38" s="166">
        <v>183313900</v>
      </c>
      <c r="C38" s="166">
        <v>213607612</v>
      </c>
      <c r="D38" s="173">
        <v>-30293712</v>
      </c>
      <c r="E38" s="166">
        <v>135533318</v>
      </c>
      <c r="F38" s="166">
        <v>78074294</v>
      </c>
    </row>
    <row r="39" spans="1:6" x14ac:dyDescent="0.25">
      <c r="A39" s="581" t="s">
        <v>43</v>
      </c>
      <c r="B39" s="166">
        <v>20000</v>
      </c>
      <c r="C39" s="166">
        <v>20000</v>
      </c>
      <c r="D39" s="173">
        <v>0</v>
      </c>
      <c r="E39" s="166"/>
      <c r="F39" s="166">
        <v>20000</v>
      </c>
    </row>
    <row r="40" spans="1:6" x14ac:dyDescent="0.25">
      <c r="A40" s="190" t="s">
        <v>46</v>
      </c>
      <c r="B40" s="166"/>
      <c r="C40" s="166"/>
      <c r="D40" s="173">
        <v>0</v>
      </c>
      <c r="E40" s="166"/>
      <c r="F40" s="166">
        <v>0</v>
      </c>
    </row>
    <row r="41" spans="1:6" x14ac:dyDescent="0.25">
      <c r="A41" s="581" t="s">
        <v>41</v>
      </c>
      <c r="B41" s="166">
        <v>15568618</v>
      </c>
      <c r="C41" s="166">
        <v>16119800</v>
      </c>
      <c r="D41" s="173">
        <v>-551182</v>
      </c>
      <c r="E41" s="166">
        <v>11137748</v>
      </c>
      <c r="F41" s="166">
        <v>4982052</v>
      </c>
    </row>
    <row r="42" spans="1:6" x14ac:dyDescent="0.25">
      <c r="A42" s="582" t="s">
        <v>42</v>
      </c>
      <c r="B42" s="166">
        <v>90105743</v>
      </c>
      <c r="C42" s="166">
        <v>118909743</v>
      </c>
      <c r="D42" s="173">
        <v>-28804000</v>
      </c>
      <c r="E42" s="166">
        <v>66393846</v>
      </c>
      <c r="F42" s="166">
        <v>52515897</v>
      </c>
    </row>
    <row r="43" spans="1:6" x14ac:dyDescent="0.25">
      <c r="A43" s="581" t="s">
        <v>43</v>
      </c>
      <c r="B43" s="166">
        <v>1886000</v>
      </c>
      <c r="C43" s="166">
        <v>1850000</v>
      </c>
      <c r="D43" s="173">
        <v>36000</v>
      </c>
      <c r="E43" s="166">
        <v>353400</v>
      </c>
      <c r="F43" s="166">
        <v>1496600</v>
      </c>
    </row>
    <row r="44" spans="1:6" x14ac:dyDescent="0.25">
      <c r="A44" s="190" t="s">
        <v>47</v>
      </c>
      <c r="B44" s="166"/>
      <c r="C44" s="166"/>
      <c r="D44" s="173">
        <v>0</v>
      </c>
      <c r="E44" s="166"/>
      <c r="F44" s="166">
        <v>0</v>
      </c>
    </row>
    <row r="45" spans="1:6" x14ac:dyDescent="0.25">
      <c r="A45" s="581" t="s">
        <v>41</v>
      </c>
      <c r="B45" s="166">
        <v>41663409</v>
      </c>
      <c r="C45" s="166">
        <v>41775472</v>
      </c>
      <c r="D45" s="173">
        <v>-112063</v>
      </c>
      <c r="E45" s="166">
        <v>25686636</v>
      </c>
      <c r="F45" s="166">
        <v>16088836</v>
      </c>
    </row>
    <row r="46" spans="1:6" x14ac:dyDescent="0.25">
      <c r="A46" s="582" t="s">
        <v>42</v>
      </c>
      <c r="B46" s="166">
        <v>88087420</v>
      </c>
      <c r="C46" s="166">
        <v>97107420</v>
      </c>
      <c r="D46" s="173">
        <v>-9020000</v>
      </c>
      <c r="E46" s="166">
        <v>61296889</v>
      </c>
      <c r="F46" s="166">
        <v>35810531</v>
      </c>
    </row>
    <row r="47" spans="1:6" x14ac:dyDescent="0.25">
      <c r="A47" s="581" t="s">
        <v>43</v>
      </c>
      <c r="B47" s="166">
        <v>15320000</v>
      </c>
      <c r="C47" s="166">
        <v>19997967</v>
      </c>
      <c r="D47" s="173">
        <v>-4677967</v>
      </c>
      <c r="E47" s="166">
        <v>3345740</v>
      </c>
      <c r="F47" s="166">
        <v>16652227</v>
      </c>
    </row>
    <row r="48" spans="1:6" x14ac:dyDescent="0.25">
      <c r="A48" s="190" t="s">
        <v>48</v>
      </c>
      <c r="B48" s="173"/>
      <c r="C48" s="166"/>
      <c r="D48" s="173"/>
      <c r="E48" s="166"/>
      <c r="F48" s="166"/>
    </row>
    <row r="49" spans="1:6" x14ac:dyDescent="0.25">
      <c r="A49" s="556" t="s">
        <v>838</v>
      </c>
      <c r="B49" s="173"/>
      <c r="C49" s="166"/>
      <c r="D49" s="173"/>
      <c r="E49" s="166"/>
      <c r="F49" s="166"/>
    </row>
    <row r="50" spans="1:6" x14ac:dyDescent="0.25">
      <c r="A50" s="581" t="s">
        <v>50</v>
      </c>
      <c r="B50" s="173">
        <v>84550000</v>
      </c>
      <c r="C50" s="166">
        <v>95050000</v>
      </c>
      <c r="D50" s="173">
        <v>-10500000</v>
      </c>
      <c r="E50" s="166">
        <v>80026407</v>
      </c>
      <c r="F50" s="166">
        <v>15023593</v>
      </c>
    </row>
    <row r="51" spans="1:6" x14ac:dyDescent="0.25">
      <c r="A51" s="190" t="s">
        <v>51</v>
      </c>
      <c r="B51" s="173"/>
      <c r="C51" s="166"/>
      <c r="D51" s="173">
        <v>0</v>
      </c>
      <c r="E51" s="166"/>
      <c r="F51" s="166">
        <v>0</v>
      </c>
    </row>
    <row r="52" spans="1:6" x14ac:dyDescent="0.25">
      <c r="A52" s="582" t="s">
        <v>42</v>
      </c>
      <c r="B52" s="166">
        <v>12040689</v>
      </c>
      <c r="C52" s="166">
        <v>59502213</v>
      </c>
      <c r="D52" s="173">
        <v>-47461524</v>
      </c>
      <c r="E52" s="166">
        <v>33393832</v>
      </c>
      <c r="F52" s="166">
        <v>26108381</v>
      </c>
    </row>
    <row r="53" spans="1:6" x14ac:dyDescent="0.25">
      <c r="A53" s="581" t="s">
        <v>43</v>
      </c>
      <c r="B53" s="166">
        <v>63004113</v>
      </c>
      <c r="C53" s="166">
        <v>15542589</v>
      </c>
      <c r="D53" s="173">
        <v>47461524</v>
      </c>
      <c r="E53" s="166">
        <v>2747711</v>
      </c>
      <c r="F53" s="166">
        <v>12794878</v>
      </c>
    </row>
    <row r="54" spans="1:6" x14ac:dyDescent="0.25">
      <c r="A54" s="190" t="s">
        <v>52</v>
      </c>
      <c r="B54" s="173"/>
      <c r="C54" s="166"/>
      <c r="D54" s="173">
        <v>0</v>
      </c>
      <c r="E54" s="166"/>
      <c r="F54" s="166">
        <v>0</v>
      </c>
    </row>
    <row r="55" spans="1:6" x14ac:dyDescent="0.25">
      <c r="A55" s="582" t="s">
        <v>42</v>
      </c>
      <c r="B55" s="173"/>
      <c r="C55" s="166">
        <v>12557252</v>
      </c>
      <c r="D55" s="173">
        <v>-12557252</v>
      </c>
      <c r="E55" s="166">
        <v>10196213</v>
      </c>
      <c r="F55" s="166">
        <v>2361039</v>
      </c>
    </row>
    <row r="56" spans="1:6" x14ac:dyDescent="0.25">
      <c r="A56" s="581" t="s">
        <v>43</v>
      </c>
      <c r="B56" s="166">
        <v>88149601</v>
      </c>
      <c r="C56" s="166">
        <v>75592349</v>
      </c>
      <c r="D56" s="173">
        <v>12557252</v>
      </c>
      <c r="E56" s="166">
        <v>13194913</v>
      </c>
      <c r="F56" s="166">
        <v>62397436</v>
      </c>
    </row>
    <row r="57" spans="1:6" x14ac:dyDescent="0.25">
      <c r="A57" s="190" t="s">
        <v>53</v>
      </c>
      <c r="B57" s="166"/>
      <c r="C57" s="166"/>
      <c r="D57" s="173"/>
      <c r="E57" s="166"/>
      <c r="F57" s="166"/>
    </row>
    <row r="58" spans="1:6" x14ac:dyDescent="0.25">
      <c r="A58" s="582" t="s">
        <v>42</v>
      </c>
      <c r="B58" s="166">
        <v>3764760</v>
      </c>
      <c r="C58" s="166">
        <v>1400760</v>
      </c>
      <c r="D58" s="173">
        <v>2364000</v>
      </c>
      <c r="E58" s="166">
        <v>1023130</v>
      </c>
      <c r="F58" s="166">
        <v>377630</v>
      </c>
    </row>
    <row r="59" spans="1:6" x14ac:dyDescent="0.25">
      <c r="A59" s="190" t="s">
        <v>54</v>
      </c>
      <c r="B59" s="166"/>
      <c r="C59" s="166"/>
      <c r="D59" s="173"/>
      <c r="E59" s="166"/>
      <c r="F59" s="166"/>
    </row>
    <row r="60" spans="1:6" x14ac:dyDescent="0.25">
      <c r="A60" s="581" t="s">
        <v>41</v>
      </c>
      <c r="B60" s="166">
        <v>18389616</v>
      </c>
      <c r="C60" s="166">
        <v>22248472</v>
      </c>
      <c r="D60" s="173">
        <v>-3858856</v>
      </c>
      <c r="E60" s="166">
        <v>15337801</v>
      </c>
      <c r="F60" s="166">
        <v>6910671</v>
      </c>
    </row>
    <row r="61" spans="1:6" x14ac:dyDescent="0.25">
      <c r="A61" s="582" t="s">
        <v>42</v>
      </c>
      <c r="B61" s="166">
        <v>131886535</v>
      </c>
      <c r="C61" s="166">
        <v>195022906</v>
      </c>
      <c r="D61" s="173">
        <v>-63136371</v>
      </c>
      <c r="E61" s="166">
        <v>97285192</v>
      </c>
      <c r="F61" s="166">
        <v>97737714</v>
      </c>
    </row>
    <row r="62" spans="1:6" x14ac:dyDescent="0.25">
      <c r="A62" s="581" t="s">
        <v>43</v>
      </c>
      <c r="B62" s="166"/>
      <c r="C62" s="166">
        <v>2670900</v>
      </c>
      <c r="D62" s="173">
        <v>-2670900</v>
      </c>
      <c r="E62" s="166">
        <v>2663300</v>
      </c>
      <c r="F62" s="166">
        <v>7600</v>
      </c>
    </row>
    <row r="63" spans="1:6" x14ac:dyDescent="0.25">
      <c r="A63" s="583" t="s">
        <v>55</v>
      </c>
      <c r="B63" s="161">
        <v>1841511998</v>
      </c>
      <c r="C63" s="161">
        <v>2152669682</v>
      </c>
      <c r="D63" s="161">
        <v>-311157684</v>
      </c>
      <c r="E63" s="161">
        <v>1461580072</v>
      </c>
      <c r="F63" s="161">
        <v>691089610</v>
      </c>
    </row>
    <row r="64" spans="1:6" x14ac:dyDescent="0.25">
      <c r="A64" s="181" t="s">
        <v>56</v>
      </c>
      <c r="B64" s="166"/>
      <c r="C64" s="166"/>
      <c r="D64" s="173"/>
      <c r="E64" s="173"/>
      <c r="F64" s="173"/>
    </row>
    <row r="65" spans="1:6" x14ac:dyDescent="0.25">
      <c r="A65" s="556" t="s">
        <v>57</v>
      </c>
      <c r="B65" s="166">
        <v>143213961</v>
      </c>
      <c r="C65" s="166">
        <v>142423507</v>
      </c>
      <c r="D65" s="173">
        <v>790454</v>
      </c>
      <c r="E65" s="166">
        <v>54530448</v>
      </c>
      <c r="F65" s="166">
        <v>87893059</v>
      </c>
    </row>
    <row r="66" spans="1:6" x14ac:dyDescent="0.25">
      <c r="A66" s="556" t="s">
        <v>58</v>
      </c>
      <c r="B66" s="166">
        <v>66194099</v>
      </c>
      <c r="C66" s="166">
        <v>66194099</v>
      </c>
      <c r="D66" s="173">
        <v>0</v>
      </c>
      <c r="E66" s="166">
        <v>16962252</v>
      </c>
      <c r="F66" s="166">
        <v>49231847</v>
      </c>
    </row>
    <row r="67" spans="1:6" x14ac:dyDescent="0.25">
      <c r="A67" s="556" t="s">
        <v>59</v>
      </c>
      <c r="B67" s="166">
        <v>99816841</v>
      </c>
      <c r="C67" s="166">
        <v>99811151</v>
      </c>
      <c r="D67" s="173">
        <v>5690</v>
      </c>
      <c r="E67" s="166">
        <v>2651500</v>
      </c>
      <c r="F67" s="166">
        <v>97159651</v>
      </c>
    </row>
    <row r="68" spans="1:6" x14ac:dyDescent="0.25">
      <c r="A68" s="181" t="s">
        <v>60</v>
      </c>
      <c r="B68" s="166">
        <v>8169713</v>
      </c>
      <c r="C68" s="166">
        <v>7891828</v>
      </c>
      <c r="D68" s="173">
        <v>277885</v>
      </c>
      <c r="E68" s="166">
        <v>2014730</v>
      </c>
      <c r="F68" s="166">
        <v>5877098</v>
      </c>
    </row>
    <row r="69" spans="1:6" x14ac:dyDescent="0.25">
      <c r="A69" s="181" t="s">
        <v>47</v>
      </c>
      <c r="B69" s="166">
        <v>280685733</v>
      </c>
      <c r="C69" s="166">
        <v>279759137</v>
      </c>
      <c r="D69" s="173">
        <v>926596</v>
      </c>
      <c r="E69" s="166">
        <v>24934677</v>
      </c>
      <c r="F69" s="166">
        <v>254824460</v>
      </c>
    </row>
    <row r="70" spans="1:6" x14ac:dyDescent="0.25">
      <c r="A70" s="181" t="s">
        <v>48</v>
      </c>
      <c r="B70" s="166">
        <v>50022232</v>
      </c>
      <c r="C70" s="166">
        <v>49126389</v>
      </c>
      <c r="D70" s="173">
        <v>895843</v>
      </c>
      <c r="E70" s="166">
        <v>1680000</v>
      </c>
      <c r="F70" s="166">
        <v>47446389</v>
      </c>
    </row>
    <row r="71" spans="1:6" x14ac:dyDescent="0.25">
      <c r="A71" s="583" t="s">
        <v>61</v>
      </c>
      <c r="B71" s="161">
        <v>648102579</v>
      </c>
      <c r="C71" s="161">
        <v>645206111</v>
      </c>
      <c r="D71" s="161">
        <v>2896468</v>
      </c>
      <c r="E71" s="161">
        <v>102773607</v>
      </c>
      <c r="F71" s="161">
        <v>542432504</v>
      </c>
    </row>
    <row r="72" spans="1:6" s="184" customFormat="1" ht="16.5" thickBot="1" x14ac:dyDescent="0.3">
      <c r="A72" s="190" t="s">
        <v>497</v>
      </c>
      <c r="B72" s="183">
        <v>2489614577</v>
      </c>
      <c r="C72" s="183">
        <v>2797875793</v>
      </c>
      <c r="D72" s="183">
        <v>-308261216</v>
      </c>
      <c r="E72" s="183">
        <v>1564353679</v>
      </c>
      <c r="F72" s="183">
        <v>1233522114</v>
      </c>
    </row>
    <row r="73" spans="1:6" ht="16.5" thickBot="1" x14ac:dyDescent="0.3">
      <c r="A73" s="190" t="s">
        <v>7</v>
      </c>
      <c r="B73" s="186">
        <v>-878997383</v>
      </c>
      <c r="C73" s="186">
        <v>-1187258599</v>
      </c>
      <c r="D73" s="186">
        <v>308261216</v>
      </c>
      <c r="E73" s="186">
        <v>314253183</v>
      </c>
      <c r="F73" s="186">
        <v>-1501511782</v>
      </c>
    </row>
    <row r="74" spans="1:6" s="189" customFormat="1" ht="16.5" thickTop="1" x14ac:dyDescent="0.25">
      <c r="A74" s="584"/>
      <c r="B74" s="188"/>
      <c r="C74" s="188"/>
      <c r="D74" s="188"/>
      <c r="E74" s="188"/>
      <c r="F74" s="188"/>
    </row>
    <row r="75" spans="1:6" x14ac:dyDescent="0.25">
      <c r="A75" s="190"/>
      <c r="B75" s="191"/>
      <c r="C75" s="191"/>
      <c r="D75" s="191"/>
      <c r="E75" s="191"/>
      <c r="F75" s="168"/>
    </row>
    <row r="76" spans="1:6" x14ac:dyDescent="0.25">
      <c r="B76" s="191"/>
      <c r="C76" s="191"/>
      <c r="D76" s="191"/>
      <c r="E76" s="191"/>
      <c r="F76" s="168"/>
    </row>
    <row r="77" spans="1:6" s="157" customFormat="1" x14ac:dyDescent="0.25">
      <c r="A77" s="192"/>
      <c r="B77" s="193"/>
      <c r="C77" s="194"/>
      <c r="D77" s="195"/>
      <c r="E77" s="194"/>
    </row>
    <row r="78" spans="1:6" s="157" customFormat="1" x14ac:dyDescent="0.25">
      <c r="A78" s="196"/>
      <c r="B78" s="191"/>
      <c r="C78" s="191"/>
      <c r="D78" s="195"/>
      <c r="E78" s="191"/>
    </row>
    <row r="79" spans="1:6" s="157" customFormat="1" x14ac:dyDescent="0.25">
      <c r="A79" s="197"/>
      <c r="B79" s="191"/>
      <c r="C79" s="198"/>
      <c r="D79" s="195"/>
    </row>
    <row r="80" spans="1:6" s="157" customFormat="1" x14ac:dyDescent="0.25">
      <c r="A80" s="199"/>
      <c r="B80" s="191"/>
      <c r="C80" s="198"/>
      <c r="D80" s="195"/>
    </row>
    <row r="81" spans="1:5" s="157" customFormat="1" x14ac:dyDescent="0.25">
      <c r="A81" s="192"/>
      <c r="B81" s="200"/>
      <c r="C81" s="198"/>
      <c r="D81" s="195"/>
    </row>
    <row r="82" spans="1:5" s="157" customFormat="1" x14ac:dyDescent="0.25">
      <c r="A82" s="192"/>
      <c r="B82" s="200"/>
      <c r="C82" s="198"/>
      <c r="D82" s="195"/>
    </row>
    <row r="83" spans="1:5" x14ac:dyDescent="0.25">
      <c r="A83" s="201"/>
      <c r="B83" s="202"/>
      <c r="C83" s="198"/>
      <c r="D83" s="195"/>
      <c r="E83" s="157"/>
    </row>
    <row r="84" spans="1:5" x14ac:dyDescent="0.25">
      <c r="B84" s="191"/>
      <c r="C84" s="203"/>
      <c r="D84" s="195"/>
      <c r="E84" s="157"/>
    </row>
    <row r="85" spans="1:5" x14ac:dyDescent="0.25">
      <c r="A85" s="192"/>
      <c r="B85" s="193"/>
      <c r="C85" s="157"/>
      <c r="D85" s="195"/>
      <c r="E85" s="157"/>
    </row>
    <row r="86" spans="1:5" x14ac:dyDescent="0.25">
      <c r="B86" s="157"/>
      <c r="C86" s="157"/>
      <c r="D86" s="195"/>
      <c r="E86" s="157"/>
    </row>
    <row r="87" spans="1:5" x14ac:dyDescent="0.25">
      <c r="B87" s="157"/>
      <c r="C87" s="157"/>
      <c r="D87" s="195"/>
      <c r="E87" s="157"/>
    </row>
    <row r="88" spans="1:5" x14ac:dyDescent="0.25">
      <c r="B88" s="157"/>
      <c r="C88" s="157"/>
      <c r="D88" s="195"/>
      <c r="E88" s="157"/>
    </row>
    <row r="89" spans="1:5" x14ac:dyDescent="0.25">
      <c r="B89" s="157"/>
      <c r="C89" s="157"/>
      <c r="D89" s="195"/>
      <c r="E89" s="157"/>
    </row>
    <row r="90" spans="1:5" x14ac:dyDescent="0.25">
      <c r="B90" s="157"/>
      <c r="C90" s="157"/>
      <c r="D90" s="195"/>
      <c r="E90" s="157"/>
    </row>
    <row r="91" spans="1:5" x14ac:dyDescent="0.25">
      <c r="B91" s="157"/>
      <c r="C91" s="157"/>
      <c r="D91" s="195"/>
      <c r="E91" s="157"/>
    </row>
    <row r="92" spans="1:5" x14ac:dyDescent="0.25">
      <c r="B92" s="157"/>
      <c r="C92" s="157"/>
      <c r="D92" s="195"/>
      <c r="E92" s="157"/>
    </row>
    <row r="93" spans="1:5" x14ac:dyDescent="0.25">
      <c r="B93" s="157"/>
      <c r="C93" s="157"/>
      <c r="D93" s="195"/>
      <c r="E93" s="157"/>
    </row>
    <row r="94" spans="1:5" x14ac:dyDescent="0.25">
      <c r="B94" s="165"/>
      <c r="C94" s="165"/>
      <c r="D94" s="204"/>
    </row>
    <row r="95" spans="1:5" x14ac:dyDescent="0.25">
      <c r="B95" s="165"/>
      <c r="C95" s="165"/>
      <c r="D95" s="204"/>
    </row>
    <row r="96" spans="1:5" x14ac:dyDescent="0.25">
      <c r="B96" s="165"/>
      <c r="C96" s="165"/>
      <c r="D96" s="204"/>
    </row>
    <row r="97" spans="2:5" x14ac:dyDescent="0.25">
      <c r="B97" s="165"/>
      <c r="C97" s="165"/>
      <c r="D97" s="204"/>
    </row>
    <row r="98" spans="2:5" x14ac:dyDescent="0.25">
      <c r="B98" s="165"/>
      <c r="C98" s="165"/>
      <c r="D98" s="204"/>
    </row>
    <row r="99" spans="2:5" x14ac:dyDescent="0.25">
      <c r="B99" s="165"/>
      <c r="D99" s="204"/>
    </row>
    <row r="100" spans="2:5" x14ac:dyDescent="0.25">
      <c r="B100" s="165"/>
      <c r="D100" s="204"/>
    </row>
    <row r="101" spans="2:5" x14ac:dyDescent="0.25">
      <c r="B101" s="165"/>
      <c r="D101" s="204"/>
    </row>
    <row r="102" spans="2:5" x14ac:dyDescent="0.25">
      <c r="B102" s="165"/>
      <c r="D102" s="204"/>
    </row>
    <row r="103" spans="2:5" x14ac:dyDescent="0.25">
      <c r="B103" s="165"/>
    </row>
    <row r="104" spans="2:5" x14ac:dyDescent="0.25">
      <c r="B104" s="165"/>
    </row>
    <row r="105" spans="2:5" x14ac:dyDescent="0.25">
      <c r="B105" s="165"/>
    </row>
    <row r="106" spans="2:5" x14ac:dyDescent="0.25">
      <c r="B106" s="165"/>
    </row>
    <row r="107" spans="2:5" x14ac:dyDescent="0.25">
      <c r="B107" s="165"/>
    </row>
    <row r="108" spans="2:5" x14ac:dyDescent="0.25">
      <c r="B108" s="165"/>
    </row>
    <row r="109" spans="2:5" x14ac:dyDescent="0.25">
      <c r="B109" s="165"/>
    </row>
    <row r="112" spans="2:5" x14ac:dyDescent="0.25">
      <c r="B112" s="165"/>
      <c r="E112" s="168"/>
    </row>
  </sheetData>
  <mergeCells count="8">
    <mergeCell ref="A1:F1"/>
    <mergeCell ref="A2:F2"/>
    <mergeCell ref="A3:F3"/>
    <mergeCell ref="A5:A6"/>
    <mergeCell ref="B5:C5"/>
    <mergeCell ref="D5:D6"/>
    <mergeCell ref="E5:E6"/>
    <mergeCell ref="F5:F6"/>
  </mergeCells>
  <pageMargins left="0.98425196850393704" right="0.98425196850393704" top="1.4960629921259843" bottom="0.98425196850393704" header="0.31496062992125984" footer="0.31496062992125984"/>
  <pageSetup scale="80" firstPageNumber="9" orientation="landscape" r:id="rId1"/>
  <headerFooter differentOddEven="1" scaleWithDoc="0" alignWithMargins="0">
    <oddFooter>&amp;C11</oddFooter>
    <evenFooter>&amp;C10</evenFooter>
  </headerFooter>
  <rowBreaks count="2" manualBreakCount="2">
    <brk id="31" max="16383" man="1"/>
    <brk id="6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9"/>
  <sheetViews>
    <sheetView showGridLines="0" zoomScale="80" zoomScaleNormal="80" zoomScaleSheetLayoutView="100" workbookViewId="0">
      <pane xSplit="1" ySplit="6" topLeftCell="B55" activePane="bottomRight" state="frozen"/>
      <selection pane="topRight" activeCell="B1" sqref="B1"/>
      <selection pane="bottomLeft" activeCell="A7" sqref="A7"/>
      <selection pane="bottomRight" activeCell="E81" sqref="E81"/>
    </sheetView>
  </sheetViews>
  <sheetFormatPr defaultColWidth="9.140625" defaultRowHeight="15.75" x14ac:dyDescent="0.25"/>
  <cols>
    <col min="1" max="1" width="42.5703125" style="165" customWidth="1"/>
    <col min="2" max="3" width="17.85546875" style="168" customWidth="1"/>
    <col min="4" max="4" width="18" style="165" customWidth="1"/>
    <col min="5" max="5" width="20" style="165" customWidth="1"/>
    <col min="6" max="6" width="17.140625" style="165" customWidth="1"/>
    <col min="7" max="16384" width="9.140625" style="165"/>
  </cols>
  <sheetData>
    <row r="1" spans="1:9" x14ac:dyDescent="0.25">
      <c r="A1" s="594" t="s">
        <v>88</v>
      </c>
      <c r="B1" s="594"/>
      <c r="C1" s="594"/>
      <c r="D1" s="594"/>
      <c r="E1" s="594"/>
      <c r="F1" s="594"/>
      <c r="G1" s="544" t="s">
        <v>836</v>
      </c>
      <c r="H1" s="544"/>
      <c r="I1" s="544"/>
    </row>
    <row r="2" spans="1:9" x14ac:dyDescent="0.25">
      <c r="A2" s="594" t="s">
        <v>22</v>
      </c>
      <c r="B2" s="594"/>
      <c r="C2" s="594"/>
      <c r="D2" s="594"/>
      <c r="E2" s="594"/>
      <c r="F2" s="594"/>
      <c r="G2" s="540" t="s">
        <v>835</v>
      </c>
      <c r="H2" s="540"/>
      <c r="I2" s="540"/>
    </row>
    <row r="3" spans="1:9" x14ac:dyDescent="0.25">
      <c r="A3" s="594" t="s">
        <v>502</v>
      </c>
      <c r="B3" s="594"/>
      <c r="C3" s="594"/>
      <c r="D3" s="594"/>
      <c r="E3" s="594"/>
      <c r="F3" s="594"/>
      <c r="G3" s="541" t="s">
        <v>837</v>
      </c>
      <c r="H3" s="541"/>
      <c r="I3" s="541"/>
    </row>
    <row r="4" spans="1:9" x14ac:dyDescent="0.25">
      <c r="A4" s="167"/>
    </row>
    <row r="5" spans="1:9" ht="22.5" customHeight="1" x14ac:dyDescent="0.25">
      <c r="A5" s="592" t="s">
        <v>23</v>
      </c>
      <c r="B5" s="591" t="s">
        <v>27</v>
      </c>
      <c r="C5" s="591"/>
      <c r="D5" s="592" t="s">
        <v>24</v>
      </c>
      <c r="E5" s="592" t="s">
        <v>25</v>
      </c>
      <c r="F5" s="592" t="s">
        <v>26</v>
      </c>
    </row>
    <row r="6" spans="1:9" ht="26.25" customHeight="1" x14ac:dyDescent="0.25">
      <c r="A6" s="593"/>
      <c r="B6" s="169" t="s">
        <v>28</v>
      </c>
      <c r="C6" s="169" t="s">
        <v>29</v>
      </c>
      <c r="D6" s="593"/>
      <c r="E6" s="593"/>
      <c r="F6" s="593"/>
    </row>
    <row r="7" spans="1:9" x14ac:dyDescent="0.25">
      <c r="A7" s="170" t="s">
        <v>5</v>
      </c>
      <c r="F7" s="171"/>
    </row>
    <row r="8" spans="1:9" x14ac:dyDescent="0.25">
      <c r="A8" s="170" t="s">
        <v>482</v>
      </c>
      <c r="D8" s="171"/>
    </row>
    <row r="9" spans="1:9" x14ac:dyDescent="0.25">
      <c r="A9" s="172" t="s">
        <v>483</v>
      </c>
      <c r="B9" s="166"/>
      <c r="C9" s="166"/>
      <c r="D9" s="173"/>
      <c r="E9" s="173"/>
      <c r="F9" s="173"/>
    </row>
    <row r="10" spans="1:9" ht="31.5" x14ac:dyDescent="0.25">
      <c r="A10" s="537" t="s">
        <v>501</v>
      </c>
      <c r="B10" s="538"/>
      <c r="C10" s="538"/>
      <c r="D10" s="539">
        <f>+B10-C10</f>
        <v>0</v>
      </c>
      <c r="E10" s="538"/>
      <c r="F10" s="538">
        <f>+C10-E10</f>
        <v>0</v>
      </c>
    </row>
    <row r="11" spans="1:9" x14ac:dyDescent="0.25">
      <c r="A11" s="172" t="s">
        <v>500</v>
      </c>
      <c r="B11" s="542">
        <v>274000000</v>
      </c>
      <c r="C11" s="542">
        <v>274000000</v>
      </c>
      <c r="D11" s="543">
        <f t="shared" ref="D11:D15" si="0">+B11-C11</f>
        <v>0</v>
      </c>
      <c r="E11" s="542">
        <v>170205616</v>
      </c>
      <c r="F11" s="542">
        <f t="shared" ref="F11:F15" si="1">+C11-E11</f>
        <v>103794384</v>
      </c>
    </row>
    <row r="12" spans="1:9" x14ac:dyDescent="0.25">
      <c r="A12" s="172" t="s">
        <v>498</v>
      </c>
      <c r="B12" s="542">
        <v>215680000</v>
      </c>
      <c r="C12" s="542">
        <v>215680000</v>
      </c>
      <c r="D12" s="543">
        <f t="shared" si="0"/>
        <v>0</v>
      </c>
      <c r="E12" s="545">
        <v>296068960</v>
      </c>
      <c r="F12" s="545">
        <f t="shared" si="1"/>
        <v>-80388960</v>
      </c>
    </row>
    <row r="13" spans="1:9" x14ac:dyDescent="0.25">
      <c r="A13" s="537" t="s">
        <v>499</v>
      </c>
      <c r="B13" s="538">
        <v>56000000</v>
      </c>
      <c r="C13" s="538">
        <v>56000000</v>
      </c>
      <c r="D13" s="539">
        <f t="shared" si="0"/>
        <v>0</v>
      </c>
      <c r="E13" s="538">
        <v>9639207</v>
      </c>
      <c r="F13" s="538">
        <f t="shared" si="1"/>
        <v>46360793</v>
      </c>
    </row>
    <row r="14" spans="1:9" x14ac:dyDescent="0.25">
      <c r="A14" s="172" t="s">
        <v>484</v>
      </c>
      <c r="B14" s="545">
        <v>25000000</v>
      </c>
      <c r="C14" s="545">
        <v>25000000</v>
      </c>
      <c r="D14" s="546">
        <f t="shared" si="0"/>
        <v>0</v>
      </c>
      <c r="E14" s="545">
        <v>18928220</v>
      </c>
      <c r="F14" s="545">
        <f t="shared" si="1"/>
        <v>6071780</v>
      </c>
    </row>
    <row r="15" spans="1:9" x14ac:dyDescent="0.25">
      <c r="A15" s="537" t="s">
        <v>30</v>
      </c>
      <c r="B15" s="538">
        <v>113000000</v>
      </c>
      <c r="C15" s="538">
        <v>113000000</v>
      </c>
      <c r="D15" s="539">
        <f t="shared" si="0"/>
        <v>0</v>
      </c>
      <c r="E15" s="538">
        <v>108307708</v>
      </c>
      <c r="F15" s="538">
        <f t="shared" si="1"/>
        <v>4692292</v>
      </c>
    </row>
    <row r="16" spans="1:9" x14ac:dyDescent="0.25">
      <c r="A16" s="174" t="s">
        <v>31</v>
      </c>
      <c r="B16" s="161">
        <f>+SUM(B10:B15)</f>
        <v>683680000</v>
      </c>
      <c r="C16" s="161">
        <f t="shared" ref="C16:E16" si="2">+SUM(C10:C15)</f>
        <v>683680000</v>
      </c>
      <c r="D16" s="161">
        <f t="shared" si="2"/>
        <v>0</v>
      </c>
      <c r="E16" s="161">
        <f t="shared" si="2"/>
        <v>603149711</v>
      </c>
      <c r="F16" s="161">
        <f>+SUM(F10:F15)</f>
        <v>80530289</v>
      </c>
    </row>
    <row r="17" spans="1:6" x14ac:dyDescent="0.25">
      <c r="A17" s="175" t="s">
        <v>485</v>
      </c>
      <c r="B17" s="166"/>
      <c r="C17" s="166"/>
      <c r="D17" s="173"/>
      <c r="E17" s="166"/>
      <c r="F17" s="173"/>
    </row>
    <row r="18" spans="1:6" x14ac:dyDescent="0.25">
      <c r="A18" s="175" t="s">
        <v>486</v>
      </c>
      <c r="B18" s="545">
        <v>36170000</v>
      </c>
      <c r="C18" s="545">
        <v>36170000</v>
      </c>
      <c r="D18" s="546">
        <f t="shared" ref="D18:D20" si="3">+B18-C18</f>
        <v>0</v>
      </c>
      <c r="E18" s="545">
        <v>29824977</v>
      </c>
      <c r="F18" s="545">
        <f>+C18-E18</f>
        <v>6345023</v>
      </c>
    </row>
    <row r="19" spans="1:6" x14ac:dyDescent="0.25">
      <c r="A19" s="175" t="s">
        <v>487</v>
      </c>
      <c r="B19" s="545">
        <v>148492190</v>
      </c>
      <c r="C19" s="545">
        <v>148492190</v>
      </c>
      <c r="D19" s="546">
        <f t="shared" si="3"/>
        <v>0</v>
      </c>
      <c r="E19" s="545">
        <v>95054652</v>
      </c>
      <c r="F19" s="545">
        <f t="shared" ref="F19:F20" si="4">+C19-E19</f>
        <v>53437538</v>
      </c>
    </row>
    <row r="20" spans="1:6" x14ac:dyDescent="0.25">
      <c r="A20" s="175" t="s">
        <v>488</v>
      </c>
      <c r="B20" s="542">
        <v>18527000</v>
      </c>
      <c r="C20" s="542">
        <v>18527000</v>
      </c>
      <c r="D20" s="543">
        <f t="shared" si="3"/>
        <v>0</v>
      </c>
      <c r="E20" s="542">
        <v>33682092</v>
      </c>
      <c r="F20" s="542">
        <f t="shared" si="4"/>
        <v>-15155092</v>
      </c>
    </row>
    <row r="21" spans="1:6" x14ac:dyDescent="0.25">
      <c r="A21" s="174" t="s">
        <v>32</v>
      </c>
      <c r="B21" s="161">
        <f>+SUM(B18:B20)</f>
        <v>203189190</v>
      </c>
      <c r="C21" s="161">
        <f t="shared" ref="C21:F21" si="5">+SUM(C18:C20)</f>
        <v>203189190</v>
      </c>
      <c r="D21" s="161">
        <f t="shared" si="5"/>
        <v>0</v>
      </c>
      <c r="E21" s="161">
        <f t="shared" si="5"/>
        <v>158561721</v>
      </c>
      <c r="F21" s="161">
        <f t="shared" si="5"/>
        <v>44627469</v>
      </c>
    </row>
    <row r="22" spans="1:6" x14ac:dyDescent="0.25">
      <c r="A22" s="170" t="s">
        <v>491</v>
      </c>
      <c r="B22" s="166"/>
      <c r="C22" s="166"/>
      <c r="D22" s="173"/>
      <c r="E22" s="166"/>
      <c r="F22" s="173"/>
    </row>
    <row r="23" spans="1:6" ht="31.5" x14ac:dyDescent="0.25">
      <c r="A23" s="175" t="s">
        <v>489</v>
      </c>
      <c r="B23" s="542">
        <v>720748004</v>
      </c>
      <c r="C23" s="542">
        <v>720748004</v>
      </c>
      <c r="D23" s="543">
        <f t="shared" ref="D23:D32" si="6">+B23-C23</f>
        <v>0</v>
      </c>
      <c r="E23" s="542">
        <v>716974452</v>
      </c>
      <c r="F23" s="542">
        <f>+C23-E23</f>
        <v>3773552</v>
      </c>
    </row>
    <row r="24" spans="1:6" x14ac:dyDescent="0.25">
      <c r="A24" s="175" t="s">
        <v>492</v>
      </c>
      <c r="B24" s="542">
        <v>3000000</v>
      </c>
      <c r="C24" s="542">
        <v>3000000</v>
      </c>
      <c r="D24" s="543">
        <f t="shared" si="6"/>
        <v>0</v>
      </c>
      <c r="E24" s="542">
        <v>1138520</v>
      </c>
      <c r="F24" s="542">
        <f t="shared" ref="F24:F32" si="7">+C24-E24</f>
        <v>1861480</v>
      </c>
    </row>
    <row r="25" spans="1:6" x14ac:dyDescent="0.25">
      <c r="A25" s="176" t="s">
        <v>493</v>
      </c>
      <c r="B25" s="166">
        <v>0</v>
      </c>
      <c r="C25" s="166">
        <v>0</v>
      </c>
      <c r="D25" s="173">
        <f t="shared" si="6"/>
        <v>0</v>
      </c>
      <c r="E25" s="166">
        <v>1759981</v>
      </c>
      <c r="F25" s="166">
        <f t="shared" si="7"/>
        <v>-1759981</v>
      </c>
    </row>
    <row r="26" spans="1:6" ht="31.5" x14ac:dyDescent="0.25">
      <c r="A26" s="175" t="s">
        <v>494</v>
      </c>
      <c r="B26" s="166">
        <v>0</v>
      </c>
      <c r="C26" s="166">
        <v>0</v>
      </c>
      <c r="D26" s="173">
        <f t="shared" si="6"/>
        <v>0</v>
      </c>
      <c r="E26" s="166"/>
      <c r="F26" s="166">
        <f t="shared" si="7"/>
        <v>0</v>
      </c>
    </row>
    <row r="27" spans="1:6" x14ac:dyDescent="0.25">
      <c r="A27" s="175" t="s">
        <v>495</v>
      </c>
      <c r="B27" s="166">
        <f>+SUM(B28:B32)</f>
        <v>0</v>
      </c>
      <c r="C27" s="166">
        <f t="shared" ref="C27:D27" si="8">+SUM(C28:C32)</f>
        <v>0</v>
      </c>
      <c r="D27" s="166">
        <f t="shared" si="8"/>
        <v>0</v>
      </c>
      <c r="E27" s="166">
        <f>+SUM(E28:E32)</f>
        <v>397022478</v>
      </c>
      <c r="F27" s="166">
        <f>+SUM(F28:F32)</f>
        <v>-397022478</v>
      </c>
    </row>
    <row r="28" spans="1:6" x14ac:dyDescent="0.25">
      <c r="A28" s="547" t="s">
        <v>33</v>
      </c>
      <c r="B28" s="538">
        <v>0</v>
      </c>
      <c r="C28" s="538">
        <v>0</v>
      </c>
      <c r="D28" s="539">
        <f t="shared" si="6"/>
        <v>0</v>
      </c>
      <c r="E28" s="538">
        <v>116550</v>
      </c>
      <c r="F28" s="538">
        <f t="shared" si="7"/>
        <v>-116550</v>
      </c>
    </row>
    <row r="29" spans="1:6" x14ac:dyDescent="0.25">
      <c r="A29" s="547" t="s">
        <v>34</v>
      </c>
      <c r="B29" s="538">
        <v>0</v>
      </c>
      <c r="C29" s="538">
        <v>0</v>
      </c>
      <c r="D29" s="539">
        <f t="shared" si="6"/>
        <v>0</v>
      </c>
      <c r="E29" s="538">
        <v>237258893</v>
      </c>
      <c r="F29" s="538">
        <f t="shared" si="7"/>
        <v>-237258893</v>
      </c>
    </row>
    <row r="30" spans="1:6" x14ac:dyDescent="0.25">
      <c r="A30" s="547" t="s">
        <v>35</v>
      </c>
      <c r="B30" s="538">
        <v>0</v>
      </c>
      <c r="C30" s="538">
        <v>0</v>
      </c>
      <c r="D30" s="539">
        <f t="shared" si="6"/>
        <v>0</v>
      </c>
      <c r="E30" s="538">
        <v>22000</v>
      </c>
      <c r="F30" s="538">
        <f t="shared" si="7"/>
        <v>-22000</v>
      </c>
    </row>
    <row r="31" spans="1:6" x14ac:dyDescent="0.25">
      <c r="A31" s="547" t="s">
        <v>36</v>
      </c>
      <c r="B31" s="538">
        <v>0</v>
      </c>
      <c r="C31" s="538">
        <v>0</v>
      </c>
      <c r="D31" s="539">
        <f t="shared" si="6"/>
        <v>0</v>
      </c>
      <c r="E31" s="538">
        <v>159442270</v>
      </c>
      <c r="F31" s="538">
        <f t="shared" si="7"/>
        <v>-159442270</v>
      </c>
    </row>
    <row r="32" spans="1:6" x14ac:dyDescent="0.25">
      <c r="A32" s="547" t="s">
        <v>37</v>
      </c>
      <c r="B32" s="538">
        <v>0</v>
      </c>
      <c r="C32" s="538">
        <v>0</v>
      </c>
      <c r="D32" s="539">
        <f t="shared" si="6"/>
        <v>0</v>
      </c>
      <c r="E32" s="538">
        <v>182765</v>
      </c>
      <c r="F32" s="538">
        <f t="shared" si="7"/>
        <v>-182765</v>
      </c>
    </row>
    <row r="33" spans="1:6" ht="16.5" thickBot="1" x14ac:dyDescent="0.3">
      <c r="A33" s="177" t="s">
        <v>38</v>
      </c>
      <c r="B33" s="548">
        <f>+B16+B21+B23+B24+B26+B27+B25</f>
        <v>1610617194</v>
      </c>
      <c r="C33" s="548">
        <f t="shared" ref="C33:D33" si="9">+C16+C21+C23+C24+C26+C27+C25</f>
        <v>1610617194</v>
      </c>
      <c r="D33" s="548">
        <f t="shared" si="9"/>
        <v>0</v>
      </c>
      <c r="E33" s="548">
        <f>+E16+E21+E23+E24+E26+E27+E25</f>
        <v>1878606863</v>
      </c>
      <c r="F33" s="548">
        <f>+F16+F21+F23+F24+F26+F27+F25</f>
        <v>-267989669</v>
      </c>
    </row>
    <row r="34" spans="1:6" ht="16.5" thickTop="1" x14ac:dyDescent="0.25">
      <c r="A34" s="170" t="s">
        <v>39</v>
      </c>
      <c r="B34" s="166"/>
      <c r="C34" s="166"/>
      <c r="D34" s="173"/>
      <c r="E34" s="173"/>
      <c r="F34" s="173"/>
    </row>
    <row r="35" spans="1:6" x14ac:dyDescent="0.25">
      <c r="A35" s="170" t="s">
        <v>40</v>
      </c>
      <c r="B35" s="166"/>
      <c r="C35" s="166"/>
      <c r="D35" s="173"/>
      <c r="E35" s="173"/>
      <c r="F35" s="173"/>
    </row>
    <row r="36" spans="1:6" s="208" customFormat="1" x14ac:dyDescent="0.25">
      <c r="A36" s="205" t="s">
        <v>41</v>
      </c>
      <c r="B36" s="542">
        <v>218682473</v>
      </c>
      <c r="C36" s="542">
        <v>244152189</v>
      </c>
      <c r="D36" s="543">
        <f t="shared" ref="D36:D75" si="10">+B36-C36</f>
        <v>-25469716</v>
      </c>
      <c r="E36" s="542">
        <v>172209354</v>
      </c>
      <c r="F36" s="542">
        <f t="shared" ref="F36:F75" si="11">+C36-E36</f>
        <v>71942835</v>
      </c>
    </row>
    <row r="37" spans="1:6" s="212" customFormat="1" x14ac:dyDescent="0.25">
      <c r="A37" s="209" t="s">
        <v>42</v>
      </c>
      <c r="B37" s="542">
        <v>481792041</v>
      </c>
      <c r="C37" s="542">
        <v>604021675</v>
      </c>
      <c r="D37" s="543">
        <f t="shared" si="10"/>
        <v>-122229634</v>
      </c>
      <c r="E37" s="542">
        <v>495344440</v>
      </c>
      <c r="F37" s="542">
        <f t="shared" si="11"/>
        <v>108677235</v>
      </c>
    </row>
    <row r="38" spans="1:6" s="219" customFormat="1" x14ac:dyDescent="0.25">
      <c r="A38" s="216" t="s">
        <v>43</v>
      </c>
      <c r="B38" s="542">
        <v>7907969</v>
      </c>
      <c r="C38" s="542">
        <v>5762894</v>
      </c>
      <c r="D38" s="543">
        <f t="shared" si="10"/>
        <v>2145075</v>
      </c>
      <c r="E38" s="542">
        <v>2072309</v>
      </c>
      <c r="F38" s="542">
        <f t="shared" si="11"/>
        <v>3690585</v>
      </c>
    </row>
    <row r="39" spans="1:6" x14ac:dyDescent="0.25">
      <c r="A39" s="170" t="s">
        <v>44</v>
      </c>
      <c r="B39" s="166"/>
      <c r="C39" s="166"/>
      <c r="D39" s="173">
        <f t="shared" si="10"/>
        <v>0</v>
      </c>
      <c r="E39" s="166"/>
      <c r="F39" s="166">
        <f t="shared" si="11"/>
        <v>0</v>
      </c>
    </row>
    <row r="40" spans="1:6" s="208" customFormat="1" x14ac:dyDescent="0.25">
      <c r="A40" s="205" t="s">
        <v>41</v>
      </c>
      <c r="B40" s="545">
        <v>18456711</v>
      </c>
      <c r="C40" s="545">
        <v>19177332</v>
      </c>
      <c r="D40" s="546">
        <f t="shared" si="10"/>
        <v>-720621</v>
      </c>
      <c r="E40" s="545">
        <v>9892404</v>
      </c>
      <c r="F40" s="545">
        <f t="shared" si="11"/>
        <v>9284928</v>
      </c>
    </row>
    <row r="41" spans="1:6" s="212" customFormat="1" x14ac:dyDescent="0.25">
      <c r="A41" s="209" t="s">
        <v>42</v>
      </c>
      <c r="B41" s="545">
        <v>113047721</v>
      </c>
      <c r="C41" s="545">
        <v>153659629</v>
      </c>
      <c r="D41" s="546">
        <f t="shared" si="10"/>
        <v>-40611908</v>
      </c>
      <c r="E41" s="545">
        <v>118251552</v>
      </c>
      <c r="F41" s="545">
        <f t="shared" si="11"/>
        <v>35408077</v>
      </c>
    </row>
    <row r="42" spans="1:6" s="219" customFormat="1" x14ac:dyDescent="0.25">
      <c r="A42" s="216" t="s">
        <v>43</v>
      </c>
      <c r="B42" s="545">
        <v>43804368</v>
      </c>
      <c r="C42" s="545">
        <v>22198896</v>
      </c>
      <c r="D42" s="546">
        <f t="shared" si="10"/>
        <v>21605472</v>
      </c>
      <c r="E42" s="545">
        <v>10105000</v>
      </c>
      <c r="F42" s="545">
        <f t="shared" si="11"/>
        <v>12093896</v>
      </c>
    </row>
    <row r="43" spans="1:6" x14ac:dyDescent="0.25">
      <c r="A43" s="170" t="s">
        <v>45</v>
      </c>
      <c r="B43" s="166"/>
      <c r="C43" s="166"/>
      <c r="D43" s="173">
        <f t="shared" si="10"/>
        <v>0</v>
      </c>
      <c r="E43" s="166"/>
      <c r="F43" s="166">
        <f t="shared" si="11"/>
        <v>0</v>
      </c>
    </row>
    <row r="44" spans="1:6" s="208" customFormat="1" x14ac:dyDescent="0.25">
      <c r="A44" s="205" t="s">
        <v>41</v>
      </c>
      <c r="B44" s="545">
        <v>120070311</v>
      </c>
      <c r="C44" s="545">
        <v>119160005</v>
      </c>
      <c r="D44" s="546">
        <f t="shared" si="10"/>
        <v>910306</v>
      </c>
      <c r="E44" s="545">
        <v>94088937</v>
      </c>
      <c r="F44" s="545">
        <f t="shared" si="11"/>
        <v>25071068</v>
      </c>
    </row>
    <row r="45" spans="1:6" s="212" customFormat="1" x14ac:dyDescent="0.25">
      <c r="A45" s="209" t="s">
        <v>42</v>
      </c>
      <c r="B45" s="545">
        <v>183313900</v>
      </c>
      <c r="C45" s="545">
        <v>213607612</v>
      </c>
      <c r="D45" s="546">
        <f t="shared" si="10"/>
        <v>-30293712</v>
      </c>
      <c r="E45" s="545">
        <v>135533318</v>
      </c>
      <c r="F45" s="545">
        <f t="shared" si="11"/>
        <v>78074294</v>
      </c>
    </row>
    <row r="46" spans="1:6" s="219" customFormat="1" x14ac:dyDescent="0.25">
      <c r="A46" s="216" t="s">
        <v>43</v>
      </c>
      <c r="B46" s="545">
        <v>20000</v>
      </c>
      <c r="C46" s="545">
        <v>20000</v>
      </c>
      <c r="D46" s="546">
        <f t="shared" si="10"/>
        <v>0</v>
      </c>
      <c r="E46" s="545"/>
      <c r="F46" s="545">
        <f t="shared" si="11"/>
        <v>20000</v>
      </c>
    </row>
    <row r="47" spans="1:6" x14ac:dyDescent="0.25">
      <c r="A47" s="170" t="s">
        <v>46</v>
      </c>
      <c r="B47" s="166"/>
      <c r="C47" s="166"/>
      <c r="D47" s="173">
        <f>+B47-C47</f>
        <v>0</v>
      </c>
      <c r="E47" s="166"/>
      <c r="F47" s="166">
        <f t="shared" si="11"/>
        <v>0</v>
      </c>
    </row>
    <row r="48" spans="1:6" s="208" customFormat="1" x14ac:dyDescent="0.25">
      <c r="A48" s="205" t="s">
        <v>41</v>
      </c>
      <c r="B48" s="542">
        <v>15568618</v>
      </c>
      <c r="C48" s="542">
        <v>16119800</v>
      </c>
      <c r="D48" s="543">
        <f t="shared" si="10"/>
        <v>-551182</v>
      </c>
      <c r="E48" s="542">
        <v>11137748</v>
      </c>
      <c r="F48" s="542">
        <f t="shared" si="11"/>
        <v>4982052</v>
      </c>
    </row>
    <row r="49" spans="1:6" s="212" customFormat="1" x14ac:dyDescent="0.25">
      <c r="A49" s="209" t="s">
        <v>42</v>
      </c>
      <c r="B49" s="542">
        <v>90105743</v>
      </c>
      <c r="C49" s="542">
        <v>118909743</v>
      </c>
      <c r="D49" s="543">
        <f t="shared" si="10"/>
        <v>-28804000</v>
      </c>
      <c r="E49" s="542">
        <v>66393846</v>
      </c>
      <c r="F49" s="542">
        <f t="shared" si="11"/>
        <v>52515897</v>
      </c>
    </row>
    <row r="50" spans="1:6" s="219" customFormat="1" x14ac:dyDescent="0.25">
      <c r="A50" s="216" t="s">
        <v>43</v>
      </c>
      <c r="B50" s="542">
        <v>1886000</v>
      </c>
      <c r="C50" s="542">
        <v>1850000</v>
      </c>
      <c r="D50" s="543">
        <f t="shared" si="10"/>
        <v>36000</v>
      </c>
      <c r="E50" s="542">
        <v>353400</v>
      </c>
      <c r="F50" s="542">
        <f t="shared" si="11"/>
        <v>1496600</v>
      </c>
    </row>
    <row r="51" spans="1:6" x14ac:dyDescent="0.25">
      <c r="A51" s="170" t="s">
        <v>47</v>
      </c>
      <c r="B51" s="166"/>
      <c r="C51" s="166"/>
      <c r="D51" s="173">
        <f t="shared" si="10"/>
        <v>0</v>
      </c>
      <c r="E51" s="166"/>
      <c r="F51" s="166">
        <f t="shared" si="11"/>
        <v>0</v>
      </c>
    </row>
    <row r="52" spans="1:6" s="208" customFormat="1" x14ac:dyDescent="0.25">
      <c r="A52" s="205" t="s">
        <v>41</v>
      </c>
      <c r="B52" s="542">
        <v>41663409</v>
      </c>
      <c r="C52" s="542">
        <v>41775472</v>
      </c>
      <c r="D52" s="543">
        <f t="shared" si="10"/>
        <v>-112063</v>
      </c>
      <c r="E52" s="542">
        <v>25686636</v>
      </c>
      <c r="F52" s="542">
        <f t="shared" si="11"/>
        <v>16088836</v>
      </c>
    </row>
    <row r="53" spans="1:6" s="212" customFormat="1" x14ac:dyDescent="0.25">
      <c r="A53" s="209" t="s">
        <v>42</v>
      </c>
      <c r="B53" s="542">
        <v>88087420</v>
      </c>
      <c r="C53" s="542">
        <v>97107420</v>
      </c>
      <c r="D53" s="543">
        <f t="shared" si="10"/>
        <v>-9020000</v>
      </c>
      <c r="E53" s="542">
        <v>61296889</v>
      </c>
      <c r="F53" s="542">
        <f t="shared" si="11"/>
        <v>35810531</v>
      </c>
    </row>
    <row r="54" spans="1:6" s="219" customFormat="1" x14ac:dyDescent="0.25">
      <c r="A54" s="216" t="s">
        <v>43</v>
      </c>
      <c r="B54" s="542">
        <v>15320000</v>
      </c>
      <c r="C54" s="542">
        <v>19997967</v>
      </c>
      <c r="D54" s="543">
        <f t="shared" si="10"/>
        <v>-4677967</v>
      </c>
      <c r="E54" s="542">
        <v>3345740</v>
      </c>
      <c r="F54" s="542">
        <f t="shared" si="11"/>
        <v>16652227</v>
      </c>
    </row>
    <row r="55" spans="1:6" x14ac:dyDescent="0.25">
      <c r="A55" s="170" t="s">
        <v>48</v>
      </c>
      <c r="B55" s="173"/>
      <c r="C55" s="166"/>
      <c r="D55" s="173">
        <f t="shared" si="10"/>
        <v>0</v>
      </c>
      <c r="E55" s="166"/>
      <c r="F55" s="166">
        <f t="shared" si="11"/>
        <v>0</v>
      </c>
    </row>
    <row r="56" spans="1:6" x14ac:dyDescent="0.25">
      <c r="A56" s="178" t="s">
        <v>490</v>
      </c>
      <c r="B56" s="173"/>
      <c r="C56" s="166"/>
      <c r="D56" s="173">
        <f t="shared" si="10"/>
        <v>0</v>
      </c>
      <c r="E56" s="166"/>
      <c r="F56" s="166">
        <f t="shared" si="11"/>
        <v>0</v>
      </c>
    </row>
    <row r="57" spans="1:6" x14ac:dyDescent="0.25">
      <c r="A57" s="170" t="s">
        <v>49</v>
      </c>
      <c r="B57" s="179"/>
      <c r="C57" s="179"/>
      <c r="D57" s="173">
        <f t="shared" si="10"/>
        <v>0</v>
      </c>
      <c r="E57" s="166"/>
      <c r="F57" s="166">
        <f t="shared" si="11"/>
        <v>0</v>
      </c>
    </row>
    <row r="58" spans="1:6" x14ac:dyDescent="0.25">
      <c r="A58" s="176" t="s">
        <v>50</v>
      </c>
      <c r="B58" s="546">
        <f>84530000+20000</f>
        <v>84550000</v>
      </c>
      <c r="C58" s="545">
        <f>95030000+20000</f>
        <v>95050000</v>
      </c>
      <c r="D58" s="546">
        <f t="shared" si="10"/>
        <v>-10500000</v>
      </c>
      <c r="E58" s="545">
        <f>80022807+3600</f>
        <v>80026407</v>
      </c>
      <c r="F58" s="545">
        <f t="shared" si="11"/>
        <v>15023593</v>
      </c>
    </row>
    <row r="59" spans="1:6" x14ac:dyDescent="0.25">
      <c r="A59" s="170" t="s">
        <v>51</v>
      </c>
      <c r="B59" s="173"/>
      <c r="C59" s="166"/>
      <c r="D59" s="173">
        <f t="shared" si="10"/>
        <v>0</v>
      </c>
      <c r="E59" s="166"/>
      <c r="F59" s="166">
        <f t="shared" si="11"/>
        <v>0</v>
      </c>
    </row>
    <row r="60" spans="1:6" s="212" customFormat="1" x14ac:dyDescent="0.25">
      <c r="A60" s="209" t="s">
        <v>42</v>
      </c>
      <c r="B60" s="210">
        <v>12040689</v>
      </c>
      <c r="C60" s="210">
        <v>59502213</v>
      </c>
      <c r="D60" s="211">
        <f t="shared" si="10"/>
        <v>-47461524</v>
      </c>
      <c r="E60" s="210">
        <v>33393832</v>
      </c>
      <c r="F60" s="210">
        <f t="shared" si="11"/>
        <v>26108381</v>
      </c>
    </row>
    <row r="61" spans="1:6" s="219" customFormat="1" x14ac:dyDescent="0.25">
      <c r="A61" s="216" t="s">
        <v>43</v>
      </c>
      <c r="B61" s="217">
        <v>63004113</v>
      </c>
      <c r="C61" s="217">
        <v>15542589</v>
      </c>
      <c r="D61" s="218">
        <f t="shared" si="10"/>
        <v>47461524</v>
      </c>
      <c r="E61" s="217">
        <v>2747711</v>
      </c>
      <c r="F61" s="217">
        <f t="shared" si="11"/>
        <v>12794878</v>
      </c>
    </row>
    <row r="62" spans="1:6" x14ac:dyDescent="0.25">
      <c r="A62" s="170" t="s">
        <v>52</v>
      </c>
      <c r="B62" s="173"/>
      <c r="C62" s="166"/>
      <c r="D62" s="173">
        <f t="shared" si="10"/>
        <v>0</v>
      </c>
      <c r="E62" s="166"/>
      <c r="F62" s="166">
        <f t="shared" si="11"/>
        <v>0</v>
      </c>
    </row>
    <row r="63" spans="1:6" s="212" customFormat="1" x14ac:dyDescent="0.25">
      <c r="A63" s="209" t="s">
        <v>42</v>
      </c>
      <c r="B63" s="211"/>
      <c r="C63" s="210">
        <v>12557252</v>
      </c>
      <c r="D63" s="211">
        <f t="shared" si="10"/>
        <v>-12557252</v>
      </c>
      <c r="E63" s="210">
        <v>10196213</v>
      </c>
      <c r="F63" s="210">
        <f t="shared" si="11"/>
        <v>2361039</v>
      </c>
    </row>
    <row r="64" spans="1:6" s="219" customFormat="1" x14ac:dyDescent="0.25">
      <c r="A64" s="216" t="s">
        <v>43</v>
      </c>
      <c r="B64" s="217">
        <v>88149601</v>
      </c>
      <c r="C64" s="217">
        <v>75592349</v>
      </c>
      <c r="D64" s="218">
        <f t="shared" si="10"/>
        <v>12557252</v>
      </c>
      <c r="E64" s="217">
        <v>13194913</v>
      </c>
      <c r="F64" s="217">
        <f t="shared" si="11"/>
        <v>62397436</v>
      </c>
    </row>
    <row r="65" spans="1:6" x14ac:dyDescent="0.25">
      <c r="A65" s="170" t="s">
        <v>503</v>
      </c>
      <c r="B65" s="166"/>
      <c r="C65" s="166"/>
      <c r="D65" s="173"/>
      <c r="E65" s="166"/>
      <c r="F65" s="166"/>
    </row>
    <row r="66" spans="1:6" s="212" customFormat="1" x14ac:dyDescent="0.25">
      <c r="A66" s="209" t="s">
        <v>42</v>
      </c>
      <c r="B66" s="210"/>
      <c r="C66" s="210">
        <v>57076971</v>
      </c>
      <c r="D66" s="211">
        <f t="shared" ref="D66:D67" si="12">+B66-C66</f>
        <v>-57076971</v>
      </c>
      <c r="E66" s="210">
        <v>43391296</v>
      </c>
      <c r="F66" s="210">
        <f t="shared" ref="F66:F67" si="13">+C66-E66</f>
        <v>13685675</v>
      </c>
    </row>
    <row r="67" spans="1:6" s="219" customFormat="1" x14ac:dyDescent="0.25">
      <c r="A67" s="216" t="s">
        <v>43</v>
      </c>
      <c r="B67" s="217"/>
      <c r="C67" s="217">
        <v>2670900</v>
      </c>
      <c r="D67" s="218">
        <f t="shared" si="12"/>
        <v>-2670900</v>
      </c>
      <c r="E67" s="217">
        <v>2663300</v>
      </c>
      <c r="F67" s="217">
        <f t="shared" si="13"/>
        <v>7600</v>
      </c>
    </row>
    <row r="68" spans="1:6" x14ac:dyDescent="0.25">
      <c r="A68" s="170" t="s">
        <v>53</v>
      </c>
      <c r="B68" s="166"/>
      <c r="C68" s="166"/>
      <c r="D68" s="173">
        <f t="shared" si="10"/>
        <v>0</v>
      </c>
      <c r="E68" s="166"/>
      <c r="F68" s="166">
        <f t="shared" si="11"/>
        <v>0</v>
      </c>
    </row>
    <row r="69" spans="1:6" s="208" customFormat="1" x14ac:dyDescent="0.25">
      <c r="A69" s="205" t="s">
        <v>41</v>
      </c>
      <c r="B69" s="206">
        <v>4089616</v>
      </c>
      <c r="C69" s="206">
        <v>4197124</v>
      </c>
      <c r="D69" s="207">
        <f t="shared" si="10"/>
        <v>-107508</v>
      </c>
      <c r="E69" s="206">
        <v>1951716</v>
      </c>
      <c r="F69" s="206">
        <f t="shared" si="11"/>
        <v>2245408</v>
      </c>
    </row>
    <row r="70" spans="1:6" s="212" customFormat="1" x14ac:dyDescent="0.25">
      <c r="A70" s="209" t="s">
        <v>42</v>
      </c>
      <c r="B70" s="210">
        <v>3764760</v>
      </c>
      <c r="C70" s="210">
        <v>1400760</v>
      </c>
      <c r="D70" s="211">
        <f t="shared" si="10"/>
        <v>2364000</v>
      </c>
      <c r="E70" s="210">
        <v>1023130</v>
      </c>
      <c r="F70" s="210">
        <f t="shared" si="11"/>
        <v>377630</v>
      </c>
    </row>
    <row r="71" spans="1:6" s="219" customFormat="1" x14ac:dyDescent="0.25">
      <c r="A71" s="216" t="s">
        <v>43</v>
      </c>
      <c r="B71" s="217"/>
      <c r="C71" s="217"/>
      <c r="D71" s="218">
        <f t="shared" si="10"/>
        <v>0</v>
      </c>
      <c r="E71" s="217"/>
      <c r="F71" s="217">
        <f t="shared" si="11"/>
        <v>0</v>
      </c>
    </row>
    <row r="72" spans="1:6" x14ac:dyDescent="0.25">
      <c r="A72" s="170" t="s">
        <v>54</v>
      </c>
      <c r="B72" s="166"/>
      <c r="C72" s="166"/>
      <c r="D72" s="173">
        <f t="shared" si="10"/>
        <v>0</v>
      </c>
      <c r="E72" s="166"/>
      <c r="F72" s="166">
        <f t="shared" si="11"/>
        <v>0</v>
      </c>
    </row>
    <row r="73" spans="1:6" s="208" customFormat="1" x14ac:dyDescent="0.25">
      <c r="A73" s="205" t="s">
        <v>41</v>
      </c>
      <c r="B73" s="206">
        <v>14300000</v>
      </c>
      <c r="C73" s="206">
        <v>18051348</v>
      </c>
      <c r="D73" s="207">
        <f t="shared" si="10"/>
        <v>-3751348</v>
      </c>
      <c r="E73" s="206">
        <v>13386086</v>
      </c>
      <c r="F73" s="206">
        <f t="shared" si="11"/>
        <v>4665262</v>
      </c>
    </row>
    <row r="74" spans="1:6" s="212" customFormat="1" x14ac:dyDescent="0.25">
      <c r="A74" s="209" t="s">
        <v>42</v>
      </c>
      <c r="B74" s="210">
        <v>32341150</v>
      </c>
      <c r="C74" s="210">
        <v>38341150</v>
      </c>
      <c r="D74" s="211">
        <f t="shared" si="10"/>
        <v>-6000000</v>
      </c>
      <c r="E74" s="210">
        <v>38255000</v>
      </c>
      <c r="F74" s="210">
        <f t="shared" si="11"/>
        <v>86150</v>
      </c>
    </row>
    <row r="75" spans="1:6" s="219" customFormat="1" x14ac:dyDescent="0.25">
      <c r="A75" s="216" t="s">
        <v>43</v>
      </c>
      <c r="B75" s="220"/>
      <c r="C75" s="220"/>
      <c r="D75" s="218">
        <f t="shared" si="10"/>
        <v>0</v>
      </c>
      <c r="E75" s="217"/>
      <c r="F75" s="217">
        <f t="shared" si="11"/>
        <v>0</v>
      </c>
    </row>
    <row r="76" spans="1:6" x14ac:dyDescent="0.25">
      <c r="A76" s="164" t="s">
        <v>55</v>
      </c>
      <c r="B76" s="161">
        <f>+SUM(B36:B75)</f>
        <v>1741966613</v>
      </c>
      <c r="C76" s="161">
        <f t="shared" ref="C76:F76" si="14">+SUM(C36:C75)</f>
        <v>2057503290</v>
      </c>
      <c r="D76" s="161">
        <f t="shared" si="14"/>
        <v>-315536677</v>
      </c>
      <c r="E76" s="161">
        <f t="shared" si="14"/>
        <v>1445941177</v>
      </c>
      <c r="F76" s="161">
        <f t="shared" si="14"/>
        <v>611562113</v>
      </c>
    </row>
    <row r="77" spans="1:6" x14ac:dyDescent="0.25">
      <c r="A77" s="181" t="s">
        <v>56</v>
      </c>
      <c r="B77" s="166"/>
      <c r="C77" s="166"/>
      <c r="D77" s="173"/>
      <c r="E77" s="173"/>
      <c r="F77" s="173"/>
    </row>
    <row r="78" spans="1:6" s="219" customFormat="1" x14ac:dyDescent="0.25">
      <c r="A78" s="221" t="s">
        <v>57</v>
      </c>
      <c r="B78" s="217">
        <v>143213962</v>
      </c>
      <c r="C78" s="217">
        <v>142423507</v>
      </c>
      <c r="D78" s="218">
        <f t="shared" ref="D78:D85" si="15">+B78-C78</f>
        <v>790455</v>
      </c>
      <c r="E78" s="217">
        <v>54530447</v>
      </c>
      <c r="F78" s="217">
        <f t="shared" ref="F78:F85" si="16">+C78-E78</f>
        <v>87893060</v>
      </c>
    </row>
    <row r="79" spans="1:6" s="219" customFormat="1" x14ac:dyDescent="0.25">
      <c r="A79" s="221" t="s">
        <v>58</v>
      </c>
      <c r="B79" s="217">
        <v>66194099</v>
      </c>
      <c r="C79" s="217">
        <v>66194099</v>
      </c>
      <c r="D79" s="218">
        <f t="shared" si="15"/>
        <v>0</v>
      </c>
      <c r="E79" s="217">
        <v>16962252</v>
      </c>
      <c r="F79" s="217">
        <f t="shared" si="16"/>
        <v>49231847</v>
      </c>
    </row>
    <row r="80" spans="1:6" s="219" customFormat="1" x14ac:dyDescent="0.25">
      <c r="A80" s="221" t="s">
        <v>59</v>
      </c>
      <c r="B80" s="217">
        <v>99816841</v>
      </c>
      <c r="C80" s="217">
        <v>99811151</v>
      </c>
      <c r="D80" s="218">
        <f t="shared" si="15"/>
        <v>5690</v>
      </c>
      <c r="E80" s="217">
        <v>2651500</v>
      </c>
      <c r="F80" s="217">
        <f t="shared" si="16"/>
        <v>97159651</v>
      </c>
    </row>
    <row r="81" spans="1:6" s="219" customFormat="1" x14ac:dyDescent="0.25">
      <c r="A81" s="223" t="s">
        <v>60</v>
      </c>
      <c r="B81" s="217">
        <v>8169713</v>
      </c>
      <c r="C81" s="217">
        <v>7891828</v>
      </c>
      <c r="D81" s="218">
        <f t="shared" si="15"/>
        <v>277885</v>
      </c>
      <c r="E81" s="217">
        <v>2014730</v>
      </c>
      <c r="F81" s="217">
        <f t="shared" si="16"/>
        <v>5877098</v>
      </c>
    </row>
    <row r="82" spans="1:6" s="219" customFormat="1" x14ac:dyDescent="0.25">
      <c r="A82" s="223" t="s">
        <v>47</v>
      </c>
      <c r="B82" s="217">
        <v>280685733</v>
      </c>
      <c r="C82" s="217">
        <v>279759137</v>
      </c>
      <c r="D82" s="218">
        <f t="shared" si="15"/>
        <v>926596</v>
      </c>
      <c r="E82" s="217">
        <v>24934677</v>
      </c>
      <c r="F82" s="217">
        <f t="shared" si="16"/>
        <v>254824460</v>
      </c>
    </row>
    <row r="83" spans="1:6" s="219" customFormat="1" x14ac:dyDescent="0.25">
      <c r="A83" s="223" t="s">
        <v>51</v>
      </c>
      <c r="B83" s="217">
        <v>33048640</v>
      </c>
      <c r="C83" s="217">
        <v>33048640</v>
      </c>
      <c r="D83" s="218">
        <f t="shared" si="15"/>
        <v>0</v>
      </c>
      <c r="E83" s="217">
        <v>1680000</v>
      </c>
      <c r="F83" s="217">
        <f t="shared" si="16"/>
        <v>31368640</v>
      </c>
    </row>
    <row r="84" spans="1:6" x14ac:dyDescent="0.25">
      <c r="A84" s="181" t="s">
        <v>52</v>
      </c>
      <c r="B84" s="166">
        <v>16973592</v>
      </c>
      <c r="C84" s="166">
        <v>16077749</v>
      </c>
      <c r="D84" s="173">
        <f t="shared" si="15"/>
        <v>895843</v>
      </c>
      <c r="E84" s="166"/>
      <c r="F84" s="166">
        <f t="shared" si="16"/>
        <v>16077749</v>
      </c>
    </row>
    <row r="85" spans="1:6" s="212" customFormat="1" x14ac:dyDescent="0.25">
      <c r="A85" s="213" t="s">
        <v>42</v>
      </c>
      <c r="B85" s="210">
        <v>471902</v>
      </c>
      <c r="C85" s="210">
        <v>531302</v>
      </c>
      <c r="D85" s="211">
        <f t="shared" si="15"/>
        <v>-59400</v>
      </c>
      <c r="E85" s="210">
        <v>267061</v>
      </c>
      <c r="F85" s="210">
        <f t="shared" si="16"/>
        <v>264241</v>
      </c>
    </row>
    <row r="86" spans="1:6" x14ac:dyDescent="0.25">
      <c r="A86" s="164" t="s">
        <v>61</v>
      </c>
      <c r="B86" s="161">
        <f>+SUM(B77:B85)</f>
        <v>648574482</v>
      </c>
      <c r="C86" s="161">
        <f t="shared" ref="C86:F86" si="17">+SUM(C77:C85)</f>
        <v>645737413</v>
      </c>
      <c r="D86" s="161">
        <f t="shared" si="17"/>
        <v>2837069</v>
      </c>
      <c r="E86" s="161">
        <f t="shared" si="17"/>
        <v>103040667</v>
      </c>
      <c r="F86" s="161">
        <f t="shared" si="17"/>
        <v>542696746</v>
      </c>
    </row>
    <row r="87" spans="1:6" x14ac:dyDescent="0.25">
      <c r="A87" s="181" t="s">
        <v>504</v>
      </c>
      <c r="B87" s="162"/>
      <c r="C87" s="162"/>
      <c r="D87" s="162"/>
      <c r="E87" s="162"/>
      <c r="F87" s="162"/>
    </row>
    <row r="88" spans="1:6" s="212" customFormat="1" x14ac:dyDescent="0.25">
      <c r="A88" s="214" t="s">
        <v>42</v>
      </c>
      <c r="B88" s="215">
        <v>49775471</v>
      </c>
      <c r="C88" s="215">
        <v>49775471</v>
      </c>
      <c r="D88" s="211">
        <f t="shared" ref="D88:D97" si="18">+B88-C88</f>
        <v>0</v>
      </c>
      <c r="E88" s="215">
        <v>12396792</v>
      </c>
      <c r="F88" s="210">
        <f t="shared" ref="F88:F97" si="19">+C88-E88</f>
        <v>37378679</v>
      </c>
    </row>
    <row r="89" spans="1:6" x14ac:dyDescent="0.25">
      <c r="A89" s="181" t="s">
        <v>62</v>
      </c>
      <c r="B89" s="180"/>
      <c r="C89" s="166"/>
      <c r="D89" s="166"/>
      <c r="E89" s="166"/>
      <c r="F89" s="166"/>
    </row>
    <row r="90" spans="1:6" s="212" customFormat="1" x14ac:dyDescent="0.25">
      <c r="A90" s="214" t="s">
        <v>42</v>
      </c>
      <c r="B90" s="210">
        <v>40501047</v>
      </c>
      <c r="C90" s="210">
        <v>40501047</v>
      </c>
      <c r="D90" s="211">
        <f t="shared" si="18"/>
        <v>0</v>
      </c>
      <c r="E90" s="210">
        <v>2975044</v>
      </c>
      <c r="F90" s="210">
        <f t="shared" si="19"/>
        <v>37526003</v>
      </c>
    </row>
    <row r="91" spans="1:6" x14ac:dyDescent="0.25">
      <c r="A91" s="181" t="s">
        <v>63</v>
      </c>
      <c r="B91" s="173"/>
      <c r="C91" s="166"/>
      <c r="D91" s="173">
        <f t="shared" si="18"/>
        <v>0</v>
      </c>
      <c r="E91" s="166"/>
      <c r="F91" s="166">
        <f t="shared" si="19"/>
        <v>0</v>
      </c>
    </row>
    <row r="92" spans="1:6" s="212" customFormat="1" x14ac:dyDescent="0.25">
      <c r="A92" s="214" t="s">
        <v>42</v>
      </c>
      <c r="B92" s="210">
        <v>4055466</v>
      </c>
      <c r="C92" s="210">
        <v>4055466</v>
      </c>
      <c r="D92" s="211">
        <f t="shared" si="18"/>
        <v>0</v>
      </c>
      <c r="E92" s="210"/>
      <c r="F92" s="210">
        <f t="shared" si="19"/>
        <v>4055466</v>
      </c>
    </row>
    <row r="93" spans="1:6" x14ac:dyDescent="0.25">
      <c r="A93" s="181" t="s">
        <v>64</v>
      </c>
      <c r="B93" s="166"/>
      <c r="C93" s="166"/>
      <c r="D93" s="173">
        <f t="shared" si="18"/>
        <v>0</v>
      </c>
      <c r="E93" s="166"/>
      <c r="F93" s="166">
        <f t="shared" si="19"/>
        <v>0</v>
      </c>
    </row>
    <row r="94" spans="1:6" s="212" customFormat="1" x14ac:dyDescent="0.25">
      <c r="A94" s="214" t="s">
        <v>42</v>
      </c>
      <c r="B94" s="210">
        <v>1467399</v>
      </c>
      <c r="C94" s="210">
        <v>1467399</v>
      </c>
      <c r="D94" s="211">
        <f t="shared" si="18"/>
        <v>0</v>
      </c>
      <c r="E94" s="210"/>
      <c r="F94" s="210">
        <f t="shared" si="19"/>
        <v>1467399</v>
      </c>
    </row>
    <row r="95" spans="1:6" s="219" customFormat="1" x14ac:dyDescent="0.25">
      <c r="A95" s="222" t="s">
        <v>43</v>
      </c>
      <c r="B95" s="217"/>
      <c r="C95" s="217"/>
      <c r="D95" s="218">
        <f t="shared" si="18"/>
        <v>0</v>
      </c>
      <c r="E95" s="217"/>
      <c r="F95" s="217">
        <f t="shared" si="19"/>
        <v>0</v>
      </c>
    </row>
    <row r="96" spans="1:6" x14ac:dyDescent="0.25">
      <c r="A96" s="181" t="s">
        <v>65</v>
      </c>
      <c r="B96" s="166"/>
      <c r="C96" s="166"/>
      <c r="D96" s="173">
        <f t="shared" si="18"/>
        <v>0</v>
      </c>
      <c r="E96" s="166"/>
      <c r="F96" s="166">
        <f t="shared" si="19"/>
        <v>0</v>
      </c>
    </row>
    <row r="97" spans="1:6" s="212" customFormat="1" x14ac:dyDescent="0.25">
      <c r="A97" s="214" t="s">
        <v>42</v>
      </c>
      <c r="B97" s="210">
        <v>3274100</v>
      </c>
      <c r="C97" s="210">
        <v>3274100</v>
      </c>
      <c r="D97" s="211">
        <f t="shared" si="18"/>
        <v>0</v>
      </c>
      <c r="E97" s="210"/>
      <c r="F97" s="210">
        <f t="shared" si="19"/>
        <v>3274100</v>
      </c>
    </row>
    <row r="98" spans="1:6" x14ac:dyDescent="0.25">
      <c r="A98" s="164" t="s">
        <v>66</v>
      </c>
      <c r="B98" s="161">
        <f>+SUM(B88:B97)</f>
        <v>99073483</v>
      </c>
      <c r="C98" s="161">
        <f>+SUM(C88:C97)</f>
        <v>99073483</v>
      </c>
      <c r="D98" s="161">
        <f t="shared" ref="D98:F98" si="20">+SUM(D88:D97)</f>
        <v>0</v>
      </c>
      <c r="E98" s="161">
        <f t="shared" si="20"/>
        <v>15371836</v>
      </c>
      <c r="F98" s="161">
        <f t="shared" si="20"/>
        <v>83701647</v>
      </c>
    </row>
    <row r="99" spans="1:6" s="184" customFormat="1" ht="16.5" thickBot="1" x14ac:dyDescent="0.3">
      <c r="A99" s="182" t="s">
        <v>497</v>
      </c>
      <c r="B99" s="183">
        <f>+B98+B86+B76</f>
        <v>2489614578</v>
      </c>
      <c r="C99" s="183">
        <f t="shared" ref="C99:F99" si="21">+C98+C86+C76</f>
        <v>2802314186</v>
      </c>
      <c r="D99" s="183">
        <f t="shared" si="21"/>
        <v>-312699608</v>
      </c>
      <c r="E99" s="183">
        <f t="shared" si="21"/>
        <v>1564353680</v>
      </c>
      <c r="F99" s="183">
        <f t="shared" si="21"/>
        <v>1237960506</v>
      </c>
    </row>
    <row r="100" spans="1:6" ht="16.5" thickBot="1" x14ac:dyDescent="0.3">
      <c r="A100" s="185" t="s">
        <v>7</v>
      </c>
      <c r="B100" s="186">
        <f>+B33-B99</f>
        <v>-878997384</v>
      </c>
      <c r="C100" s="186">
        <f t="shared" ref="C100:F100" si="22">+C33-C99</f>
        <v>-1191696992</v>
      </c>
      <c r="D100" s="186">
        <f t="shared" si="22"/>
        <v>312699608</v>
      </c>
      <c r="E100" s="186">
        <f t="shared" si="22"/>
        <v>314253183</v>
      </c>
      <c r="F100" s="186">
        <f t="shared" si="22"/>
        <v>-1505950175</v>
      </c>
    </row>
    <row r="101" spans="1:6" s="189" customFormat="1" ht="16.5" thickTop="1" x14ac:dyDescent="0.25">
      <c r="A101" s="187"/>
      <c r="B101" s="188"/>
      <c r="C101" s="188"/>
      <c r="D101" s="188"/>
      <c r="E101" s="188"/>
      <c r="F101" s="188"/>
    </row>
    <row r="102" spans="1:6" x14ac:dyDescent="0.25">
      <c r="A102" s="190" t="s">
        <v>505</v>
      </c>
      <c r="B102" s="191"/>
      <c r="C102" s="191">
        <f>SUM(C36,C40,C44,C48,C52,C69,C73)</f>
        <v>462633270</v>
      </c>
      <c r="D102" s="191"/>
      <c r="E102" s="191">
        <f>SUM(E36,E40,E44,E48,E52,E69,E73)</f>
        <v>328352881</v>
      </c>
      <c r="F102" s="168"/>
    </row>
    <row r="103" spans="1:6" x14ac:dyDescent="0.25">
      <c r="A103" s="157" t="s">
        <v>462</v>
      </c>
      <c r="B103" s="191"/>
      <c r="C103" s="191">
        <f>SUM(C37,C41,C45,C49,C53,C60,C63,C66,C70,C74,C85,C88,C90,C92,C94,C97)</f>
        <v>1455789210</v>
      </c>
      <c r="D103" s="191"/>
      <c r="E103" s="191">
        <f>SUM(E37,E41,E45,E49,E53,E60,E63,E66,E70,E74,E85,E88,E90,E92,E94,E97)</f>
        <v>1018718413</v>
      </c>
      <c r="F103" s="168"/>
    </row>
    <row r="104" spans="1:6" s="157" customFormat="1" x14ac:dyDescent="0.25">
      <c r="A104" s="192" t="s">
        <v>506</v>
      </c>
      <c r="B104" s="193"/>
      <c r="C104" s="194">
        <f>C58</f>
        <v>95050000</v>
      </c>
      <c r="D104" s="195"/>
      <c r="E104" s="194">
        <f>E58</f>
        <v>80026407</v>
      </c>
    </row>
    <row r="105" spans="1:6" s="157" customFormat="1" x14ac:dyDescent="0.25">
      <c r="A105" s="196" t="s">
        <v>507</v>
      </c>
      <c r="B105" s="191"/>
      <c r="C105" s="191">
        <f>SUM(C38,C42,C46,C50,C54,C61,C64,C67,C71,C75,C78:C80)</f>
        <v>452064352</v>
      </c>
      <c r="D105" s="195"/>
      <c r="E105" s="191">
        <f>SUM(E38,E42,E46,E50,E54,E61,E64,E67,E71,E75,E78,E79,E80,E95)+E81+E82+E83</f>
        <v>137255979</v>
      </c>
    </row>
    <row r="106" spans="1:6" s="157" customFormat="1" x14ac:dyDescent="0.25">
      <c r="A106" s="197"/>
      <c r="B106" s="191"/>
      <c r="C106" s="198"/>
      <c r="D106" s="195"/>
    </row>
    <row r="107" spans="1:6" s="157" customFormat="1" x14ac:dyDescent="0.25">
      <c r="A107" s="199"/>
      <c r="B107" s="191"/>
      <c r="C107" s="198"/>
      <c r="D107" s="195"/>
    </row>
    <row r="108" spans="1:6" s="157" customFormat="1" x14ac:dyDescent="0.25">
      <c r="A108" s="192"/>
      <c r="B108" s="200"/>
      <c r="C108" s="198"/>
      <c r="D108" s="195"/>
    </row>
    <row r="109" spans="1:6" s="157" customFormat="1" x14ac:dyDescent="0.25">
      <c r="A109" s="192"/>
      <c r="B109" s="200"/>
      <c r="C109" s="198"/>
      <c r="D109" s="195"/>
    </row>
    <row r="110" spans="1:6" x14ac:dyDescent="0.25">
      <c r="A110" s="201"/>
      <c r="B110" s="202"/>
      <c r="C110" s="198"/>
      <c r="D110" s="195"/>
      <c r="E110" s="157"/>
    </row>
    <row r="111" spans="1:6" x14ac:dyDescent="0.25">
      <c r="A111" s="157"/>
      <c r="B111" s="191"/>
      <c r="C111" s="203"/>
      <c r="D111" s="195"/>
      <c r="E111" s="157"/>
    </row>
    <row r="112" spans="1:6" x14ac:dyDescent="0.25">
      <c r="A112" s="192"/>
      <c r="B112" s="193"/>
      <c r="C112" s="157"/>
      <c r="D112" s="195"/>
      <c r="E112" s="157"/>
    </row>
    <row r="113" spans="1:5" x14ac:dyDescent="0.25">
      <c r="A113" s="157"/>
      <c r="B113" s="157"/>
      <c r="C113" s="157"/>
      <c r="D113" s="195"/>
      <c r="E113" s="157"/>
    </row>
    <row r="114" spans="1:5" x14ac:dyDescent="0.25">
      <c r="A114" s="157"/>
      <c r="B114" s="157"/>
      <c r="C114" s="157"/>
      <c r="D114" s="195"/>
      <c r="E114" s="157"/>
    </row>
    <row r="115" spans="1:5" x14ac:dyDescent="0.25">
      <c r="A115" s="157"/>
      <c r="B115" s="157"/>
      <c r="C115" s="157"/>
      <c r="D115" s="195"/>
      <c r="E115" s="157"/>
    </row>
    <row r="116" spans="1:5" x14ac:dyDescent="0.25">
      <c r="A116" s="157"/>
      <c r="B116" s="157"/>
      <c r="C116" s="157"/>
      <c r="D116" s="195"/>
      <c r="E116" s="157"/>
    </row>
    <row r="117" spans="1:5" x14ac:dyDescent="0.25">
      <c r="A117" s="157"/>
      <c r="B117" s="157"/>
      <c r="C117" s="157"/>
      <c r="D117" s="195"/>
      <c r="E117" s="157"/>
    </row>
    <row r="118" spans="1:5" x14ac:dyDescent="0.25">
      <c r="A118" s="157"/>
      <c r="B118" s="157"/>
      <c r="C118" s="157"/>
      <c r="D118" s="195"/>
      <c r="E118" s="157"/>
    </row>
    <row r="119" spans="1:5" x14ac:dyDescent="0.25">
      <c r="A119" s="157"/>
      <c r="B119" s="157"/>
      <c r="C119" s="157"/>
      <c r="D119" s="195"/>
      <c r="E119" s="157"/>
    </row>
    <row r="120" spans="1:5" x14ac:dyDescent="0.25">
      <c r="A120" s="157"/>
      <c r="B120" s="157"/>
      <c r="C120" s="157"/>
      <c r="D120" s="195"/>
      <c r="E120" s="157"/>
    </row>
    <row r="121" spans="1:5" x14ac:dyDescent="0.25">
      <c r="B121" s="165"/>
      <c r="C121" s="165"/>
      <c r="D121" s="204"/>
    </row>
    <row r="122" spans="1:5" x14ac:dyDescent="0.25">
      <c r="B122" s="165"/>
      <c r="C122" s="165"/>
      <c r="D122" s="204"/>
    </row>
    <row r="123" spans="1:5" x14ac:dyDescent="0.25">
      <c r="B123" s="165"/>
      <c r="C123" s="165"/>
      <c r="D123" s="204"/>
    </row>
    <row r="124" spans="1:5" x14ac:dyDescent="0.25">
      <c r="B124" s="165"/>
      <c r="C124" s="165"/>
      <c r="D124" s="204"/>
    </row>
    <row r="125" spans="1:5" x14ac:dyDescent="0.25">
      <c r="B125" s="165"/>
      <c r="C125" s="165"/>
      <c r="D125" s="204"/>
    </row>
    <row r="126" spans="1:5" x14ac:dyDescent="0.25">
      <c r="B126" s="165"/>
      <c r="D126" s="204"/>
    </row>
    <row r="127" spans="1:5" x14ac:dyDescent="0.25">
      <c r="B127" s="165"/>
      <c r="D127" s="204"/>
    </row>
    <row r="128" spans="1:5" x14ac:dyDescent="0.25">
      <c r="B128" s="165"/>
      <c r="D128" s="204"/>
    </row>
    <row r="129" spans="2:5" x14ac:dyDescent="0.25">
      <c r="B129" s="165"/>
      <c r="D129" s="204"/>
    </row>
    <row r="130" spans="2:5" x14ac:dyDescent="0.25">
      <c r="B130" s="165"/>
    </row>
    <row r="131" spans="2:5" x14ac:dyDescent="0.25">
      <c r="B131" s="165"/>
    </row>
    <row r="132" spans="2:5" x14ac:dyDescent="0.25">
      <c r="B132" s="165"/>
    </row>
    <row r="133" spans="2:5" x14ac:dyDescent="0.25">
      <c r="B133" s="165"/>
    </row>
    <row r="134" spans="2:5" x14ac:dyDescent="0.25">
      <c r="B134" s="165"/>
    </row>
    <row r="135" spans="2:5" x14ac:dyDescent="0.25">
      <c r="B135" s="165"/>
    </row>
    <row r="136" spans="2:5" x14ac:dyDescent="0.25">
      <c r="B136" s="165"/>
    </row>
    <row r="139" spans="2:5" x14ac:dyDescent="0.25">
      <c r="B139" s="165"/>
      <c r="E139" s="168"/>
    </row>
  </sheetData>
  <mergeCells count="8">
    <mergeCell ref="A1:F1"/>
    <mergeCell ref="A2:F2"/>
    <mergeCell ref="A3:F3"/>
    <mergeCell ref="D5:D6"/>
    <mergeCell ref="F5:F6"/>
    <mergeCell ref="B5:C5"/>
    <mergeCell ref="E5:E6"/>
    <mergeCell ref="A5:A6"/>
  </mergeCells>
  <pageMargins left="1" right="1" top="1.5" bottom="1" header="0.5" footer="0.5"/>
  <pageSetup paperSize="9" scale="77" firstPageNumber="9" fitToWidth="3" fitToHeight="3" orientation="landscape" useFirstPageNumber="1" r:id="rId1"/>
  <headerFooter differentFirst="1" scaleWithDoc="0">
    <oddFooter>&amp;C&amp;"Arial,Regular"&amp;10&amp;P</oddFooter>
    <firstFooter>&amp;C&amp;P</firstFooter>
  </headerFooter>
  <rowBreaks count="2" manualBreakCount="2">
    <brk id="33" max="5" man="1"/>
    <brk id="67" max="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59"/>
  <sheetViews>
    <sheetView topLeftCell="A55" workbookViewId="0">
      <selection activeCell="A83" sqref="A83"/>
    </sheetView>
  </sheetViews>
  <sheetFormatPr defaultColWidth="9.140625" defaultRowHeight="15" x14ac:dyDescent="0.25"/>
  <cols>
    <col min="1" max="1" width="9.140625" style="9"/>
    <col min="2" max="2" width="27.5703125" style="9" bestFit="1" customWidth="1"/>
    <col min="3" max="5" width="14.28515625" style="9" bestFit="1" customWidth="1"/>
    <col min="6" max="6" width="15.28515625" style="9" bestFit="1" customWidth="1"/>
    <col min="7" max="7" width="13.85546875" style="9" bestFit="1" customWidth="1"/>
    <col min="8" max="16384" width="9.140625" style="9"/>
  </cols>
  <sheetData>
    <row r="1" spans="1:7" ht="15.75" x14ac:dyDescent="0.25">
      <c r="A1" s="7" t="s">
        <v>84</v>
      </c>
      <c r="B1" s="8" t="s">
        <v>85</v>
      </c>
    </row>
    <row r="2" spans="1:7" ht="16.5" thickBot="1" x14ac:dyDescent="0.3">
      <c r="A2" s="7"/>
      <c r="B2" s="8"/>
      <c r="F2" s="595" t="s">
        <v>89</v>
      </c>
      <c r="G2" s="595"/>
    </row>
    <row r="3" spans="1:7" ht="16.5" thickBot="1" x14ac:dyDescent="0.3">
      <c r="B3" s="1" t="s">
        <v>79</v>
      </c>
      <c r="C3" s="1">
        <v>2019</v>
      </c>
      <c r="D3" s="1">
        <v>2018</v>
      </c>
      <c r="F3" s="9" t="s">
        <v>90</v>
      </c>
      <c r="G3" s="9" t="s">
        <v>91</v>
      </c>
    </row>
    <row r="4" spans="1:7" ht="15.75" x14ac:dyDescent="0.25">
      <c r="B4" s="10" t="s">
        <v>80</v>
      </c>
      <c r="C4" s="11">
        <v>3907077</v>
      </c>
      <c r="D4" s="12">
        <v>6350641</v>
      </c>
      <c r="F4" s="16">
        <f>C4-D4</f>
        <v>-2443564</v>
      </c>
      <c r="G4" s="17">
        <f>F4/D4</f>
        <v>-0.38477438734137231</v>
      </c>
    </row>
    <row r="5" spans="1:7" ht="31.5" x14ac:dyDescent="0.25">
      <c r="B5" s="10" t="s">
        <v>81</v>
      </c>
      <c r="C5" s="11">
        <v>980482427</v>
      </c>
      <c r="D5" s="12">
        <v>566921256</v>
      </c>
      <c r="F5" s="16">
        <f t="shared" ref="F5:F6" si="0">C5-D5</f>
        <v>413561171</v>
      </c>
      <c r="G5" s="17">
        <f t="shared" ref="G5:G6" si="1">F5/D5</f>
        <v>0.72948609109833762</v>
      </c>
    </row>
    <row r="6" spans="1:7" ht="32.25" thickBot="1" x14ac:dyDescent="0.3">
      <c r="B6" s="10" t="s">
        <v>82</v>
      </c>
      <c r="C6" s="11">
        <v>6882547</v>
      </c>
      <c r="D6" s="12">
        <v>6879780</v>
      </c>
      <c r="F6" s="16">
        <f t="shared" si="0"/>
        <v>2767</v>
      </c>
      <c r="G6" s="17">
        <f t="shared" si="1"/>
        <v>4.0219309338380006E-4</v>
      </c>
    </row>
    <row r="7" spans="1:7" ht="16.5" thickBot="1" x14ac:dyDescent="0.3">
      <c r="B7" s="13" t="s">
        <v>83</v>
      </c>
      <c r="C7" s="14">
        <f>SUM(C4:C6)</f>
        <v>991272051</v>
      </c>
      <c r="D7" s="14">
        <f>SUM(D4:D6)</f>
        <v>580151677</v>
      </c>
      <c r="F7" s="14">
        <f>SUM(F4:F6)</f>
        <v>411120374</v>
      </c>
      <c r="G7" s="18">
        <f>F7/D7</f>
        <v>0.70864291236031363</v>
      </c>
    </row>
    <row r="9" spans="1:7" ht="16.5" thickBot="1" x14ac:dyDescent="0.3">
      <c r="B9" s="19" t="s">
        <v>92</v>
      </c>
      <c r="C9" s="20" t="s">
        <v>90</v>
      </c>
    </row>
    <row r="10" spans="1:7" ht="15.75" x14ac:dyDescent="0.25">
      <c r="B10" s="21" t="s">
        <v>93</v>
      </c>
      <c r="C10" s="12">
        <v>3072786</v>
      </c>
    </row>
    <row r="11" spans="1:7" ht="15.75" x14ac:dyDescent="0.25">
      <c r="B11" s="21" t="s">
        <v>94</v>
      </c>
      <c r="C11" s="12">
        <v>828013</v>
      </c>
    </row>
    <row r="12" spans="1:7" ht="16.5" thickBot="1" x14ac:dyDescent="0.3">
      <c r="B12" s="22" t="s">
        <v>95</v>
      </c>
      <c r="C12" s="23">
        <v>6278</v>
      </c>
    </row>
    <row r="13" spans="1:7" ht="16.5" thickBot="1" x14ac:dyDescent="0.3">
      <c r="B13" s="19" t="s">
        <v>83</v>
      </c>
      <c r="C13" s="24">
        <f>SUM(C10:C12)</f>
        <v>3907077</v>
      </c>
    </row>
    <row r="14" spans="1:7" ht="15.75" thickBot="1" x14ac:dyDescent="0.3"/>
    <row r="15" spans="1:7" ht="32.25" thickBot="1" x14ac:dyDescent="0.3">
      <c r="B15" s="25" t="s">
        <v>96</v>
      </c>
      <c r="C15" s="6" t="s">
        <v>97</v>
      </c>
      <c r="D15" s="6" t="s">
        <v>98</v>
      </c>
    </row>
    <row r="16" spans="1:7" ht="15.75" x14ac:dyDescent="0.25">
      <c r="B16" s="26" t="s">
        <v>0</v>
      </c>
      <c r="C16" s="27"/>
      <c r="D16" s="27"/>
    </row>
    <row r="17" spans="2:4" ht="15.75" x14ac:dyDescent="0.25">
      <c r="B17" s="28" t="s">
        <v>99</v>
      </c>
      <c r="C17" s="29" t="s">
        <v>100</v>
      </c>
      <c r="D17" s="3">
        <v>278846401</v>
      </c>
    </row>
    <row r="18" spans="2:4" ht="15.75" x14ac:dyDescent="0.25">
      <c r="B18" s="28" t="s">
        <v>101</v>
      </c>
      <c r="C18" s="29" t="s">
        <v>100</v>
      </c>
      <c r="D18" s="3">
        <v>64634400</v>
      </c>
    </row>
    <row r="19" spans="2:4" ht="15.75" x14ac:dyDescent="0.25">
      <c r="B19" s="28" t="s">
        <v>102</v>
      </c>
      <c r="C19" s="29" t="s">
        <v>100</v>
      </c>
      <c r="D19" s="3">
        <v>61031373</v>
      </c>
    </row>
    <row r="20" spans="2:4" ht="31.5" x14ac:dyDescent="0.25">
      <c r="B20" s="28" t="s">
        <v>103</v>
      </c>
      <c r="C20" s="29" t="s">
        <v>100</v>
      </c>
      <c r="D20" s="3">
        <v>41744365</v>
      </c>
    </row>
    <row r="21" spans="2:4" ht="31.5" x14ac:dyDescent="0.25">
      <c r="B21" s="28" t="s">
        <v>104</v>
      </c>
      <c r="C21" s="29" t="s">
        <v>100</v>
      </c>
      <c r="D21" s="3">
        <v>139644309</v>
      </c>
    </row>
    <row r="22" spans="2:4" ht="31.5" x14ac:dyDescent="0.25">
      <c r="B22" s="28" t="s">
        <v>105</v>
      </c>
      <c r="C22" s="29" t="s">
        <v>100</v>
      </c>
      <c r="D22" s="3">
        <v>164784635</v>
      </c>
    </row>
    <row r="23" spans="2:4" ht="32.25" thickBot="1" x14ac:dyDescent="0.3">
      <c r="B23" s="30" t="s">
        <v>106</v>
      </c>
      <c r="C23" s="31" t="s">
        <v>100</v>
      </c>
      <c r="D23" s="32">
        <v>11314390</v>
      </c>
    </row>
    <row r="24" spans="2:4" ht="16.5" thickBot="1" x14ac:dyDescent="0.3">
      <c r="B24" s="33" t="s">
        <v>107</v>
      </c>
      <c r="C24" s="34"/>
      <c r="D24" s="35">
        <f>SUM(D17:D23)</f>
        <v>761999873</v>
      </c>
    </row>
    <row r="25" spans="2:4" ht="16.5" thickBot="1" x14ac:dyDescent="0.3">
      <c r="B25" s="36" t="s">
        <v>1</v>
      </c>
      <c r="C25" s="34"/>
      <c r="D25" s="35">
        <v>120004098</v>
      </c>
    </row>
    <row r="26" spans="2:4" ht="15.75" x14ac:dyDescent="0.25">
      <c r="B26" s="26" t="s">
        <v>108</v>
      </c>
      <c r="C26" s="37"/>
      <c r="D26" s="37"/>
    </row>
    <row r="27" spans="2:4" ht="15.75" x14ac:dyDescent="0.25">
      <c r="B27" s="28" t="s">
        <v>99</v>
      </c>
      <c r="C27" s="29" t="s">
        <v>100</v>
      </c>
      <c r="D27" s="3">
        <v>73189123</v>
      </c>
    </row>
    <row r="28" spans="2:4" ht="15.75" x14ac:dyDescent="0.25">
      <c r="B28" s="28" t="s">
        <v>109</v>
      </c>
      <c r="C28" s="29" t="s">
        <v>100</v>
      </c>
      <c r="D28" s="3">
        <v>23418637</v>
      </c>
    </row>
    <row r="29" spans="2:4" ht="31.5" x14ac:dyDescent="0.25">
      <c r="B29" s="28" t="s">
        <v>110</v>
      </c>
      <c r="C29" s="29" t="s">
        <v>100</v>
      </c>
      <c r="D29" s="3">
        <v>1187335</v>
      </c>
    </row>
    <row r="30" spans="2:4" ht="31.5" x14ac:dyDescent="0.25">
      <c r="B30" s="28" t="s">
        <v>111</v>
      </c>
      <c r="C30" s="29" t="s">
        <v>100</v>
      </c>
      <c r="D30" s="3">
        <v>683361</v>
      </c>
    </row>
    <row r="31" spans="2:4" ht="16.5" thickBot="1" x14ac:dyDescent="0.3">
      <c r="B31" s="33" t="s">
        <v>107</v>
      </c>
      <c r="C31" s="33"/>
      <c r="D31" s="35">
        <f>SUM(D27:D30)</f>
        <v>98478456</v>
      </c>
    </row>
    <row r="32" spans="2:4" ht="16.5" thickBot="1" x14ac:dyDescent="0.3">
      <c r="B32" s="36" t="s">
        <v>83</v>
      </c>
      <c r="C32" s="38"/>
      <c r="D32" s="35">
        <f>D24+D25+D31</f>
        <v>980482427</v>
      </c>
    </row>
    <row r="33" spans="1:7" ht="15.75" thickBot="1" x14ac:dyDescent="0.3"/>
    <row r="34" spans="1:7" ht="32.25" thickBot="1" x14ac:dyDescent="0.3">
      <c r="B34" s="39" t="s">
        <v>96</v>
      </c>
      <c r="C34" s="25" t="s">
        <v>97</v>
      </c>
      <c r="D34" s="40" t="s">
        <v>90</v>
      </c>
    </row>
    <row r="35" spans="1:7" ht="15.75" x14ac:dyDescent="0.25">
      <c r="B35" s="41" t="s">
        <v>112</v>
      </c>
      <c r="C35" s="29" t="s">
        <v>100</v>
      </c>
      <c r="D35" s="3">
        <v>50322</v>
      </c>
    </row>
    <row r="36" spans="1:7" ht="15.75" x14ac:dyDescent="0.25">
      <c r="B36" s="41" t="s">
        <v>112</v>
      </c>
      <c r="C36" s="29" t="s">
        <v>100</v>
      </c>
      <c r="D36" s="3">
        <v>1006909</v>
      </c>
    </row>
    <row r="37" spans="1:7" ht="15.75" x14ac:dyDescent="0.25">
      <c r="B37" s="2" t="s">
        <v>112</v>
      </c>
      <c r="C37" s="29" t="s">
        <v>100</v>
      </c>
      <c r="D37" s="3">
        <v>59921</v>
      </c>
    </row>
    <row r="38" spans="1:7" ht="16.5" thickBot="1" x14ac:dyDescent="0.3">
      <c r="B38" s="42" t="s">
        <v>112</v>
      </c>
      <c r="C38" s="31" t="s">
        <v>100</v>
      </c>
      <c r="D38" s="32">
        <v>5765395</v>
      </c>
    </row>
    <row r="39" spans="1:7" ht="16.5" thickBot="1" x14ac:dyDescent="0.3">
      <c r="B39" s="43" t="s">
        <v>67</v>
      </c>
      <c r="C39" s="44"/>
      <c r="D39" s="35">
        <f>SUM(D35:D38)</f>
        <v>6882547</v>
      </c>
    </row>
    <row r="40" spans="1:7" ht="16.5" thickBot="1" x14ac:dyDescent="0.3">
      <c r="B40" s="43"/>
      <c r="C40" s="44"/>
      <c r="D40" s="44"/>
    </row>
    <row r="41" spans="1:7" ht="32.25" thickBot="1" x14ac:dyDescent="0.3">
      <c r="B41" s="43" t="s">
        <v>113</v>
      </c>
      <c r="C41" s="44"/>
      <c r="D41" s="35">
        <f>C13+D32+D39</f>
        <v>991272051</v>
      </c>
    </row>
    <row r="43" spans="1:7" ht="15.75" x14ac:dyDescent="0.25">
      <c r="A43" s="45" t="s">
        <v>114</v>
      </c>
      <c r="B43" s="46" t="s">
        <v>10</v>
      </c>
    </row>
    <row r="44" spans="1:7" ht="15.75" thickBot="1" x14ac:dyDescent="0.3">
      <c r="F44" s="595" t="s">
        <v>89</v>
      </c>
      <c r="G44" s="595"/>
    </row>
    <row r="45" spans="1:7" ht="16.5" thickBot="1" x14ac:dyDescent="0.3">
      <c r="B45" s="47"/>
      <c r="C45" s="1">
        <v>2019</v>
      </c>
      <c r="D45" s="1">
        <v>2018</v>
      </c>
      <c r="F45" s="9" t="s">
        <v>90</v>
      </c>
      <c r="G45" s="9" t="s">
        <v>91</v>
      </c>
    </row>
    <row r="46" spans="1:7" ht="31.5" x14ac:dyDescent="0.25">
      <c r="B46" s="48" t="s">
        <v>115</v>
      </c>
      <c r="C46" s="27"/>
      <c r="D46" s="27"/>
    </row>
    <row r="47" spans="1:7" ht="15.75" x14ac:dyDescent="0.25">
      <c r="B47" s="596" t="s">
        <v>116</v>
      </c>
      <c r="C47" s="49"/>
      <c r="D47" s="49"/>
    </row>
    <row r="48" spans="1:7" ht="15.75" x14ac:dyDescent="0.25">
      <c r="B48" s="596"/>
      <c r="C48" s="3">
        <v>241559872</v>
      </c>
      <c r="D48" s="3">
        <v>752657691</v>
      </c>
      <c r="F48" s="15">
        <f>C48-D48</f>
        <v>-511097819</v>
      </c>
      <c r="G48" s="17">
        <f>F48/D48</f>
        <v>-0.6790574588043371</v>
      </c>
    </row>
    <row r="49" spans="1:7" ht="15.75" x14ac:dyDescent="0.25">
      <c r="B49" s="48"/>
      <c r="C49" s="597"/>
      <c r="D49" s="597"/>
      <c r="G49" s="17"/>
    </row>
    <row r="50" spans="1:7" ht="31.5" x14ac:dyDescent="0.25">
      <c r="B50" s="48" t="s">
        <v>117</v>
      </c>
      <c r="C50" s="597"/>
      <c r="D50" s="597"/>
      <c r="G50" s="17"/>
    </row>
    <row r="51" spans="1:7" ht="15.75" x14ac:dyDescent="0.25">
      <c r="B51" s="50" t="s">
        <v>118</v>
      </c>
      <c r="C51" s="3">
        <v>165600</v>
      </c>
      <c r="D51" s="3">
        <v>165600</v>
      </c>
      <c r="F51" s="15">
        <f>C51-D51</f>
        <v>0</v>
      </c>
      <c r="G51" s="17">
        <f>F51/D51</f>
        <v>0</v>
      </c>
    </row>
    <row r="52" spans="1:7" ht="15.75" x14ac:dyDescent="0.25">
      <c r="B52" s="48" t="s">
        <v>119</v>
      </c>
      <c r="C52" s="37"/>
      <c r="D52" s="37"/>
      <c r="G52" s="17"/>
    </row>
    <row r="53" spans="1:7" ht="16.5" thickBot="1" x14ac:dyDescent="0.3">
      <c r="B53" s="50" t="s">
        <v>120</v>
      </c>
      <c r="C53" s="3">
        <v>20069146</v>
      </c>
      <c r="D53" s="3">
        <v>15740861</v>
      </c>
      <c r="F53" s="15">
        <f>C53-D53</f>
        <v>4328285</v>
      </c>
      <c r="G53" s="17">
        <f>F53/D53</f>
        <v>0.27497129921927399</v>
      </c>
    </row>
    <row r="54" spans="1:7" ht="16.5" thickBot="1" x14ac:dyDescent="0.3">
      <c r="B54" s="4" t="s">
        <v>83</v>
      </c>
      <c r="C54" s="5">
        <f>SUM(C48:C53)</f>
        <v>261794618</v>
      </c>
      <c r="D54" s="5">
        <f>SUM(D48:D53)</f>
        <v>768564152</v>
      </c>
      <c r="F54" s="5">
        <f>SUM(F48:F53)</f>
        <v>-506769534</v>
      </c>
      <c r="G54" s="17">
        <f>F54/D54</f>
        <v>-0.65937180739077716</v>
      </c>
    </row>
    <row r="56" spans="1:7" ht="15.75" x14ac:dyDescent="0.25">
      <c r="A56" s="45" t="s">
        <v>121</v>
      </c>
      <c r="B56" s="46" t="s">
        <v>11</v>
      </c>
    </row>
    <row r="57" spans="1:7" ht="15.75" thickBot="1" x14ac:dyDescent="0.3">
      <c r="F57" s="595" t="s">
        <v>89</v>
      </c>
      <c r="G57" s="595"/>
    </row>
    <row r="58" spans="1:7" ht="16.5" thickBot="1" x14ac:dyDescent="0.3">
      <c r="B58" s="25" t="s">
        <v>96</v>
      </c>
      <c r="C58" s="6">
        <v>2019</v>
      </c>
      <c r="D58" s="6">
        <v>2018</v>
      </c>
      <c r="F58" s="9" t="s">
        <v>90</v>
      </c>
      <c r="G58" s="9" t="s">
        <v>91</v>
      </c>
    </row>
    <row r="59" spans="1:7" ht="31.5" x14ac:dyDescent="0.25">
      <c r="B59" s="48" t="s">
        <v>122</v>
      </c>
      <c r="C59" s="27"/>
      <c r="D59" s="27"/>
      <c r="F59" s="15"/>
    </row>
    <row r="60" spans="1:7" ht="15.75" x14ac:dyDescent="0.25">
      <c r="B60" s="2" t="s">
        <v>123</v>
      </c>
      <c r="C60" s="3">
        <v>100622063</v>
      </c>
      <c r="D60" s="3">
        <v>72386992</v>
      </c>
      <c r="F60" s="15">
        <f>C60-D60</f>
        <v>28235071</v>
      </c>
      <c r="G60" s="17">
        <f>F60/D60</f>
        <v>0.39005724951245385</v>
      </c>
    </row>
    <row r="61" spans="1:7" ht="31.5" x14ac:dyDescent="0.25">
      <c r="B61" s="2" t="s">
        <v>124</v>
      </c>
      <c r="C61" s="3">
        <v>62907135</v>
      </c>
      <c r="D61" s="3">
        <v>48814057</v>
      </c>
      <c r="F61" s="15">
        <f t="shared" ref="F61:F63" si="2">C61-D61</f>
        <v>14093078</v>
      </c>
      <c r="G61" s="17">
        <f t="shared" ref="G61:G79" si="3">F61/D61</f>
        <v>0.28870941827269142</v>
      </c>
    </row>
    <row r="62" spans="1:7" ht="15.75" x14ac:dyDescent="0.25">
      <c r="B62" s="2" t="s">
        <v>125</v>
      </c>
      <c r="C62" s="3">
        <v>1256111</v>
      </c>
      <c r="D62" s="3">
        <v>2606501</v>
      </c>
      <c r="F62" s="15">
        <f t="shared" si="2"/>
        <v>-1350390</v>
      </c>
      <c r="G62" s="17">
        <f t="shared" si="3"/>
        <v>-0.51808535657573118</v>
      </c>
    </row>
    <row r="63" spans="1:7" ht="16.5" thickBot="1" x14ac:dyDescent="0.3">
      <c r="B63" s="2" t="s">
        <v>126</v>
      </c>
      <c r="C63" s="3">
        <v>2192752</v>
      </c>
      <c r="D63" s="3">
        <v>2151785</v>
      </c>
      <c r="F63" s="15">
        <f t="shared" si="2"/>
        <v>40967</v>
      </c>
      <c r="G63" s="17">
        <f t="shared" si="3"/>
        <v>1.9038612128999877E-2</v>
      </c>
    </row>
    <row r="64" spans="1:7" ht="16.5" thickBot="1" x14ac:dyDescent="0.3">
      <c r="B64" s="52" t="s">
        <v>107</v>
      </c>
      <c r="C64" s="5">
        <f>SUM(C60:C63)</f>
        <v>166978061</v>
      </c>
      <c r="D64" s="5">
        <f>SUM(D60:D63)</f>
        <v>125959335</v>
      </c>
      <c r="F64" s="5">
        <f>SUM(F60:F63)</f>
        <v>41018726</v>
      </c>
      <c r="G64" s="17">
        <f t="shared" si="3"/>
        <v>0.32565054428081891</v>
      </c>
    </row>
    <row r="65" spans="2:7" ht="15.75" x14ac:dyDescent="0.25">
      <c r="B65" s="48" t="s">
        <v>127</v>
      </c>
      <c r="C65" s="37"/>
      <c r="D65" s="37"/>
      <c r="G65" s="17"/>
    </row>
    <row r="66" spans="2:7" ht="32.25" thickBot="1" x14ac:dyDescent="0.3">
      <c r="B66" s="2" t="s">
        <v>128</v>
      </c>
      <c r="C66" s="3">
        <v>8682314</v>
      </c>
      <c r="D66" s="3">
        <v>9102832</v>
      </c>
      <c r="F66" s="15">
        <f t="shared" ref="F66:F79" si="4">C66-D66</f>
        <v>-420518</v>
      </c>
      <c r="G66" s="17">
        <f t="shared" si="3"/>
        <v>-4.6196392507298831E-2</v>
      </c>
    </row>
    <row r="67" spans="2:7" ht="16.5" thickBot="1" x14ac:dyDescent="0.3">
      <c r="B67" s="52" t="s">
        <v>107</v>
      </c>
      <c r="C67" s="5">
        <f>SUM(C66)</f>
        <v>8682314</v>
      </c>
      <c r="D67" s="5">
        <f>SUM(D66)</f>
        <v>9102832</v>
      </c>
      <c r="F67" s="15">
        <f t="shared" si="4"/>
        <v>-420518</v>
      </c>
      <c r="G67" s="17">
        <f t="shared" si="3"/>
        <v>-4.6196392507298831E-2</v>
      </c>
    </row>
    <row r="68" spans="2:7" ht="31.5" x14ac:dyDescent="0.25">
      <c r="B68" s="48" t="s">
        <v>129</v>
      </c>
      <c r="C68" s="37"/>
      <c r="D68" s="37"/>
      <c r="G68" s="17"/>
    </row>
    <row r="69" spans="2:7" ht="16.5" thickBot="1" x14ac:dyDescent="0.3">
      <c r="B69" s="2" t="s">
        <v>130</v>
      </c>
      <c r="C69" s="3">
        <v>147200</v>
      </c>
      <c r="D69" s="3">
        <v>3646055</v>
      </c>
      <c r="F69" s="15">
        <f t="shared" si="4"/>
        <v>-3498855</v>
      </c>
      <c r="G69" s="17">
        <f t="shared" si="3"/>
        <v>-0.95962759749921489</v>
      </c>
    </row>
    <row r="70" spans="2:7" ht="16.5" thickBot="1" x14ac:dyDescent="0.3">
      <c r="B70" s="52" t="s">
        <v>107</v>
      </c>
      <c r="C70" s="5">
        <v>147200</v>
      </c>
      <c r="D70" s="5">
        <v>3646055</v>
      </c>
      <c r="F70" s="15">
        <f t="shared" si="4"/>
        <v>-3498855</v>
      </c>
      <c r="G70" s="17">
        <f t="shared" si="3"/>
        <v>-0.95962759749921489</v>
      </c>
    </row>
    <row r="71" spans="2:7" ht="15.75" x14ac:dyDescent="0.25">
      <c r="B71" s="48" t="s">
        <v>131</v>
      </c>
      <c r="C71" s="37"/>
      <c r="D71" s="37"/>
      <c r="G71" s="17"/>
    </row>
    <row r="72" spans="2:7" ht="32.25" thickBot="1" x14ac:dyDescent="0.3">
      <c r="B72" s="2" t="s">
        <v>132</v>
      </c>
      <c r="C72" s="49">
        <v>0</v>
      </c>
      <c r="D72" s="3">
        <v>1666160</v>
      </c>
      <c r="F72" s="15">
        <f t="shared" si="4"/>
        <v>-1666160</v>
      </c>
      <c r="G72" s="17">
        <f t="shared" si="3"/>
        <v>-1</v>
      </c>
    </row>
    <row r="73" spans="2:7" ht="16.5" thickBot="1" x14ac:dyDescent="0.3">
      <c r="B73" s="52" t="s">
        <v>107</v>
      </c>
      <c r="C73" s="40">
        <v>0</v>
      </c>
      <c r="D73" s="5">
        <v>1666160</v>
      </c>
      <c r="F73" s="15">
        <f t="shared" si="4"/>
        <v>-1666160</v>
      </c>
      <c r="G73" s="17">
        <f t="shared" si="3"/>
        <v>-1</v>
      </c>
    </row>
    <row r="74" spans="2:7" ht="15.75" x14ac:dyDescent="0.25">
      <c r="B74" s="48" t="s">
        <v>133</v>
      </c>
      <c r="C74" s="37"/>
      <c r="D74" s="37"/>
      <c r="G74" s="17"/>
    </row>
    <row r="75" spans="2:7" ht="31.5" x14ac:dyDescent="0.25">
      <c r="B75" s="28" t="s">
        <v>134</v>
      </c>
      <c r="C75" s="49">
        <v>0</v>
      </c>
      <c r="D75" s="3">
        <v>14070</v>
      </c>
      <c r="F75" s="15">
        <f t="shared" si="4"/>
        <v>-14070</v>
      </c>
      <c r="G75" s="17">
        <f t="shared" si="3"/>
        <v>-1</v>
      </c>
    </row>
    <row r="76" spans="2:7" ht="31.5" x14ac:dyDescent="0.25">
      <c r="B76" s="28" t="s">
        <v>135</v>
      </c>
      <c r="C76" s="3">
        <v>119490</v>
      </c>
      <c r="D76" s="3">
        <v>624260</v>
      </c>
      <c r="F76" s="15">
        <f t="shared" si="4"/>
        <v>-504770</v>
      </c>
      <c r="G76" s="17">
        <f t="shared" si="3"/>
        <v>-0.80858936981385965</v>
      </c>
    </row>
    <row r="77" spans="2:7" ht="16.5" thickBot="1" x14ac:dyDescent="0.3">
      <c r="B77" s="28" t="s">
        <v>133</v>
      </c>
      <c r="C77" s="3">
        <v>576533</v>
      </c>
      <c r="D77" s="3">
        <v>828455</v>
      </c>
      <c r="F77" s="15">
        <f t="shared" si="4"/>
        <v>-251922</v>
      </c>
      <c r="G77" s="17">
        <f t="shared" si="3"/>
        <v>-0.30408652250273099</v>
      </c>
    </row>
    <row r="78" spans="2:7" ht="16.5" thickBot="1" x14ac:dyDescent="0.3">
      <c r="B78" s="53" t="s">
        <v>107</v>
      </c>
      <c r="C78" s="5">
        <f>SUM(C75:C77)</f>
        <v>696023</v>
      </c>
      <c r="D78" s="5">
        <f>SUM(D75:D77)</f>
        <v>1466785</v>
      </c>
      <c r="F78" s="15">
        <f t="shared" si="4"/>
        <v>-770762</v>
      </c>
      <c r="G78" s="17">
        <f t="shared" si="3"/>
        <v>-0.52547714900275089</v>
      </c>
    </row>
    <row r="79" spans="2:7" ht="16.5" thickBot="1" x14ac:dyDescent="0.3">
      <c r="B79" s="36" t="s">
        <v>83</v>
      </c>
      <c r="C79" s="35">
        <f>C64+C67+C70+C73+C78</f>
        <v>176503598</v>
      </c>
      <c r="D79" s="35">
        <f>D64+D67+D70+D73+D78</f>
        <v>141841167</v>
      </c>
      <c r="F79" s="15">
        <f t="shared" si="4"/>
        <v>34662431</v>
      </c>
      <c r="G79" s="17">
        <f t="shared" si="3"/>
        <v>0.24437497049076026</v>
      </c>
    </row>
    <row r="80" spans="2:7" x14ac:dyDescent="0.25">
      <c r="G80" s="17"/>
    </row>
    <row r="81" spans="1:7" ht="15.75" x14ac:dyDescent="0.25">
      <c r="A81" s="45" t="s">
        <v>136</v>
      </c>
      <c r="B81" s="46" t="s">
        <v>78</v>
      </c>
      <c r="G81" s="17"/>
    </row>
    <row r="82" spans="1:7" ht="15.75" thickBot="1" x14ac:dyDescent="0.3">
      <c r="F82" s="595" t="s">
        <v>89</v>
      </c>
      <c r="G82" s="595"/>
    </row>
    <row r="83" spans="1:7" ht="16.5" thickBot="1" x14ac:dyDescent="0.3">
      <c r="B83" s="25" t="s">
        <v>79</v>
      </c>
      <c r="C83" s="1">
        <v>2019</v>
      </c>
      <c r="D83" s="6">
        <v>2018</v>
      </c>
      <c r="F83" s="9" t="s">
        <v>90</v>
      </c>
      <c r="G83" s="9" t="s">
        <v>91</v>
      </c>
    </row>
    <row r="84" spans="1:7" ht="15.75" x14ac:dyDescent="0.25">
      <c r="B84" s="41" t="s">
        <v>137</v>
      </c>
      <c r="C84" s="12">
        <v>2763891</v>
      </c>
      <c r="D84" s="3">
        <v>2786301</v>
      </c>
      <c r="F84" s="15">
        <f>C84-D84</f>
        <v>-22410</v>
      </c>
      <c r="G84" s="17">
        <f t="shared" ref="G84:G103" si="5">F84/D84</f>
        <v>-8.0429214216267367E-3</v>
      </c>
    </row>
    <row r="85" spans="1:7" ht="31.5" x14ac:dyDescent="0.25">
      <c r="B85" s="54" t="s">
        <v>138</v>
      </c>
      <c r="C85" s="12">
        <v>554619</v>
      </c>
      <c r="D85" s="3">
        <v>341731</v>
      </c>
      <c r="F85" s="15">
        <f t="shared" ref="F85:F101" si="6">C85-D85</f>
        <v>212888</v>
      </c>
      <c r="G85" s="17">
        <f t="shared" si="5"/>
        <v>0.62296952866435884</v>
      </c>
    </row>
    <row r="86" spans="1:7" ht="31.5" x14ac:dyDescent="0.25">
      <c r="B86" s="41" t="s">
        <v>139</v>
      </c>
      <c r="C86" s="12">
        <v>4630001</v>
      </c>
      <c r="D86" s="3">
        <v>1877575</v>
      </c>
      <c r="F86" s="15">
        <f t="shared" si="6"/>
        <v>2752426</v>
      </c>
      <c r="G86" s="17">
        <f t="shared" si="5"/>
        <v>1.4659472990426481</v>
      </c>
    </row>
    <row r="87" spans="1:7" ht="31.5" x14ac:dyDescent="0.25">
      <c r="B87" s="41" t="s">
        <v>140</v>
      </c>
      <c r="C87" s="55" t="s">
        <v>142</v>
      </c>
      <c r="D87" s="49"/>
      <c r="F87" s="15"/>
      <c r="G87" s="17"/>
    </row>
    <row r="88" spans="1:7" ht="15.75" x14ac:dyDescent="0.25">
      <c r="B88" s="41" t="s">
        <v>141</v>
      </c>
      <c r="C88" s="12">
        <v>419825</v>
      </c>
      <c r="D88" s="3">
        <v>3794561</v>
      </c>
      <c r="F88" s="15">
        <f t="shared" si="6"/>
        <v>-3374736</v>
      </c>
      <c r="G88" s="17">
        <f t="shared" si="5"/>
        <v>-0.88936137803556192</v>
      </c>
    </row>
    <row r="89" spans="1:7" ht="31.5" x14ac:dyDescent="0.25">
      <c r="B89" s="41" t="s">
        <v>143</v>
      </c>
      <c r="C89" s="12">
        <v>1392545</v>
      </c>
      <c r="D89" s="55">
        <v>0</v>
      </c>
      <c r="F89" s="15">
        <f t="shared" si="6"/>
        <v>1392545</v>
      </c>
      <c r="G89" s="17">
        <v>1</v>
      </c>
    </row>
    <row r="90" spans="1:7" ht="15.75" x14ac:dyDescent="0.25">
      <c r="B90" s="57"/>
      <c r="C90" s="58">
        <f>SUM(C85:C89)</f>
        <v>6996990</v>
      </c>
      <c r="D90" s="58">
        <f>SUM(D85:D89)</f>
        <v>6013867</v>
      </c>
      <c r="F90" s="15"/>
      <c r="G90" s="17"/>
    </row>
    <row r="91" spans="1:7" ht="15.75" x14ac:dyDescent="0.25">
      <c r="B91" s="41" t="s">
        <v>144</v>
      </c>
      <c r="C91" s="12">
        <v>7185571</v>
      </c>
      <c r="D91" s="3">
        <v>6176453</v>
      </c>
      <c r="F91" s="15">
        <f t="shared" si="6"/>
        <v>1009118</v>
      </c>
      <c r="G91" s="17">
        <f t="shared" si="5"/>
        <v>0.16338147477200912</v>
      </c>
    </row>
    <row r="92" spans="1:7" ht="31.5" x14ac:dyDescent="0.25">
      <c r="B92" s="41" t="s">
        <v>145</v>
      </c>
      <c r="C92" s="12">
        <v>3357580</v>
      </c>
      <c r="D92" s="3">
        <v>2029148</v>
      </c>
      <c r="F92" s="15">
        <f t="shared" si="6"/>
        <v>1328432</v>
      </c>
      <c r="G92" s="17">
        <f t="shared" si="5"/>
        <v>0.65467476990342743</v>
      </c>
    </row>
    <row r="93" spans="1:7" ht="31.5" x14ac:dyDescent="0.25">
      <c r="B93" s="41" t="s">
        <v>146</v>
      </c>
      <c r="C93" s="12">
        <v>1796591</v>
      </c>
      <c r="D93" s="3">
        <v>944503</v>
      </c>
      <c r="F93" s="15">
        <f t="shared" si="6"/>
        <v>852088</v>
      </c>
      <c r="G93" s="17">
        <f t="shared" si="5"/>
        <v>0.90215488992623638</v>
      </c>
    </row>
    <row r="94" spans="1:7" ht="31.5" x14ac:dyDescent="0.25">
      <c r="B94" s="41" t="s">
        <v>147</v>
      </c>
      <c r="C94" s="12">
        <v>6086</v>
      </c>
      <c r="D94" s="3">
        <v>23565</v>
      </c>
      <c r="F94" s="15">
        <f t="shared" si="6"/>
        <v>-17479</v>
      </c>
      <c r="G94" s="17">
        <f t="shared" si="5"/>
        <v>-0.74173562486738809</v>
      </c>
    </row>
    <row r="95" spans="1:7" ht="15.75" x14ac:dyDescent="0.25">
      <c r="B95" s="41" t="s">
        <v>148</v>
      </c>
      <c r="C95" s="12">
        <v>958910</v>
      </c>
      <c r="D95" s="49">
        <v>0</v>
      </c>
      <c r="F95" s="15">
        <f t="shared" si="6"/>
        <v>958910</v>
      </c>
      <c r="G95" s="17">
        <v>1</v>
      </c>
    </row>
    <row r="96" spans="1:7" ht="31.5" x14ac:dyDescent="0.25">
      <c r="B96" s="41" t="s">
        <v>149</v>
      </c>
      <c r="C96" s="12">
        <v>23581511</v>
      </c>
      <c r="D96" s="3">
        <v>10486093</v>
      </c>
      <c r="F96" s="15">
        <f t="shared" si="6"/>
        <v>13095418</v>
      </c>
      <c r="G96" s="17">
        <f t="shared" si="5"/>
        <v>1.2488367211696483</v>
      </c>
    </row>
    <row r="97" spans="1:7" ht="31.5" x14ac:dyDescent="0.25">
      <c r="B97" s="41" t="s">
        <v>140</v>
      </c>
      <c r="C97" s="55" t="s">
        <v>151</v>
      </c>
      <c r="D97" s="49"/>
      <c r="F97" s="15"/>
      <c r="G97" s="17"/>
    </row>
    <row r="98" spans="1:7" ht="15.75" x14ac:dyDescent="0.25">
      <c r="B98" s="41" t="s">
        <v>150</v>
      </c>
      <c r="C98" s="12">
        <v>45568636</v>
      </c>
      <c r="D98" s="3">
        <v>19423229</v>
      </c>
      <c r="F98" s="15">
        <f t="shared" si="6"/>
        <v>26145407</v>
      </c>
      <c r="G98" s="17">
        <f t="shared" si="5"/>
        <v>1.3460896228943189</v>
      </c>
    </row>
    <row r="99" spans="1:7" ht="31.5" x14ac:dyDescent="0.25">
      <c r="B99" s="41" t="s">
        <v>152</v>
      </c>
      <c r="C99" s="55" t="s">
        <v>151</v>
      </c>
      <c r="D99" s="49"/>
      <c r="F99" s="15"/>
      <c r="G99" s="17"/>
    </row>
    <row r="100" spans="1:7" ht="15.75" x14ac:dyDescent="0.25">
      <c r="B100" s="41" t="s">
        <v>153</v>
      </c>
      <c r="C100" s="12">
        <v>1097281</v>
      </c>
      <c r="D100" s="3">
        <v>333000</v>
      </c>
      <c r="F100" s="15">
        <f t="shared" si="6"/>
        <v>764281</v>
      </c>
      <c r="G100" s="17">
        <f t="shared" si="5"/>
        <v>2.2951381381381379</v>
      </c>
    </row>
    <row r="101" spans="1:7" ht="31.5" x14ac:dyDescent="0.25">
      <c r="B101" s="41" t="s">
        <v>154</v>
      </c>
      <c r="C101" s="12">
        <v>28357336</v>
      </c>
      <c r="D101" s="3">
        <v>9730021</v>
      </c>
      <c r="F101" s="15">
        <f t="shared" si="6"/>
        <v>18627315</v>
      </c>
      <c r="G101" s="17">
        <f t="shared" si="5"/>
        <v>1.9144167314746803</v>
      </c>
    </row>
    <row r="102" spans="1:7" ht="16.5" thickBot="1" x14ac:dyDescent="0.3">
      <c r="B102" s="59"/>
      <c r="C102" s="60">
        <f>SUM(C91:C101)</f>
        <v>111909502</v>
      </c>
      <c r="D102" s="60">
        <f>SUM(D91:D101)</f>
        <v>49146012</v>
      </c>
      <c r="F102" s="15"/>
      <c r="G102" s="17"/>
    </row>
    <row r="103" spans="1:7" ht="16.5" thickBot="1" x14ac:dyDescent="0.3">
      <c r="B103" s="39" t="s">
        <v>83</v>
      </c>
      <c r="C103" s="56">
        <f>C102+C84+C90</f>
        <v>121670383</v>
      </c>
      <c r="D103" s="56">
        <f>D102+D84+D90</f>
        <v>57946180</v>
      </c>
      <c r="F103" s="56">
        <f>SUM(F84:F101)</f>
        <v>63724203</v>
      </c>
      <c r="G103" s="17">
        <f t="shared" si="5"/>
        <v>1.0997136135634826</v>
      </c>
    </row>
    <row r="104" spans="1:7" x14ac:dyDescent="0.25">
      <c r="G104" s="17"/>
    </row>
    <row r="105" spans="1:7" ht="31.5" x14ac:dyDescent="0.25">
      <c r="A105" s="45" t="s">
        <v>155</v>
      </c>
      <c r="B105" s="45" t="s">
        <v>12</v>
      </c>
      <c r="G105" s="17"/>
    </row>
    <row r="106" spans="1:7" ht="15.75" thickBot="1" x14ac:dyDescent="0.3">
      <c r="F106" s="595" t="s">
        <v>89</v>
      </c>
      <c r="G106" s="595"/>
    </row>
    <row r="107" spans="1:7" ht="16.5" thickBot="1" x14ac:dyDescent="0.3">
      <c r="B107" s="25" t="s">
        <v>156</v>
      </c>
      <c r="C107" s="6">
        <v>2019</v>
      </c>
      <c r="D107" s="6">
        <v>2018</v>
      </c>
      <c r="F107" s="9" t="s">
        <v>90</v>
      </c>
      <c r="G107" s="9" t="s">
        <v>91</v>
      </c>
    </row>
    <row r="108" spans="1:7" ht="15.75" x14ac:dyDescent="0.25">
      <c r="B108" s="61" t="s">
        <v>157</v>
      </c>
      <c r="C108" s="27"/>
      <c r="D108" s="27"/>
      <c r="G108" s="17"/>
    </row>
    <row r="109" spans="1:7" ht="15.75" x14ac:dyDescent="0.25">
      <c r="B109" s="41" t="s">
        <v>158</v>
      </c>
      <c r="C109" s="3">
        <v>25279643</v>
      </c>
      <c r="D109" s="3">
        <v>52435877</v>
      </c>
      <c r="F109" s="15">
        <f>C109-D109</f>
        <v>-27156234</v>
      </c>
      <c r="G109" s="17">
        <f>F109/D109</f>
        <v>-0.51789415098368619</v>
      </c>
    </row>
    <row r="110" spans="1:7" ht="15.75" x14ac:dyDescent="0.25">
      <c r="B110" s="41" t="s">
        <v>159</v>
      </c>
      <c r="C110" s="3">
        <v>180000</v>
      </c>
      <c r="D110" s="3">
        <v>180000</v>
      </c>
      <c r="F110" s="15">
        <f t="shared" ref="F110:F113" si="7">C110-D110</f>
        <v>0</v>
      </c>
      <c r="G110" s="17">
        <f t="shared" ref="G110:G118" si="8">F110/D110</f>
        <v>0</v>
      </c>
    </row>
    <row r="111" spans="1:7" ht="15.75" x14ac:dyDescent="0.25">
      <c r="B111" s="41" t="s">
        <v>160</v>
      </c>
      <c r="C111" s="3">
        <v>556427</v>
      </c>
      <c r="D111" s="3">
        <v>93741</v>
      </c>
      <c r="F111" s="15">
        <f t="shared" si="7"/>
        <v>462686</v>
      </c>
      <c r="G111" s="17">
        <f t="shared" si="8"/>
        <v>4.9357911692855847</v>
      </c>
    </row>
    <row r="112" spans="1:7" ht="15.75" x14ac:dyDescent="0.25">
      <c r="B112" s="41" t="s">
        <v>161</v>
      </c>
      <c r="C112" s="3">
        <v>125174</v>
      </c>
      <c r="D112" s="3">
        <v>1090141</v>
      </c>
      <c r="F112" s="15">
        <f t="shared" si="7"/>
        <v>-964967</v>
      </c>
      <c r="G112" s="17">
        <f t="shared" si="8"/>
        <v>-0.88517632122817136</v>
      </c>
    </row>
    <row r="113" spans="1:7" ht="16.5" thickBot="1" x14ac:dyDescent="0.3">
      <c r="B113" s="41" t="s">
        <v>162</v>
      </c>
      <c r="C113" s="3">
        <v>5643314</v>
      </c>
      <c r="D113" s="3">
        <v>5643313</v>
      </c>
      <c r="F113" s="15">
        <f t="shared" si="7"/>
        <v>1</v>
      </c>
      <c r="G113" s="17">
        <f t="shared" si="8"/>
        <v>1.7720087473439805E-7</v>
      </c>
    </row>
    <row r="114" spans="1:7" ht="16.5" thickBot="1" x14ac:dyDescent="0.3">
      <c r="B114" s="39" t="s">
        <v>163</v>
      </c>
      <c r="C114" s="5">
        <f>SUM(C109:C113)</f>
        <v>31784558</v>
      </c>
      <c r="D114" s="5">
        <f>SUM(D109:D113)</f>
        <v>59443072</v>
      </c>
      <c r="F114" s="5">
        <f>SUM(F109:F113)</f>
        <v>-27658514</v>
      </c>
      <c r="G114" s="17">
        <f t="shared" si="8"/>
        <v>-0.46529415572600286</v>
      </c>
    </row>
    <row r="115" spans="1:7" ht="15.75" x14ac:dyDescent="0.25">
      <c r="B115" s="26" t="s">
        <v>164</v>
      </c>
      <c r="C115" s="37"/>
      <c r="D115" s="37"/>
    </row>
    <row r="116" spans="1:7" ht="32.25" thickBot="1" x14ac:dyDescent="0.3">
      <c r="B116" s="41" t="s">
        <v>165</v>
      </c>
      <c r="C116" s="3">
        <v>762394</v>
      </c>
      <c r="D116" s="3">
        <v>429118</v>
      </c>
      <c r="F116" s="15">
        <f>C116-D116</f>
        <v>333276</v>
      </c>
      <c r="G116" s="17">
        <f t="shared" si="8"/>
        <v>0.77665350789293386</v>
      </c>
    </row>
    <row r="117" spans="1:7" ht="16.5" thickBot="1" x14ac:dyDescent="0.3">
      <c r="B117" s="39" t="s">
        <v>163</v>
      </c>
      <c r="C117" s="5">
        <f>SUM(C116)</f>
        <v>762394</v>
      </c>
      <c r="D117" s="5">
        <f>SUM(D116)</f>
        <v>429118</v>
      </c>
    </row>
    <row r="118" spans="1:7" ht="16.5" thickBot="1" x14ac:dyDescent="0.3">
      <c r="B118" s="19" t="s">
        <v>83</v>
      </c>
      <c r="C118" s="24">
        <f>C114+C117</f>
        <v>32546952</v>
      </c>
      <c r="D118" s="24">
        <f>D114+D117</f>
        <v>59872190</v>
      </c>
      <c r="F118" s="24">
        <f>F114+F116</f>
        <v>-27325238</v>
      </c>
      <c r="G118" s="17">
        <f t="shared" si="8"/>
        <v>-0.45639282611843662</v>
      </c>
    </row>
    <row r="120" spans="1:7" ht="20.25" customHeight="1" x14ac:dyDescent="0.25">
      <c r="A120" s="63" t="s">
        <v>166</v>
      </c>
    </row>
    <row r="121" spans="1:7" ht="15.75" thickBot="1" x14ac:dyDescent="0.3"/>
    <row r="122" spans="1:7" ht="62.25" customHeight="1" x14ac:dyDescent="0.25">
      <c r="B122" s="598" t="s">
        <v>167</v>
      </c>
      <c r="C122" s="598" t="s">
        <v>168</v>
      </c>
      <c r="D122" s="598" t="s">
        <v>169</v>
      </c>
      <c r="E122" s="598" t="s">
        <v>170</v>
      </c>
      <c r="F122" s="65" t="s">
        <v>171</v>
      </c>
    </row>
    <row r="123" spans="1:7" ht="16.5" thickBot="1" x14ac:dyDescent="0.3">
      <c r="B123" s="599"/>
      <c r="C123" s="599"/>
      <c r="D123" s="599"/>
      <c r="E123" s="599"/>
      <c r="F123" s="66" t="s">
        <v>172</v>
      </c>
    </row>
    <row r="124" spans="1:7" ht="16.5" thickBot="1" x14ac:dyDescent="0.3">
      <c r="B124" s="67" t="s">
        <v>173</v>
      </c>
      <c r="C124" s="68">
        <v>199431937</v>
      </c>
      <c r="D124" s="68">
        <v>3036577</v>
      </c>
      <c r="E124" s="69"/>
      <c r="F124" s="68">
        <f>C124+D124-E124</f>
        <v>202468514</v>
      </c>
    </row>
    <row r="125" spans="1:7" ht="16.5" thickBot="1" x14ac:dyDescent="0.3">
      <c r="B125" s="67" t="s">
        <v>174</v>
      </c>
      <c r="C125" s="68">
        <v>99969047</v>
      </c>
      <c r="D125" s="70"/>
      <c r="E125" s="68">
        <v>43464803</v>
      </c>
      <c r="F125" s="68">
        <f t="shared" ref="F125:F132" si="9">C125+D125-E125</f>
        <v>56504244</v>
      </c>
    </row>
    <row r="126" spans="1:7" ht="16.5" thickBot="1" x14ac:dyDescent="0.3">
      <c r="B126" s="67" t="s">
        <v>175</v>
      </c>
      <c r="C126" s="68">
        <v>224669297</v>
      </c>
      <c r="D126" s="68">
        <v>365139992</v>
      </c>
      <c r="E126" s="68">
        <v>112060920</v>
      </c>
      <c r="F126" s="68">
        <f t="shared" si="9"/>
        <v>477748369</v>
      </c>
    </row>
    <row r="127" spans="1:7" ht="16.5" thickBot="1" x14ac:dyDescent="0.3">
      <c r="B127" s="67" t="s">
        <v>176</v>
      </c>
      <c r="C127" s="68">
        <v>1258822103</v>
      </c>
      <c r="D127" s="68">
        <v>469242285</v>
      </c>
      <c r="E127" s="68">
        <v>351144930</v>
      </c>
      <c r="F127" s="68">
        <f t="shared" si="9"/>
        <v>1376919458</v>
      </c>
    </row>
    <row r="128" spans="1:7" ht="16.5" thickBot="1" x14ac:dyDescent="0.3">
      <c r="B128" s="67" t="s">
        <v>177</v>
      </c>
      <c r="C128" s="68">
        <v>391098283</v>
      </c>
      <c r="D128" s="68">
        <v>259344086</v>
      </c>
      <c r="E128" s="68">
        <v>285824343</v>
      </c>
      <c r="F128" s="68">
        <f t="shared" si="9"/>
        <v>364618026</v>
      </c>
    </row>
    <row r="129" spans="1:7" ht="16.5" thickBot="1" x14ac:dyDescent="0.3">
      <c r="B129" s="67" t="s">
        <v>178</v>
      </c>
      <c r="C129" s="68">
        <v>93396918</v>
      </c>
      <c r="D129" s="68">
        <v>17105905</v>
      </c>
      <c r="E129" s="68">
        <v>71695002</v>
      </c>
      <c r="F129" s="68">
        <f t="shared" si="9"/>
        <v>38807821</v>
      </c>
    </row>
    <row r="130" spans="1:7" ht="16.5" thickBot="1" x14ac:dyDescent="0.3">
      <c r="B130" s="67" t="s">
        <v>179</v>
      </c>
      <c r="C130" s="68">
        <v>42057116</v>
      </c>
      <c r="D130" s="68">
        <v>22857456</v>
      </c>
      <c r="E130" s="68">
        <v>29718383</v>
      </c>
      <c r="F130" s="68">
        <f t="shared" si="9"/>
        <v>35196189</v>
      </c>
    </row>
    <row r="131" spans="1:7" ht="16.5" thickBot="1" x14ac:dyDescent="0.3">
      <c r="B131" s="67" t="s">
        <v>180</v>
      </c>
      <c r="C131" s="68">
        <v>40182921</v>
      </c>
      <c r="D131" s="68">
        <v>13646062</v>
      </c>
      <c r="E131" s="68">
        <v>31992975</v>
      </c>
      <c r="F131" s="68">
        <f t="shared" si="9"/>
        <v>21836008</v>
      </c>
    </row>
    <row r="132" spans="1:7" ht="16.5" thickBot="1" x14ac:dyDescent="0.3">
      <c r="B132" s="67" t="s">
        <v>181</v>
      </c>
      <c r="C132" s="68">
        <v>31027715</v>
      </c>
      <c r="D132" s="68">
        <v>2010832</v>
      </c>
      <c r="E132" s="70"/>
      <c r="F132" s="68">
        <f t="shared" si="9"/>
        <v>33038547</v>
      </c>
    </row>
    <row r="133" spans="1:7" ht="16.5" thickBot="1" x14ac:dyDescent="0.3">
      <c r="B133" s="71" t="s">
        <v>83</v>
      </c>
      <c r="C133" s="72">
        <f>SUM(C124:C132)</f>
        <v>2380655337</v>
      </c>
      <c r="D133" s="72">
        <f>SUM(D124:D132)</f>
        <v>1152383195</v>
      </c>
      <c r="E133" s="72">
        <f>SUM(E124:E132)</f>
        <v>925901356</v>
      </c>
      <c r="F133" s="72">
        <f>SUM(F124:F132)</f>
        <v>2607137176</v>
      </c>
    </row>
    <row r="135" spans="1:7" ht="15.75" x14ac:dyDescent="0.25">
      <c r="A135" s="63" t="s">
        <v>182</v>
      </c>
    </row>
    <row r="136" spans="1:7" ht="15.75" thickBot="1" x14ac:dyDescent="0.3"/>
    <row r="137" spans="1:7" ht="48" thickBot="1" x14ac:dyDescent="0.3">
      <c r="B137" s="25" t="s">
        <v>96</v>
      </c>
      <c r="C137" s="25" t="s">
        <v>183</v>
      </c>
      <c r="D137" s="25" t="s">
        <v>184</v>
      </c>
      <c r="E137" s="25" t="s">
        <v>185</v>
      </c>
    </row>
    <row r="138" spans="1:7" ht="16.5" thickBot="1" x14ac:dyDescent="0.3">
      <c r="B138" s="42" t="s">
        <v>186</v>
      </c>
      <c r="C138" s="32">
        <v>14753776</v>
      </c>
      <c r="D138" s="73">
        <v>1200000</v>
      </c>
      <c r="E138" s="32">
        <f>C138-D138</f>
        <v>13553776</v>
      </c>
    </row>
    <row r="140" spans="1:7" ht="15.75" x14ac:dyDescent="0.25">
      <c r="A140" s="63" t="s">
        <v>187</v>
      </c>
    </row>
    <row r="141" spans="1:7" ht="15.75" thickBot="1" x14ac:dyDescent="0.3">
      <c r="F141" s="595" t="s">
        <v>89</v>
      </c>
      <c r="G141" s="595"/>
    </row>
    <row r="142" spans="1:7" ht="16.5" thickBot="1" x14ac:dyDescent="0.3">
      <c r="B142" s="4" t="s">
        <v>79</v>
      </c>
      <c r="C142" s="25">
        <v>2019</v>
      </c>
      <c r="D142" s="25">
        <v>2018</v>
      </c>
      <c r="F142" s="9" t="s">
        <v>90</v>
      </c>
      <c r="G142" s="9" t="s">
        <v>91</v>
      </c>
    </row>
    <row r="143" spans="1:7" ht="15.75" x14ac:dyDescent="0.25">
      <c r="B143" s="48" t="s">
        <v>16</v>
      </c>
      <c r="C143" s="27"/>
      <c r="D143" s="27"/>
    </row>
    <row r="144" spans="1:7" ht="15.75" x14ac:dyDescent="0.25">
      <c r="B144" s="41" t="s">
        <v>188</v>
      </c>
      <c r="C144" s="3">
        <v>217383408</v>
      </c>
      <c r="D144" s="3">
        <v>153730325</v>
      </c>
      <c r="F144" s="15">
        <f>C144-D144</f>
        <v>63653083</v>
      </c>
      <c r="G144" s="17">
        <f>F144/D144</f>
        <v>0.41405677767219967</v>
      </c>
    </row>
    <row r="145" spans="2:7" ht="31.5" x14ac:dyDescent="0.25">
      <c r="B145" s="41" t="s">
        <v>189</v>
      </c>
      <c r="C145" s="3">
        <v>11650463</v>
      </c>
      <c r="D145" s="3">
        <v>1709071</v>
      </c>
      <c r="F145" s="15">
        <f t="shared" ref="F145:F147" si="10">C145-D145</f>
        <v>9941392</v>
      </c>
      <c r="G145" s="17">
        <f>F145/D145</f>
        <v>5.816839674887702</v>
      </c>
    </row>
    <row r="146" spans="2:7" ht="15.75" x14ac:dyDescent="0.25">
      <c r="B146" s="41" t="s">
        <v>190</v>
      </c>
      <c r="C146" s="3">
        <v>6958760</v>
      </c>
      <c r="D146" s="3">
        <v>247061</v>
      </c>
      <c r="F146" s="15">
        <f t="shared" si="10"/>
        <v>6711699</v>
      </c>
      <c r="G146" s="17">
        <f>F146/D146</f>
        <v>27.166161393340108</v>
      </c>
    </row>
    <row r="147" spans="2:7" ht="16.5" thickBot="1" x14ac:dyDescent="0.3">
      <c r="B147" s="41" t="s">
        <v>191</v>
      </c>
      <c r="C147" s="49">
        <v>0</v>
      </c>
      <c r="D147" s="3">
        <v>947707</v>
      </c>
      <c r="F147" s="15">
        <f t="shared" si="10"/>
        <v>-947707</v>
      </c>
      <c r="G147" s="17">
        <f>F147/D147</f>
        <v>-1</v>
      </c>
    </row>
    <row r="148" spans="2:7" ht="16.5" thickBot="1" x14ac:dyDescent="0.3">
      <c r="B148" s="53" t="s">
        <v>107</v>
      </c>
      <c r="C148" s="5">
        <f>SUM(C144:C147)</f>
        <v>235992631</v>
      </c>
      <c r="D148" s="5">
        <f>SUM(D144:D147)</f>
        <v>156634164</v>
      </c>
      <c r="G148" s="17"/>
    </row>
    <row r="149" spans="2:7" ht="15.75" x14ac:dyDescent="0.25">
      <c r="B149" s="26" t="s">
        <v>20</v>
      </c>
      <c r="C149" s="51"/>
      <c r="D149" s="51"/>
      <c r="G149" s="17"/>
    </row>
    <row r="150" spans="2:7" ht="16.5" thickBot="1" x14ac:dyDescent="0.3">
      <c r="B150" s="41" t="s">
        <v>191</v>
      </c>
      <c r="C150" s="3">
        <v>397925551</v>
      </c>
      <c r="D150" s="3">
        <v>307225145</v>
      </c>
      <c r="F150" s="15">
        <f t="shared" ref="F150:F152" si="11">C150-D150</f>
        <v>90700406</v>
      </c>
      <c r="G150" s="17">
        <f>F150/D150</f>
        <v>0.2952245526647892</v>
      </c>
    </row>
    <row r="151" spans="2:7" ht="16.5" thickBot="1" x14ac:dyDescent="0.3">
      <c r="B151" s="53" t="s">
        <v>107</v>
      </c>
      <c r="C151" s="5">
        <v>397925551</v>
      </c>
      <c r="D151" s="5">
        <v>307225145</v>
      </c>
    </row>
    <row r="152" spans="2:7" ht="16.5" thickBot="1" x14ac:dyDescent="0.3">
      <c r="B152" s="19" t="s">
        <v>83</v>
      </c>
      <c r="C152" s="24">
        <v>633918182</v>
      </c>
      <c r="D152" s="24">
        <v>463859309</v>
      </c>
      <c r="F152" s="15">
        <f t="shared" si="11"/>
        <v>170058873</v>
      </c>
      <c r="G152" s="17">
        <f>F152/D152</f>
        <v>0.36661735509117488</v>
      </c>
    </row>
    <row r="153" spans="2:7" ht="15.75" thickBot="1" x14ac:dyDescent="0.3"/>
    <row r="154" spans="2:7" ht="16.5" thickBot="1" x14ac:dyDescent="0.3">
      <c r="B154" s="6" t="s">
        <v>192</v>
      </c>
      <c r="C154" s="6" t="s">
        <v>193</v>
      </c>
    </row>
    <row r="155" spans="2:7" ht="31.5" x14ac:dyDescent="0.25">
      <c r="B155" s="74" t="s">
        <v>194</v>
      </c>
      <c r="C155" s="3">
        <v>1439729</v>
      </c>
      <c r="F155" s="75">
        <v>63986238</v>
      </c>
    </row>
    <row r="156" spans="2:7" ht="47.25" x14ac:dyDescent="0.25">
      <c r="B156" s="74" t="s">
        <v>195</v>
      </c>
      <c r="C156" s="49"/>
      <c r="F156" s="15">
        <v>56665751</v>
      </c>
    </row>
    <row r="157" spans="2:7" ht="31.5" x14ac:dyDescent="0.25">
      <c r="B157" s="74" t="s">
        <v>196</v>
      </c>
      <c r="C157" s="3">
        <v>95500000</v>
      </c>
      <c r="F157" s="15">
        <v>17448515</v>
      </c>
    </row>
    <row r="158" spans="2:7" ht="47.25" x14ac:dyDescent="0.25">
      <c r="B158" s="74" t="s">
        <v>197</v>
      </c>
      <c r="C158" s="49"/>
      <c r="F158" s="75">
        <f>SUM(F155:F157)</f>
        <v>138100504</v>
      </c>
    </row>
    <row r="159" spans="2:7" ht="31.5" x14ac:dyDescent="0.25">
      <c r="B159" s="74" t="s">
        <v>198</v>
      </c>
      <c r="C159" s="49"/>
      <c r="F159" s="15">
        <f>D150+D147</f>
        <v>308172852</v>
      </c>
    </row>
    <row r="160" spans="2:7" ht="15.75" x14ac:dyDescent="0.25">
      <c r="B160" s="74" t="s">
        <v>199</v>
      </c>
      <c r="C160" s="3">
        <v>3527550</v>
      </c>
      <c r="E160" s="9">
        <v>48347805</v>
      </c>
      <c r="F160" s="75">
        <f>F158</f>
        <v>138100504</v>
      </c>
      <c r="G160" s="75">
        <f>F159+F160-E160</f>
        <v>397925551</v>
      </c>
    </row>
    <row r="161" spans="2:6" ht="31.5" x14ac:dyDescent="0.25">
      <c r="B161" s="41" t="s">
        <v>200</v>
      </c>
      <c r="C161" s="49"/>
      <c r="F161" s="15">
        <f>C150</f>
        <v>397925551</v>
      </c>
    </row>
    <row r="162" spans="2:6" ht="31.5" x14ac:dyDescent="0.25">
      <c r="B162" s="41" t="s">
        <v>201</v>
      </c>
      <c r="C162" s="3">
        <v>92388890</v>
      </c>
    </row>
    <row r="163" spans="2:6" ht="31.5" x14ac:dyDescent="0.25">
      <c r="B163" s="41" t="s">
        <v>202</v>
      </c>
      <c r="C163" s="49"/>
    </row>
    <row r="164" spans="2:6" ht="31.5" x14ac:dyDescent="0.25">
      <c r="B164" s="41" t="s">
        <v>203</v>
      </c>
      <c r="C164" s="49"/>
    </row>
    <row r="165" spans="2:6" ht="31.5" x14ac:dyDescent="0.25">
      <c r="B165" s="41" t="s">
        <v>204</v>
      </c>
      <c r="C165" s="49"/>
    </row>
    <row r="166" spans="2:6" ht="15.75" x14ac:dyDescent="0.25">
      <c r="B166" s="41" t="s">
        <v>205</v>
      </c>
      <c r="C166" s="3">
        <v>124225949</v>
      </c>
    </row>
    <row r="167" spans="2:6" ht="47.25" x14ac:dyDescent="0.25">
      <c r="B167" s="2" t="s">
        <v>206</v>
      </c>
      <c r="C167" s="49"/>
    </row>
    <row r="168" spans="2:6" ht="31.5" x14ac:dyDescent="0.25">
      <c r="B168" s="2" t="s">
        <v>207</v>
      </c>
      <c r="C168" s="49"/>
    </row>
    <row r="169" spans="2:6" ht="15.75" x14ac:dyDescent="0.25">
      <c r="B169" s="2" t="s">
        <v>208</v>
      </c>
      <c r="C169" s="3">
        <v>60795561</v>
      </c>
    </row>
    <row r="170" spans="2:6" ht="31.5" x14ac:dyDescent="0.25">
      <c r="B170" s="41" t="s">
        <v>209</v>
      </c>
      <c r="C170" s="49"/>
    </row>
    <row r="171" spans="2:6" ht="31.5" x14ac:dyDescent="0.25">
      <c r="B171" s="41" t="s">
        <v>210</v>
      </c>
      <c r="C171" s="49"/>
    </row>
    <row r="172" spans="2:6" ht="31.5" x14ac:dyDescent="0.25">
      <c r="B172" s="41" t="s">
        <v>211</v>
      </c>
      <c r="C172" s="49"/>
    </row>
    <row r="173" spans="2:6" ht="31.5" x14ac:dyDescent="0.25">
      <c r="B173" s="41" t="s">
        <v>212</v>
      </c>
      <c r="C173" s="49"/>
    </row>
    <row r="174" spans="2:6" ht="16.5" thickBot="1" x14ac:dyDescent="0.3">
      <c r="B174" s="38" t="s">
        <v>213</v>
      </c>
      <c r="C174" s="32">
        <v>20047872</v>
      </c>
    </row>
    <row r="175" spans="2:6" ht="16.5" thickBot="1" x14ac:dyDescent="0.3">
      <c r="B175" s="43" t="s">
        <v>214</v>
      </c>
      <c r="C175" s="35">
        <f>SUM(C155:C174)</f>
        <v>397925551</v>
      </c>
    </row>
    <row r="177" spans="1:7" ht="16.5" thickBot="1" x14ac:dyDescent="0.3">
      <c r="A177" s="63" t="s">
        <v>223</v>
      </c>
    </row>
    <row r="178" spans="1:7" ht="15.75" x14ac:dyDescent="0.25">
      <c r="B178" s="600" t="s">
        <v>79</v>
      </c>
      <c r="C178" s="602">
        <v>2019</v>
      </c>
      <c r="D178" s="76">
        <v>2018</v>
      </c>
    </row>
    <row r="179" spans="1:7" ht="32.25" thickBot="1" x14ac:dyDescent="0.3">
      <c r="B179" s="601"/>
      <c r="C179" s="603"/>
      <c r="D179" s="77" t="s">
        <v>215</v>
      </c>
    </row>
    <row r="180" spans="1:7" ht="15.75" x14ac:dyDescent="0.25">
      <c r="B180" s="41" t="s">
        <v>216</v>
      </c>
      <c r="C180" s="3">
        <v>8546784</v>
      </c>
      <c r="D180" s="3">
        <v>12178864</v>
      </c>
      <c r="F180" s="15">
        <f>C180-D180</f>
        <v>-3632080</v>
      </c>
      <c r="G180" s="17">
        <f>F180/D180</f>
        <v>-0.29822814344589116</v>
      </c>
    </row>
    <row r="181" spans="1:7" ht="15.75" x14ac:dyDescent="0.25">
      <c r="B181" s="41" t="s">
        <v>217</v>
      </c>
      <c r="C181" s="3">
        <v>6133894</v>
      </c>
      <c r="D181" s="3">
        <v>5258337</v>
      </c>
      <c r="F181" s="15">
        <f t="shared" ref="F181:F187" si="12">C181-D181</f>
        <v>875557</v>
      </c>
      <c r="G181" s="17">
        <f t="shared" ref="G181:G187" si="13">F181/D181</f>
        <v>0.16650834665028125</v>
      </c>
    </row>
    <row r="182" spans="1:7" ht="15.75" x14ac:dyDescent="0.25">
      <c r="B182" s="41" t="s">
        <v>218</v>
      </c>
      <c r="C182" s="49">
        <v>92100</v>
      </c>
      <c r="D182" s="3">
        <v>885540</v>
      </c>
      <c r="F182" s="15">
        <f t="shared" si="12"/>
        <v>-793440</v>
      </c>
      <c r="G182" s="17">
        <f t="shared" si="13"/>
        <v>-0.89599566366284977</v>
      </c>
    </row>
    <row r="183" spans="1:7" ht="15.75" x14ac:dyDescent="0.25">
      <c r="B183" s="41" t="s">
        <v>219</v>
      </c>
      <c r="C183" s="3">
        <v>3493147</v>
      </c>
      <c r="D183" s="3">
        <v>3455159</v>
      </c>
      <c r="F183" s="15">
        <f t="shared" si="12"/>
        <v>37988</v>
      </c>
      <c r="G183" s="17">
        <f t="shared" si="13"/>
        <v>1.0994573621648091E-2</v>
      </c>
    </row>
    <row r="184" spans="1:7" ht="15.75" x14ac:dyDescent="0.25">
      <c r="B184" s="41" t="s">
        <v>220</v>
      </c>
      <c r="C184" s="3">
        <v>12936754</v>
      </c>
      <c r="D184" s="3">
        <v>34403061</v>
      </c>
      <c r="F184" s="15">
        <f t="shared" si="12"/>
        <v>-21466307</v>
      </c>
      <c r="G184" s="17">
        <f t="shared" si="13"/>
        <v>-0.62396503032099382</v>
      </c>
    </row>
    <row r="185" spans="1:7" ht="15.75" x14ac:dyDescent="0.25">
      <c r="B185" s="41" t="s">
        <v>221</v>
      </c>
      <c r="C185" s="3">
        <v>6745542</v>
      </c>
      <c r="D185" s="3">
        <v>9758059</v>
      </c>
      <c r="F185" s="15">
        <f t="shared" si="12"/>
        <v>-3012517</v>
      </c>
      <c r="G185" s="17">
        <f t="shared" si="13"/>
        <v>-0.30872092492984515</v>
      </c>
    </row>
    <row r="186" spans="1:7" ht="16.5" thickBot="1" x14ac:dyDescent="0.3">
      <c r="B186" s="41" t="s">
        <v>222</v>
      </c>
      <c r="C186" s="3">
        <v>24614790</v>
      </c>
      <c r="D186" s="3">
        <v>19147162</v>
      </c>
      <c r="F186" s="15">
        <f t="shared" si="12"/>
        <v>5467628</v>
      </c>
      <c r="G186" s="17">
        <f t="shared" si="13"/>
        <v>0.28555814172356198</v>
      </c>
    </row>
    <row r="187" spans="1:7" ht="16.5" thickBot="1" x14ac:dyDescent="0.3">
      <c r="B187" s="39" t="s">
        <v>83</v>
      </c>
      <c r="C187" s="5">
        <f>SUM(C180:C186)</f>
        <v>62563011</v>
      </c>
      <c r="D187" s="5">
        <f>SUM(D180:D186)</f>
        <v>85086182</v>
      </c>
      <c r="F187" s="15">
        <f t="shared" si="12"/>
        <v>-22523171</v>
      </c>
      <c r="G187" s="17">
        <f t="shared" si="13"/>
        <v>-0.26471009123432049</v>
      </c>
    </row>
    <row r="189" spans="1:7" ht="15.75" x14ac:dyDescent="0.25">
      <c r="A189" s="78"/>
    </row>
    <row r="190" spans="1:7" ht="15.75" x14ac:dyDescent="0.25">
      <c r="A190" s="63" t="s">
        <v>224</v>
      </c>
    </row>
    <row r="191" spans="1:7" ht="15.75" thickBot="1" x14ac:dyDescent="0.3"/>
    <row r="192" spans="1:7" ht="15.75" x14ac:dyDescent="0.25">
      <c r="B192" s="604" t="s">
        <v>79</v>
      </c>
      <c r="C192" s="604">
        <v>2019</v>
      </c>
      <c r="D192" s="79">
        <v>2018</v>
      </c>
    </row>
    <row r="193" spans="1:7" ht="16.5" thickBot="1" x14ac:dyDescent="0.3">
      <c r="B193" s="605"/>
      <c r="C193" s="605"/>
      <c r="D193" s="80" t="s">
        <v>215</v>
      </c>
    </row>
    <row r="194" spans="1:7" ht="15.75" x14ac:dyDescent="0.25">
      <c r="B194" s="81" t="s">
        <v>19</v>
      </c>
      <c r="C194" s="82">
        <v>1000000</v>
      </c>
      <c r="D194" s="82">
        <v>1000000</v>
      </c>
      <c r="F194" s="15">
        <f>C194-D194</f>
        <v>0</v>
      </c>
      <c r="G194" s="17">
        <f>F194/D194</f>
        <v>0</v>
      </c>
    </row>
    <row r="195" spans="1:7" ht="15.75" x14ac:dyDescent="0.25">
      <c r="B195" s="81" t="s">
        <v>225</v>
      </c>
      <c r="C195" s="82">
        <v>51399423</v>
      </c>
      <c r="D195" s="82">
        <v>47347475</v>
      </c>
      <c r="F195" s="15">
        <f t="shared" ref="F195:F198" si="14">C195-D195</f>
        <v>4051948</v>
      </c>
      <c r="G195" s="17">
        <f t="shared" ref="G195:G198" si="15">F195/D195</f>
        <v>8.5578966988207925E-2</v>
      </c>
    </row>
    <row r="196" spans="1:7" ht="15.75" x14ac:dyDescent="0.25">
      <c r="B196" s="81" t="s">
        <v>226</v>
      </c>
      <c r="C196" s="82">
        <v>1752941</v>
      </c>
      <c r="D196" s="82">
        <v>2655270</v>
      </c>
      <c r="F196" s="15">
        <f t="shared" si="14"/>
        <v>-902329</v>
      </c>
      <c r="G196" s="17">
        <f t="shared" si="15"/>
        <v>-0.33982570510720189</v>
      </c>
    </row>
    <row r="197" spans="1:7" ht="32.25" thickBot="1" x14ac:dyDescent="0.3">
      <c r="B197" s="81" t="s">
        <v>227</v>
      </c>
      <c r="C197" s="82">
        <v>9760851</v>
      </c>
      <c r="D197" s="82">
        <v>8194926</v>
      </c>
      <c r="F197" s="15">
        <f t="shared" si="14"/>
        <v>1565925</v>
      </c>
      <c r="G197" s="17">
        <f t="shared" si="15"/>
        <v>0.19108470290030685</v>
      </c>
    </row>
    <row r="198" spans="1:7" ht="16.5" thickBot="1" x14ac:dyDescent="0.3">
      <c r="B198" s="83" t="s">
        <v>83</v>
      </c>
      <c r="C198" s="84">
        <f>SUM(C194:C197)</f>
        <v>63913215</v>
      </c>
      <c r="D198" s="84">
        <f>SUM(D194:D197)</f>
        <v>59197671</v>
      </c>
      <c r="F198" s="15">
        <f t="shared" si="14"/>
        <v>4715544</v>
      </c>
      <c r="G198" s="17">
        <f t="shared" si="15"/>
        <v>7.9657593286060188E-2</v>
      </c>
    </row>
    <row r="199" spans="1:7" ht="15.75" thickBot="1" x14ac:dyDescent="0.3"/>
    <row r="200" spans="1:7" ht="16.5" thickBot="1" x14ac:dyDescent="0.3">
      <c r="B200" s="606">
        <v>2019</v>
      </c>
      <c r="C200" s="606"/>
      <c r="D200" s="606">
        <v>2018</v>
      </c>
      <c r="E200" s="606"/>
    </row>
    <row r="201" spans="1:7" ht="15.75" x14ac:dyDescent="0.25">
      <c r="B201" s="21" t="s">
        <v>228</v>
      </c>
      <c r="C201" s="85">
        <v>26278582</v>
      </c>
      <c r="D201" s="21" t="s">
        <v>229</v>
      </c>
      <c r="E201" s="85">
        <v>17679952</v>
      </c>
    </row>
    <row r="202" spans="1:7" ht="31.5" x14ac:dyDescent="0.25">
      <c r="B202" s="86" t="s">
        <v>229</v>
      </c>
      <c r="C202" s="85">
        <v>17545552</v>
      </c>
      <c r="D202" s="86" t="s">
        <v>230</v>
      </c>
      <c r="E202" s="85">
        <v>15259251</v>
      </c>
    </row>
    <row r="203" spans="1:7" ht="31.5" x14ac:dyDescent="0.25">
      <c r="B203" s="86" t="s">
        <v>230</v>
      </c>
      <c r="C203" s="85">
        <v>2139816</v>
      </c>
      <c r="D203" s="86" t="s">
        <v>231</v>
      </c>
      <c r="E203" s="85">
        <v>14237292</v>
      </c>
    </row>
    <row r="204" spans="1:7" ht="31.5" x14ac:dyDescent="0.25">
      <c r="B204" s="86" t="s">
        <v>231</v>
      </c>
      <c r="C204" s="85">
        <v>5264493</v>
      </c>
      <c r="D204" s="86" t="s">
        <v>232</v>
      </c>
      <c r="E204" s="85">
        <v>170980</v>
      </c>
    </row>
    <row r="205" spans="1:7" ht="16.5" thickBot="1" x14ac:dyDescent="0.3">
      <c r="B205" s="86" t="s">
        <v>232</v>
      </c>
      <c r="C205" s="85">
        <v>170980</v>
      </c>
      <c r="D205" s="51"/>
      <c r="E205" s="87">
        <v>0</v>
      </c>
    </row>
    <row r="206" spans="1:7" ht="16.5" thickBot="1" x14ac:dyDescent="0.3">
      <c r="B206" s="88" t="s">
        <v>233</v>
      </c>
      <c r="C206" s="89">
        <f>SUM(C201:C205)</f>
        <v>51399423</v>
      </c>
      <c r="D206" s="88" t="s">
        <v>234</v>
      </c>
      <c r="E206" s="89">
        <f>SUM(E201:E205)</f>
        <v>47347475</v>
      </c>
    </row>
    <row r="208" spans="1:7" ht="15.75" x14ac:dyDescent="0.25">
      <c r="A208" s="63" t="s">
        <v>235</v>
      </c>
    </row>
    <row r="209" spans="1:7" ht="15.75" thickBot="1" x14ac:dyDescent="0.3"/>
    <row r="210" spans="1:7" ht="16.5" thickBot="1" x14ac:dyDescent="0.3">
      <c r="B210" s="76" t="s">
        <v>79</v>
      </c>
      <c r="C210" s="76">
        <v>2019</v>
      </c>
      <c r="D210" s="76">
        <v>2018</v>
      </c>
    </row>
    <row r="211" spans="1:7" ht="15.75" x14ac:dyDescent="0.25">
      <c r="B211" s="90" t="s">
        <v>236</v>
      </c>
      <c r="C211" s="91">
        <v>100622063</v>
      </c>
      <c r="D211" s="91">
        <v>72386992</v>
      </c>
      <c r="F211" s="15">
        <f>C211-D211</f>
        <v>28235071</v>
      </c>
      <c r="G211" s="17">
        <f>F211/D211</f>
        <v>0.39005724951245385</v>
      </c>
    </row>
    <row r="212" spans="1:7" ht="31.5" x14ac:dyDescent="0.25">
      <c r="B212" s="92" t="s">
        <v>237</v>
      </c>
      <c r="C212" s="85">
        <v>62907135</v>
      </c>
      <c r="D212" s="85">
        <v>48814057</v>
      </c>
      <c r="F212" s="15">
        <f t="shared" ref="F212:F213" si="16">C212-D212</f>
        <v>14093078</v>
      </c>
      <c r="G212" s="17">
        <f t="shared" ref="G212:G213" si="17">F212/D212</f>
        <v>0.28870941827269142</v>
      </c>
    </row>
    <row r="213" spans="1:7" ht="16.5" thickBot="1" x14ac:dyDescent="0.3">
      <c r="B213" s="93" t="s">
        <v>238</v>
      </c>
      <c r="C213" s="94">
        <v>13994115</v>
      </c>
      <c r="D213" s="94">
        <v>9390903</v>
      </c>
      <c r="F213" s="15">
        <f t="shared" si="16"/>
        <v>4603212</v>
      </c>
      <c r="G213" s="17">
        <f t="shared" si="17"/>
        <v>0.4901777816254731</v>
      </c>
    </row>
    <row r="214" spans="1:7" ht="16.5" thickBot="1" x14ac:dyDescent="0.3">
      <c r="B214" s="95" t="s">
        <v>67</v>
      </c>
      <c r="C214" s="96">
        <f>SUM(C211:C213)</f>
        <v>177523313</v>
      </c>
      <c r="D214" s="96">
        <f>SUM(D211:D213)</f>
        <v>130591952</v>
      </c>
      <c r="F214" s="15">
        <f t="shared" ref="F214" si="18">C214-D214</f>
        <v>46931361</v>
      </c>
      <c r="G214" s="17">
        <f t="shared" ref="G214" si="19">F214/D214</f>
        <v>0.35937406770671443</v>
      </c>
    </row>
    <row r="216" spans="1:7" ht="15.75" x14ac:dyDescent="0.25">
      <c r="A216" s="78" t="s">
        <v>239</v>
      </c>
    </row>
    <row r="218" spans="1:7" ht="15.75" x14ac:dyDescent="0.25">
      <c r="B218" s="97"/>
      <c r="C218" s="98">
        <v>2019</v>
      </c>
      <c r="D218" s="98">
        <v>2018</v>
      </c>
    </row>
    <row r="219" spans="1:7" ht="15.75" x14ac:dyDescent="0.25">
      <c r="B219" s="99" t="s">
        <v>240</v>
      </c>
      <c r="C219" s="100">
        <v>16</v>
      </c>
      <c r="D219" s="100">
        <v>16</v>
      </c>
    </row>
    <row r="220" spans="1:7" ht="15.75" x14ac:dyDescent="0.25">
      <c r="B220" s="99" t="s">
        <v>241</v>
      </c>
      <c r="C220" s="100">
        <v>426</v>
      </c>
      <c r="D220" s="100">
        <v>378</v>
      </c>
    </row>
    <row r="221" spans="1:7" ht="15.75" x14ac:dyDescent="0.25">
      <c r="B221" s="99" t="s">
        <v>242</v>
      </c>
      <c r="C221" s="100">
        <v>81</v>
      </c>
      <c r="D221" s="100">
        <v>77</v>
      </c>
    </row>
    <row r="222" spans="1:7" ht="15.75" x14ac:dyDescent="0.25">
      <c r="B222" s="99" t="s">
        <v>243</v>
      </c>
      <c r="C222" s="100">
        <v>13</v>
      </c>
      <c r="D222" s="100">
        <v>14</v>
      </c>
    </row>
    <row r="223" spans="1:7" ht="32.25" thickBot="1" x14ac:dyDescent="0.3">
      <c r="B223" s="101" t="s">
        <v>244</v>
      </c>
      <c r="C223" s="102">
        <v>1204</v>
      </c>
      <c r="D223" s="102">
        <v>1140</v>
      </c>
    </row>
    <row r="224" spans="1:7" ht="16.5" thickBot="1" x14ac:dyDescent="0.3">
      <c r="B224" s="103" t="s">
        <v>245</v>
      </c>
      <c r="C224" s="104">
        <f>SUM(C219:C223)</f>
        <v>1740</v>
      </c>
      <c r="D224" s="104">
        <f>SUM(D219:D223)</f>
        <v>1625</v>
      </c>
    </row>
    <row r="227" spans="1:7" ht="15.75" x14ac:dyDescent="0.25">
      <c r="A227" s="105"/>
    </row>
    <row r="228" spans="1:7" ht="15.75" x14ac:dyDescent="0.25">
      <c r="A228" s="63" t="s">
        <v>246</v>
      </c>
    </row>
    <row r="229" spans="1:7" ht="16.5" thickBot="1" x14ac:dyDescent="0.3">
      <c r="B229" s="106" t="s">
        <v>79</v>
      </c>
      <c r="C229" s="106">
        <v>2019</v>
      </c>
      <c r="D229" s="107">
        <v>2018</v>
      </c>
    </row>
    <row r="230" spans="1:7" ht="31.5" x14ac:dyDescent="0.25">
      <c r="B230" s="108" t="s">
        <v>247</v>
      </c>
      <c r="C230" s="51"/>
      <c r="D230" s="51"/>
    </row>
    <row r="231" spans="1:7" ht="15.75" x14ac:dyDescent="0.25">
      <c r="B231" s="41" t="s">
        <v>248</v>
      </c>
      <c r="C231" s="85">
        <v>241945</v>
      </c>
      <c r="D231" s="85">
        <v>252836</v>
      </c>
      <c r="F231" s="15">
        <f>C231-D231</f>
        <v>-10891</v>
      </c>
      <c r="G231" s="17">
        <f>F231/D231</f>
        <v>-4.3075353193374362E-2</v>
      </c>
    </row>
    <row r="232" spans="1:7" ht="15.75" x14ac:dyDescent="0.25">
      <c r="B232" s="41" t="s">
        <v>249</v>
      </c>
      <c r="C232" s="3">
        <v>7891182</v>
      </c>
      <c r="D232" s="3">
        <v>6970422</v>
      </c>
      <c r="F232" s="15">
        <f>C232-D232</f>
        <v>920760</v>
      </c>
      <c r="G232" s="17">
        <f>F232/D232</f>
        <v>0.13209530212087589</v>
      </c>
    </row>
    <row r="233" spans="1:7" x14ac:dyDescent="0.25">
      <c r="B233" s="51"/>
      <c r="C233" s="597"/>
      <c r="D233" s="597"/>
      <c r="G233" s="17"/>
    </row>
    <row r="234" spans="1:7" ht="15.75" x14ac:dyDescent="0.25">
      <c r="B234" s="108" t="s">
        <v>250</v>
      </c>
      <c r="C234" s="597"/>
      <c r="D234" s="597"/>
      <c r="G234" s="17"/>
    </row>
    <row r="235" spans="1:7" ht="15.75" x14ac:dyDescent="0.25">
      <c r="B235" s="41" t="s">
        <v>251</v>
      </c>
      <c r="C235" s="3">
        <v>138324115</v>
      </c>
      <c r="D235" s="3">
        <v>143539278</v>
      </c>
      <c r="F235" s="15">
        <f>C235-D235</f>
        <v>-5215163</v>
      </c>
      <c r="G235" s="17">
        <f>F235/D235</f>
        <v>-3.6332654536551309E-2</v>
      </c>
    </row>
    <row r="236" spans="1:7" ht="31.5" x14ac:dyDescent="0.25">
      <c r="B236" s="109" t="s">
        <v>252</v>
      </c>
      <c r="C236" s="3">
        <v>-6120899</v>
      </c>
      <c r="D236" s="3">
        <v>-4173635</v>
      </c>
      <c r="F236" s="15">
        <f>C236-D236</f>
        <v>-1947264</v>
      </c>
      <c r="G236" s="17">
        <f>F236/D236</f>
        <v>0.4665630799051666</v>
      </c>
    </row>
    <row r="237" spans="1:7" ht="15.75" x14ac:dyDescent="0.25">
      <c r="B237" s="41" t="s">
        <v>253</v>
      </c>
      <c r="C237" s="3">
        <v>94069001</v>
      </c>
      <c r="D237" s="3">
        <v>102753421</v>
      </c>
      <c r="F237" s="15">
        <f>C237-D237</f>
        <v>-8684420</v>
      </c>
      <c r="G237" s="17">
        <f>F237/D237</f>
        <v>-8.4517088730310982E-2</v>
      </c>
    </row>
    <row r="238" spans="1:7" ht="31.5" x14ac:dyDescent="0.25">
      <c r="B238" s="41" t="s">
        <v>254</v>
      </c>
      <c r="C238" s="3">
        <v>-2896038</v>
      </c>
      <c r="D238" s="3">
        <v>-2287056</v>
      </c>
      <c r="F238" s="15">
        <f>C238-D238</f>
        <v>-608982</v>
      </c>
      <c r="G238" s="17">
        <f>F238/D238</f>
        <v>0.26627332255965747</v>
      </c>
    </row>
    <row r="239" spans="1:7" ht="15.75" x14ac:dyDescent="0.25">
      <c r="B239" s="41" t="s">
        <v>255</v>
      </c>
      <c r="C239" s="85">
        <v>10773458</v>
      </c>
      <c r="D239" s="85">
        <v>4590884</v>
      </c>
      <c r="F239" s="15">
        <f>C239-D239</f>
        <v>6182574</v>
      </c>
      <c r="G239" s="17">
        <f>F239/D239</f>
        <v>1.3467066473472211</v>
      </c>
    </row>
    <row r="240" spans="1:7" x14ac:dyDescent="0.25">
      <c r="B240" s="51"/>
      <c r="C240" s="597"/>
      <c r="D240" s="597"/>
      <c r="G240" s="17"/>
    </row>
    <row r="241" spans="2:7" ht="31.5" x14ac:dyDescent="0.25">
      <c r="B241" s="108" t="s">
        <v>256</v>
      </c>
      <c r="C241" s="597"/>
      <c r="D241" s="597"/>
      <c r="G241" s="17"/>
    </row>
    <row r="242" spans="2:7" ht="15.75" x14ac:dyDescent="0.25">
      <c r="B242" s="41" t="s">
        <v>257</v>
      </c>
      <c r="C242" s="85">
        <v>256827181</v>
      </c>
      <c r="D242" s="85">
        <v>223519321</v>
      </c>
      <c r="F242" s="15">
        <f>C242-D242</f>
        <v>33307860</v>
      </c>
      <c r="G242" s="17">
        <f>F242/D242</f>
        <v>0.14901557436280866</v>
      </c>
    </row>
    <row r="243" spans="2:7" ht="31.5" x14ac:dyDescent="0.25">
      <c r="B243" s="41" t="s">
        <v>258</v>
      </c>
      <c r="C243" s="85">
        <v>38190</v>
      </c>
      <c r="D243" s="85">
        <v>39667</v>
      </c>
      <c r="F243" s="15">
        <f>C243-D243</f>
        <v>-1477</v>
      </c>
      <c r="G243" s="17">
        <f>F243/D243</f>
        <v>-3.723498121864522E-2</v>
      </c>
    </row>
    <row r="244" spans="2:7" ht="15.75" x14ac:dyDescent="0.25">
      <c r="B244" s="41" t="s">
        <v>259</v>
      </c>
      <c r="C244" s="3">
        <v>32700559</v>
      </c>
      <c r="D244" s="3">
        <v>37907381</v>
      </c>
      <c r="F244" s="15">
        <f>C244-D244</f>
        <v>-5206822</v>
      </c>
      <c r="G244" s="17">
        <f>F244/D244</f>
        <v>-0.13735641615547114</v>
      </c>
    </row>
    <row r="245" spans="2:7" ht="15.75" x14ac:dyDescent="0.25">
      <c r="B245" s="108" t="s">
        <v>260</v>
      </c>
      <c r="C245" s="51"/>
      <c r="D245" s="51"/>
      <c r="G245" s="17"/>
    </row>
    <row r="246" spans="2:7" ht="15.75" x14ac:dyDescent="0.25">
      <c r="B246" s="41" t="s">
        <v>261</v>
      </c>
      <c r="C246" s="3">
        <v>12032341</v>
      </c>
      <c r="D246" s="3">
        <v>15576147</v>
      </c>
      <c r="F246" s="15">
        <f>C246-D246</f>
        <v>-3543806</v>
      </c>
      <c r="G246" s="17">
        <f>F246/D246</f>
        <v>-0.22751493036114773</v>
      </c>
    </row>
    <row r="247" spans="2:7" x14ac:dyDescent="0.25">
      <c r="B247" s="51"/>
      <c r="C247" s="597"/>
      <c r="D247" s="597"/>
      <c r="G247" s="17"/>
    </row>
    <row r="248" spans="2:7" ht="31.5" x14ac:dyDescent="0.25">
      <c r="B248" s="108" t="s">
        <v>262</v>
      </c>
      <c r="C248" s="597"/>
      <c r="D248" s="597"/>
      <c r="G248" s="17"/>
    </row>
    <row r="249" spans="2:7" ht="31.5" x14ac:dyDescent="0.25">
      <c r="B249" s="41" t="s">
        <v>263</v>
      </c>
      <c r="C249" s="85">
        <v>12586852</v>
      </c>
      <c r="D249" s="85">
        <v>1198775</v>
      </c>
      <c r="F249" s="15">
        <f>C249-D249</f>
        <v>11388077</v>
      </c>
      <c r="G249" s="17">
        <f>F249/D249</f>
        <v>9.4997618402118835</v>
      </c>
    </row>
    <row r="250" spans="2:7" ht="16.5" thickBot="1" x14ac:dyDescent="0.3">
      <c r="B250" s="38" t="s">
        <v>264</v>
      </c>
      <c r="C250" s="32">
        <v>6026761</v>
      </c>
      <c r="D250" s="32">
        <v>2969513</v>
      </c>
      <c r="F250" s="15">
        <f>C250-D250</f>
        <v>3057248</v>
      </c>
      <c r="G250" s="17">
        <f>F250/D250</f>
        <v>1.0295452486653536</v>
      </c>
    </row>
    <row r="251" spans="2:7" ht="16.5" thickBot="1" x14ac:dyDescent="0.3">
      <c r="B251" s="36" t="s">
        <v>83</v>
      </c>
      <c r="C251" s="96">
        <f>SUM(C231:C250)</f>
        <v>562494648</v>
      </c>
      <c r="D251" s="96">
        <f>SUM(D231:D250)</f>
        <v>532856954</v>
      </c>
      <c r="F251" s="96">
        <f>SUM(F231:F250)</f>
        <v>29637694</v>
      </c>
      <c r="G251" s="17">
        <f>F251/D251</f>
        <v>5.5620356978582287E-2</v>
      </c>
    </row>
    <row r="254" spans="2:7" ht="15.75" x14ac:dyDescent="0.25">
      <c r="B254" s="607" t="s">
        <v>79</v>
      </c>
      <c r="C254" s="609">
        <v>2019</v>
      </c>
      <c r="D254" s="62">
        <v>2018</v>
      </c>
    </row>
    <row r="255" spans="2:7" ht="32.25" thickBot="1" x14ac:dyDescent="0.3">
      <c r="B255" s="608"/>
      <c r="C255" s="610"/>
      <c r="D255" s="110" t="s">
        <v>215</v>
      </c>
    </row>
    <row r="256" spans="2:7" ht="15.75" x14ac:dyDescent="0.25">
      <c r="B256" s="26" t="s">
        <v>265</v>
      </c>
      <c r="C256" s="51"/>
      <c r="D256" s="51"/>
    </row>
    <row r="257" spans="1:7" ht="15.75" x14ac:dyDescent="0.25">
      <c r="B257" s="28" t="s">
        <v>266</v>
      </c>
      <c r="C257" s="159">
        <v>639222882</v>
      </c>
      <c r="D257" s="85">
        <v>584258976</v>
      </c>
    </row>
    <row r="258" spans="1:7" ht="32.25" thickBot="1" x14ac:dyDescent="0.3">
      <c r="B258" s="30" t="s">
        <v>267</v>
      </c>
      <c r="C258" s="94">
        <v>1459251</v>
      </c>
      <c r="D258" s="111" t="s">
        <v>268</v>
      </c>
    </row>
    <row r="259" spans="1:7" ht="16.5" thickBot="1" x14ac:dyDescent="0.3">
      <c r="B259" s="36" t="s">
        <v>83</v>
      </c>
      <c r="C259" s="158">
        <f>SUM(C257:C258)</f>
        <v>640682133</v>
      </c>
      <c r="D259" s="96">
        <f>SUM(D257:D258)</f>
        <v>584258976</v>
      </c>
    </row>
    <row r="262" spans="1:7" ht="15.75" x14ac:dyDescent="0.25">
      <c r="A262" s="63" t="s">
        <v>269</v>
      </c>
    </row>
    <row r="264" spans="1:7" ht="15.75" x14ac:dyDescent="0.25">
      <c r="B264" s="611" t="s">
        <v>79</v>
      </c>
      <c r="C264" s="613">
        <v>2019</v>
      </c>
      <c r="D264" s="64">
        <v>2018</v>
      </c>
    </row>
    <row r="265" spans="1:7" ht="32.25" thickBot="1" x14ac:dyDescent="0.3">
      <c r="B265" s="612"/>
      <c r="C265" s="614"/>
      <c r="D265" s="77" t="s">
        <v>215</v>
      </c>
    </row>
    <row r="266" spans="1:7" ht="15.75" x14ac:dyDescent="0.25">
      <c r="B266" s="112" t="s">
        <v>270</v>
      </c>
      <c r="C266" s="113"/>
      <c r="D266" s="51"/>
    </row>
    <row r="267" spans="1:7" ht="15.75" x14ac:dyDescent="0.25">
      <c r="B267" s="114" t="s">
        <v>271</v>
      </c>
      <c r="C267" s="12">
        <v>13802205</v>
      </c>
      <c r="D267" s="85">
        <v>15322427</v>
      </c>
      <c r="F267" s="15">
        <f>C267-D267</f>
        <v>-1520222</v>
      </c>
      <c r="G267" s="17">
        <f>F267/D267</f>
        <v>-9.9215483291256665E-2</v>
      </c>
    </row>
    <row r="268" spans="1:7" ht="15.75" x14ac:dyDescent="0.25">
      <c r="B268" s="41" t="s">
        <v>272</v>
      </c>
      <c r="C268" s="12">
        <v>695310</v>
      </c>
      <c r="D268" s="85">
        <v>1145690</v>
      </c>
      <c r="F268" s="15">
        <f t="shared" ref="F268:F276" si="20">C268-D268</f>
        <v>-450380</v>
      </c>
      <c r="G268" s="17">
        <f t="shared" ref="G268:G276" si="21">F268/D268</f>
        <v>-0.3931080833384249</v>
      </c>
    </row>
    <row r="269" spans="1:7" ht="31.5" x14ac:dyDescent="0.25">
      <c r="B269" s="41" t="s">
        <v>273</v>
      </c>
      <c r="C269" s="12">
        <v>14803149</v>
      </c>
      <c r="D269" s="3">
        <v>13190561</v>
      </c>
      <c r="F269" s="15">
        <f t="shared" si="20"/>
        <v>1612588</v>
      </c>
      <c r="G269" s="17">
        <f t="shared" si="21"/>
        <v>0.12225317785953152</v>
      </c>
    </row>
    <row r="270" spans="1:7" ht="15.75" x14ac:dyDescent="0.25">
      <c r="B270" s="41" t="s">
        <v>274</v>
      </c>
      <c r="C270" s="12">
        <v>5237099</v>
      </c>
      <c r="D270" s="85">
        <v>5328153</v>
      </c>
      <c r="F270" s="15">
        <f t="shared" si="20"/>
        <v>-91054</v>
      </c>
      <c r="G270" s="17">
        <f t="shared" si="21"/>
        <v>-1.7089223976864028E-2</v>
      </c>
    </row>
    <row r="271" spans="1:7" ht="15.75" x14ac:dyDescent="0.25">
      <c r="B271" s="41" t="s">
        <v>275</v>
      </c>
      <c r="C271" s="12">
        <v>27300</v>
      </c>
      <c r="D271" s="85">
        <v>33988</v>
      </c>
      <c r="F271" s="15">
        <f t="shared" si="20"/>
        <v>-6688</v>
      </c>
      <c r="G271" s="17">
        <f t="shared" si="21"/>
        <v>-0.19677533247028364</v>
      </c>
    </row>
    <row r="272" spans="1:7" ht="15.75" x14ac:dyDescent="0.25">
      <c r="B272" s="41" t="s">
        <v>276</v>
      </c>
      <c r="C272" s="55" t="s">
        <v>277</v>
      </c>
      <c r="D272" s="87" t="s">
        <v>278</v>
      </c>
      <c r="F272" s="15">
        <v>0</v>
      </c>
      <c r="G272" s="17"/>
    </row>
    <row r="273" spans="2:7" ht="47.25" x14ac:dyDescent="0.25">
      <c r="B273" s="41" t="s">
        <v>279</v>
      </c>
      <c r="C273" s="12">
        <v>133050</v>
      </c>
      <c r="D273" s="85">
        <v>122280</v>
      </c>
      <c r="F273" s="15">
        <f t="shared" si="20"/>
        <v>10770</v>
      </c>
      <c r="G273" s="17">
        <f t="shared" si="21"/>
        <v>8.8076545632973499E-2</v>
      </c>
    </row>
    <row r="274" spans="2:7" ht="31.5" x14ac:dyDescent="0.25">
      <c r="B274" s="41" t="s">
        <v>280</v>
      </c>
      <c r="C274" s="12">
        <v>430999</v>
      </c>
      <c r="D274" s="85">
        <v>363228</v>
      </c>
      <c r="F274" s="15">
        <f t="shared" si="20"/>
        <v>67771</v>
      </c>
      <c r="G274" s="17">
        <f t="shared" si="21"/>
        <v>0.18657977909192022</v>
      </c>
    </row>
    <row r="275" spans="2:7" ht="16.5" thickBot="1" x14ac:dyDescent="0.3">
      <c r="B275" s="41" t="s">
        <v>281</v>
      </c>
      <c r="C275" s="12">
        <v>431689</v>
      </c>
      <c r="D275" s="85">
        <v>543089</v>
      </c>
      <c r="F275" s="15">
        <f t="shared" si="20"/>
        <v>-111400</v>
      </c>
      <c r="G275" s="17">
        <f t="shared" si="21"/>
        <v>-0.20512291723824272</v>
      </c>
    </row>
    <row r="276" spans="2:7" ht="16.5" thickBot="1" x14ac:dyDescent="0.3">
      <c r="B276" s="39" t="s">
        <v>282</v>
      </c>
      <c r="C276" s="56">
        <f>SUM(C267:C275)</f>
        <v>35560801</v>
      </c>
      <c r="D276" s="56">
        <f>SUM(D267:D275)</f>
        <v>36049416</v>
      </c>
      <c r="F276" s="15">
        <f t="shared" si="20"/>
        <v>-488615</v>
      </c>
      <c r="G276" s="17">
        <f t="shared" si="21"/>
        <v>-1.3554033718604485E-2</v>
      </c>
    </row>
    <row r="277" spans="2:7" x14ac:dyDescent="0.25">
      <c r="B277" s="51"/>
      <c r="C277" s="113"/>
      <c r="D277" s="615"/>
      <c r="G277" s="17"/>
    </row>
    <row r="278" spans="2:7" ht="15.75" x14ac:dyDescent="0.25">
      <c r="B278" s="115" t="s">
        <v>283</v>
      </c>
      <c r="C278" s="113"/>
      <c r="D278" s="597"/>
      <c r="G278" s="17"/>
    </row>
    <row r="279" spans="2:7" ht="15.75" x14ac:dyDescent="0.25">
      <c r="B279" s="86" t="s">
        <v>284</v>
      </c>
      <c r="C279" s="12">
        <v>3201500</v>
      </c>
      <c r="D279" s="85">
        <v>4948680</v>
      </c>
      <c r="F279" s="15">
        <f t="shared" ref="F279:F290" si="22">C279-D279</f>
        <v>-1747180</v>
      </c>
      <c r="G279" s="17">
        <f t="shared" ref="G279:G290" si="23">F279/D279</f>
        <v>-0.3530598058472158</v>
      </c>
    </row>
    <row r="280" spans="2:7" ht="15.75" x14ac:dyDescent="0.25">
      <c r="B280" s="86" t="s">
        <v>285</v>
      </c>
      <c r="C280" s="12">
        <v>1159099</v>
      </c>
      <c r="D280" s="85">
        <v>1018193</v>
      </c>
      <c r="F280" s="15">
        <f t="shared" si="22"/>
        <v>140906</v>
      </c>
      <c r="G280" s="17">
        <f t="shared" si="23"/>
        <v>0.13838830162847318</v>
      </c>
    </row>
    <row r="281" spans="2:7" ht="15.75" x14ac:dyDescent="0.25">
      <c r="B281" s="86" t="s">
        <v>286</v>
      </c>
      <c r="C281" s="12">
        <v>4772838</v>
      </c>
      <c r="D281" s="85">
        <v>4716500</v>
      </c>
      <c r="F281" s="15">
        <f t="shared" si="22"/>
        <v>56338</v>
      </c>
      <c r="G281" s="17">
        <f t="shared" si="23"/>
        <v>1.1944874377186472E-2</v>
      </c>
    </row>
    <row r="282" spans="2:7" ht="15.75" x14ac:dyDescent="0.25">
      <c r="B282" s="86" t="s">
        <v>287</v>
      </c>
      <c r="C282" s="12">
        <v>11468568</v>
      </c>
      <c r="D282" s="85">
        <v>13794594</v>
      </c>
      <c r="F282" s="15">
        <f t="shared" si="22"/>
        <v>-2326026</v>
      </c>
      <c r="G282" s="17">
        <f t="shared" si="23"/>
        <v>-0.16861866322415869</v>
      </c>
    </row>
    <row r="283" spans="2:7" ht="31.5" x14ac:dyDescent="0.25">
      <c r="B283" s="86" t="s">
        <v>288</v>
      </c>
      <c r="C283" s="12">
        <v>9293875</v>
      </c>
      <c r="D283" s="85">
        <v>5645892</v>
      </c>
      <c r="F283" s="15">
        <f t="shared" si="22"/>
        <v>3647983</v>
      </c>
      <c r="G283" s="17">
        <f t="shared" si="23"/>
        <v>0.64613049629713071</v>
      </c>
    </row>
    <row r="284" spans="2:7" ht="31.5" x14ac:dyDescent="0.25">
      <c r="B284" s="86" t="s">
        <v>289</v>
      </c>
      <c r="C284" s="12">
        <v>973511</v>
      </c>
      <c r="D284" s="85">
        <v>1096932</v>
      </c>
      <c r="F284" s="15">
        <f t="shared" si="22"/>
        <v>-123421</v>
      </c>
      <c r="G284" s="17">
        <f t="shared" si="23"/>
        <v>-0.11251472288163715</v>
      </c>
    </row>
    <row r="285" spans="2:7" ht="15.75" x14ac:dyDescent="0.25">
      <c r="B285" s="86" t="s">
        <v>290</v>
      </c>
      <c r="C285" s="12">
        <v>5899293</v>
      </c>
      <c r="D285" s="85">
        <v>6471961</v>
      </c>
      <c r="F285" s="15">
        <f t="shared" si="22"/>
        <v>-572668</v>
      </c>
      <c r="G285" s="17">
        <f t="shared" si="23"/>
        <v>-8.8484463982400383E-2</v>
      </c>
    </row>
    <row r="286" spans="2:7" ht="15.75" x14ac:dyDescent="0.25">
      <c r="B286" s="86" t="s">
        <v>291</v>
      </c>
      <c r="C286" s="12">
        <v>78369836</v>
      </c>
      <c r="D286" s="85">
        <v>70797045</v>
      </c>
      <c r="F286" s="15">
        <f t="shared" si="22"/>
        <v>7572791</v>
      </c>
      <c r="G286" s="17">
        <f t="shared" si="23"/>
        <v>0.10696478927898756</v>
      </c>
    </row>
    <row r="287" spans="2:7" ht="15.75" x14ac:dyDescent="0.25">
      <c r="B287" s="86" t="s">
        <v>73</v>
      </c>
      <c r="C287" s="160">
        <v>11079094</v>
      </c>
      <c r="D287" s="85">
        <v>11507546</v>
      </c>
      <c r="F287" s="15">
        <f t="shared" si="22"/>
        <v>-428452</v>
      </c>
      <c r="G287" s="17">
        <f t="shared" si="23"/>
        <v>-3.7232264811281224E-2</v>
      </c>
    </row>
    <row r="288" spans="2:7" ht="32.25" thickBot="1" x14ac:dyDescent="0.3">
      <c r="B288" s="86" t="s">
        <v>292</v>
      </c>
      <c r="C288" s="12">
        <v>43859</v>
      </c>
      <c r="D288" s="85">
        <v>1239736</v>
      </c>
      <c r="F288" s="15">
        <f t="shared" si="22"/>
        <v>-1195877</v>
      </c>
      <c r="G288" s="17">
        <f t="shared" si="23"/>
        <v>-0.96462230668464899</v>
      </c>
    </row>
    <row r="289" spans="1:7" ht="16.5" thickBot="1" x14ac:dyDescent="0.3">
      <c r="B289" s="116" t="s">
        <v>293</v>
      </c>
      <c r="C289" s="117">
        <f>SUM(C279:C288)</f>
        <v>126261473</v>
      </c>
      <c r="D289" s="117">
        <f>SUM(D279:D288)</f>
        <v>121237079</v>
      </c>
      <c r="F289" s="15">
        <f t="shared" si="22"/>
        <v>5024394</v>
      </c>
      <c r="G289" s="17">
        <f t="shared" si="23"/>
        <v>4.1442717371968356E-2</v>
      </c>
    </row>
    <row r="290" spans="1:7" ht="16.5" thickBot="1" x14ac:dyDescent="0.3">
      <c r="B290" s="88" t="s">
        <v>294</v>
      </c>
      <c r="C290" s="89">
        <f>C276+C289</f>
        <v>161822274</v>
      </c>
      <c r="D290" s="89">
        <f>D276+D289</f>
        <v>157286495</v>
      </c>
      <c r="F290" s="15">
        <f t="shared" si="22"/>
        <v>4535779</v>
      </c>
      <c r="G290" s="17">
        <f t="shared" si="23"/>
        <v>2.8837688830182145E-2</v>
      </c>
    </row>
    <row r="292" spans="1:7" ht="15.75" x14ac:dyDescent="0.25">
      <c r="A292" s="78" t="s">
        <v>295</v>
      </c>
    </row>
    <row r="294" spans="1:7" ht="16.5" thickBot="1" x14ac:dyDescent="0.3">
      <c r="B294" s="19" t="s">
        <v>296</v>
      </c>
      <c r="C294" s="118">
        <v>2019</v>
      </c>
      <c r="D294" s="118">
        <v>2018</v>
      </c>
    </row>
    <row r="295" spans="1:7" ht="15.75" x14ac:dyDescent="0.25">
      <c r="B295" s="86" t="s">
        <v>297</v>
      </c>
      <c r="C295" s="159">
        <v>1849258</v>
      </c>
      <c r="D295" s="85">
        <v>2305408</v>
      </c>
    </row>
    <row r="296" spans="1:7" ht="16.5" thickBot="1" x14ac:dyDescent="0.3">
      <c r="B296" s="86" t="s">
        <v>298</v>
      </c>
      <c r="C296" s="159">
        <v>192400</v>
      </c>
      <c r="D296" s="87" t="s">
        <v>299</v>
      </c>
    </row>
    <row r="297" spans="1:7" ht="16.5" thickBot="1" x14ac:dyDescent="0.3">
      <c r="B297" s="88" t="s">
        <v>83</v>
      </c>
      <c r="C297" s="89">
        <v>2041658</v>
      </c>
      <c r="D297" s="89">
        <v>2305408</v>
      </c>
    </row>
    <row r="299" spans="1:7" x14ac:dyDescent="0.25">
      <c r="A299" s="119" t="s">
        <v>300</v>
      </c>
    </row>
    <row r="301" spans="1:7" ht="15.75" x14ac:dyDescent="0.25">
      <c r="B301" s="611" t="s">
        <v>79</v>
      </c>
      <c r="C301" s="616">
        <v>2019</v>
      </c>
      <c r="D301" s="64">
        <v>2018</v>
      </c>
    </row>
    <row r="302" spans="1:7" ht="32.25" thickBot="1" x14ac:dyDescent="0.3">
      <c r="B302" s="612"/>
      <c r="C302" s="603"/>
      <c r="D302" s="77" t="s">
        <v>215</v>
      </c>
    </row>
    <row r="303" spans="1:7" ht="15.75" x14ac:dyDescent="0.25">
      <c r="B303" s="120" t="s">
        <v>77</v>
      </c>
      <c r="C303" s="87"/>
      <c r="D303" s="87"/>
    </row>
    <row r="304" spans="1:7" ht="15.75" x14ac:dyDescent="0.25">
      <c r="B304" s="121" t="s">
        <v>77</v>
      </c>
      <c r="C304" s="85">
        <v>32713120</v>
      </c>
      <c r="D304" s="85">
        <v>23514116</v>
      </c>
    </row>
    <row r="305" spans="1:7" ht="15.75" x14ac:dyDescent="0.25">
      <c r="B305" s="120" t="s">
        <v>301</v>
      </c>
      <c r="C305" s="87"/>
      <c r="D305" s="87"/>
    </row>
    <row r="306" spans="1:7" ht="15.75" x14ac:dyDescent="0.25">
      <c r="B306" s="617" t="s">
        <v>302</v>
      </c>
      <c r="C306" s="87" t="s">
        <v>303</v>
      </c>
      <c r="D306" s="87" t="s">
        <v>304</v>
      </c>
    </row>
    <row r="307" spans="1:7" ht="15.75" x14ac:dyDescent="0.25">
      <c r="B307" s="617"/>
      <c r="C307" s="87"/>
      <c r="D307" s="87"/>
    </row>
    <row r="308" spans="1:7" ht="16.5" thickBot="1" x14ac:dyDescent="0.3">
      <c r="B308" s="618"/>
      <c r="C308" s="85">
        <v>3850</v>
      </c>
      <c r="D308" s="85">
        <v>511000</v>
      </c>
    </row>
    <row r="309" spans="1:7" ht="16.5" thickBot="1" x14ac:dyDescent="0.3">
      <c r="B309" s="122" t="s">
        <v>83</v>
      </c>
      <c r="C309" s="89">
        <f>SUM(C304:C308)</f>
        <v>32716970</v>
      </c>
      <c r="D309" s="89">
        <f>SUM(D304:D308)</f>
        <v>24025116</v>
      </c>
    </row>
    <row r="311" spans="1:7" ht="15.75" x14ac:dyDescent="0.25">
      <c r="A311" s="78" t="s">
        <v>306</v>
      </c>
    </row>
    <row r="312" spans="1:7" ht="16.5" thickBot="1" x14ac:dyDescent="0.3">
      <c r="B312" s="106" t="s">
        <v>79</v>
      </c>
      <c r="C312" s="77">
        <v>2019</v>
      </c>
      <c r="D312" s="123">
        <v>2018</v>
      </c>
    </row>
    <row r="313" spans="1:7" ht="15.75" x14ac:dyDescent="0.25">
      <c r="B313" s="26" t="s">
        <v>41</v>
      </c>
      <c r="C313" s="27"/>
      <c r="D313" s="27"/>
    </row>
    <row r="314" spans="1:7" ht="15.75" x14ac:dyDescent="0.25">
      <c r="B314" s="41" t="s">
        <v>307</v>
      </c>
      <c r="C314" s="85">
        <v>189772708</v>
      </c>
      <c r="D314" s="85">
        <v>161259722</v>
      </c>
      <c r="F314" s="15">
        <f>C314-D314</f>
        <v>28512986</v>
      </c>
      <c r="G314" s="17">
        <f>F314/D314</f>
        <v>0.17681405899980407</v>
      </c>
    </row>
    <row r="315" spans="1:7" ht="31.5" x14ac:dyDescent="0.25">
      <c r="B315" s="41" t="s">
        <v>308</v>
      </c>
      <c r="C315" s="85">
        <v>1765346</v>
      </c>
      <c r="D315" s="85">
        <v>3103042</v>
      </c>
      <c r="F315" s="15">
        <f t="shared" ref="F315:F337" si="24">C315-D315</f>
        <v>-1337696</v>
      </c>
      <c r="G315" s="17">
        <f t="shared" ref="G315:G337" si="25">F315/D315</f>
        <v>-0.43109181248594119</v>
      </c>
    </row>
    <row r="316" spans="1:7" x14ac:dyDescent="0.25">
      <c r="B316" s="51"/>
      <c r="C316" s="597"/>
      <c r="D316" s="51"/>
      <c r="F316" s="15"/>
      <c r="G316" s="17"/>
    </row>
    <row r="317" spans="1:7" ht="15.75" x14ac:dyDescent="0.25">
      <c r="B317" s="26" t="s">
        <v>309</v>
      </c>
      <c r="C317" s="597"/>
      <c r="D317" s="51"/>
      <c r="F317" s="15"/>
      <c r="G317" s="17"/>
    </row>
    <row r="318" spans="1:7" ht="31.5" x14ac:dyDescent="0.25">
      <c r="B318" s="41" t="s">
        <v>310</v>
      </c>
      <c r="C318" s="85">
        <v>12991551</v>
      </c>
      <c r="D318" s="85">
        <v>10707147</v>
      </c>
      <c r="F318" s="15">
        <f t="shared" si="24"/>
        <v>2284404</v>
      </c>
      <c r="G318" s="17">
        <f t="shared" si="25"/>
        <v>0.213353192965409</v>
      </c>
    </row>
    <row r="319" spans="1:7" ht="15.75" x14ac:dyDescent="0.25">
      <c r="B319" s="41" t="s">
        <v>311</v>
      </c>
      <c r="C319" s="85">
        <v>4337200</v>
      </c>
      <c r="D319" s="85">
        <v>4011625</v>
      </c>
      <c r="F319" s="15">
        <f t="shared" si="24"/>
        <v>325575</v>
      </c>
      <c r="G319" s="17">
        <f t="shared" si="25"/>
        <v>8.1157884897018043E-2</v>
      </c>
    </row>
    <row r="320" spans="1:7" ht="15.75" x14ac:dyDescent="0.25">
      <c r="B320" s="41" t="s">
        <v>312</v>
      </c>
      <c r="C320" s="85">
        <v>4269200</v>
      </c>
      <c r="D320" s="85">
        <v>3909625</v>
      </c>
      <c r="F320" s="15">
        <f t="shared" si="24"/>
        <v>359575</v>
      </c>
      <c r="G320" s="17">
        <f t="shared" si="25"/>
        <v>9.1971736419733344E-2</v>
      </c>
    </row>
    <row r="321" spans="2:11" ht="15.75" x14ac:dyDescent="0.25">
      <c r="B321" s="41" t="s">
        <v>313</v>
      </c>
      <c r="C321" s="3">
        <v>3258000</v>
      </c>
      <c r="D321" s="3">
        <v>2495000</v>
      </c>
      <c r="F321" s="15">
        <f t="shared" si="24"/>
        <v>763000</v>
      </c>
      <c r="G321" s="17">
        <f t="shared" si="25"/>
        <v>0.30581162324649297</v>
      </c>
    </row>
    <row r="322" spans="2:11" ht="15.75" x14ac:dyDescent="0.25">
      <c r="B322" s="41" t="s">
        <v>314</v>
      </c>
      <c r="C322" s="85">
        <v>2205830</v>
      </c>
      <c r="D322" s="85">
        <v>2153027</v>
      </c>
      <c r="F322" s="15">
        <f t="shared" si="24"/>
        <v>52803</v>
      </c>
      <c r="G322" s="17">
        <f t="shared" si="25"/>
        <v>2.4525005956729757E-2</v>
      </c>
    </row>
    <row r="323" spans="2:11" ht="31.5" x14ac:dyDescent="0.25">
      <c r="B323" s="41" t="s">
        <v>315</v>
      </c>
      <c r="C323" s="85">
        <v>2704500</v>
      </c>
      <c r="D323" s="85">
        <v>2466500</v>
      </c>
      <c r="F323" s="15">
        <f t="shared" si="24"/>
        <v>238000</v>
      </c>
      <c r="G323" s="17">
        <f t="shared" si="25"/>
        <v>9.6493006284208399E-2</v>
      </c>
    </row>
    <row r="324" spans="2:11" ht="15.75" x14ac:dyDescent="0.25">
      <c r="B324" s="41" t="s">
        <v>316</v>
      </c>
      <c r="C324" s="85">
        <v>1945032</v>
      </c>
      <c r="D324" s="85">
        <v>3107197</v>
      </c>
      <c r="F324" s="15">
        <f t="shared" si="24"/>
        <v>-1162165</v>
      </c>
      <c r="G324" s="17">
        <f t="shared" si="25"/>
        <v>-0.37402359747386471</v>
      </c>
    </row>
    <row r="325" spans="2:11" ht="15.75" x14ac:dyDescent="0.25">
      <c r="B325" s="41" t="s">
        <v>317</v>
      </c>
      <c r="C325" s="85">
        <v>1876174</v>
      </c>
      <c r="D325" s="85">
        <v>1794010</v>
      </c>
      <c r="F325" s="15">
        <f t="shared" si="24"/>
        <v>82164</v>
      </c>
      <c r="G325" s="17">
        <f t="shared" si="25"/>
        <v>4.5799075813401265E-2</v>
      </c>
      <c r="I325" s="9">
        <v>13</v>
      </c>
      <c r="J325" s="9">
        <v>14</v>
      </c>
      <c r="K325" s="9">
        <f>I325-J325</f>
        <v>-1</v>
      </c>
    </row>
    <row r="326" spans="2:11" ht="15.75" x14ac:dyDescent="0.25">
      <c r="B326" s="41" t="s">
        <v>318</v>
      </c>
      <c r="C326" s="85">
        <v>9716047</v>
      </c>
      <c r="D326" s="85">
        <v>12214471</v>
      </c>
      <c r="F326" s="15">
        <f t="shared" si="24"/>
        <v>-2498424</v>
      </c>
      <c r="G326" s="17">
        <f t="shared" si="25"/>
        <v>-0.20454623045074977</v>
      </c>
      <c r="I326" s="9">
        <v>1204</v>
      </c>
      <c r="J326" s="9">
        <v>1140</v>
      </c>
      <c r="K326" s="9">
        <f>I326-J326</f>
        <v>64</v>
      </c>
    </row>
    <row r="327" spans="2:11" ht="15.75" x14ac:dyDescent="0.25">
      <c r="B327" s="41" t="s">
        <v>319</v>
      </c>
      <c r="C327" s="85">
        <v>32270674</v>
      </c>
      <c r="D327" s="85">
        <v>27029380</v>
      </c>
      <c r="F327" s="15">
        <f t="shared" si="24"/>
        <v>5241294</v>
      </c>
      <c r="G327" s="17">
        <f t="shared" si="25"/>
        <v>0.19391099610867879</v>
      </c>
      <c r="I327" s="9">
        <f>SUM(I325:I326)</f>
        <v>1217</v>
      </c>
      <c r="J327" s="9">
        <f>SUM(J325:J326)</f>
        <v>1154</v>
      </c>
      <c r="K327" s="9">
        <f>SUM(K325:K326)</f>
        <v>63</v>
      </c>
    </row>
    <row r="328" spans="2:11" ht="15.75" x14ac:dyDescent="0.25">
      <c r="B328" s="41" t="s">
        <v>320</v>
      </c>
      <c r="C328" s="85">
        <v>2806000</v>
      </c>
      <c r="D328" s="85">
        <v>2494750</v>
      </c>
      <c r="F328" s="15">
        <f t="shared" si="24"/>
        <v>311250</v>
      </c>
      <c r="G328" s="17">
        <f t="shared" si="25"/>
        <v>0.12476200020042089</v>
      </c>
    </row>
    <row r="329" spans="2:11" ht="31.5" x14ac:dyDescent="0.25">
      <c r="B329" s="41" t="s">
        <v>321</v>
      </c>
      <c r="C329" s="85">
        <v>5397000</v>
      </c>
      <c r="D329" s="87">
        <v>0</v>
      </c>
      <c r="F329" s="15">
        <f t="shared" si="24"/>
        <v>5397000</v>
      </c>
      <c r="G329" s="17">
        <v>1</v>
      </c>
    </row>
    <row r="330" spans="2:11" x14ac:dyDescent="0.25">
      <c r="B330" s="51"/>
      <c r="C330" s="597"/>
      <c r="D330" s="597"/>
      <c r="F330" s="15"/>
      <c r="G330" s="17"/>
    </row>
    <row r="331" spans="2:11" ht="31.5" x14ac:dyDescent="0.25">
      <c r="B331" s="26" t="s">
        <v>322</v>
      </c>
      <c r="C331" s="597"/>
      <c r="D331" s="597"/>
      <c r="F331" s="15"/>
      <c r="G331" s="17"/>
    </row>
    <row r="332" spans="2:11" ht="31.5" x14ac:dyDescent="0.25">
      <c r="B332" s="41" t="s">
        <v>323</v>
      </c>
      <c r="C332" s="85">
        <v>22935557</v>
      </c>
      <c r="D332" s="85">
        <v>19693018</v>
      </c>
      <c r="F332" s="15">
        <f t="shared" si="24"/>
        <v>3242539</v>
      </c>
      <c r="G332" s="17">
        <f t="shared" si="25"/>
        <v>0.16465424446369775</v>
      </c>
    </row>
    <row r="333" spans="2:11" ht="15.75" x14ac:dyDescent="0.25">
      <c r="B333" s="41" t="s">
        <v>324</v>
      </c>
      <c r="C333" s="85">
        <v>1716900</v>
      </c>
      <c r="D333" s="85">
        <v>1575535</v>
      </c>
      <c r="F333" s="15">
        <f t="shared" si="24"/>
        <v>141365</v>
      </c>
      <c r="G333" s="17">
        <f t="shared" si="25"/>
        <v>8.9725077513352611E-2</v>
      </c>
    </row>
    <row r="334" spans="2:11" ht="15.75" x14ac:dyDescent="0.25">
      <c r="B334" s="41" t="s">
        <v>325</v>
      </c>
      <c r="C334" s="85">
        <v>1985984</v>
      </c>
      <c r="D334" s="85">
        <v>1785335</v>
      </c>
      <c r="F334" s="15">
        <f t="shared" si="24"/>
        <v>200649</v>
      </c>
      <c r="G334" s="17">
        <f t="shared" si="25"/>
        <v>0.11238731106487018</v>
      </c>
    </row>
    <row r="335" spans="2:11" ht="31.5" x14ac:dyDescent="0.25">
      <c r="B335" s="41" t="s">
        <v>326</v>
      </c>
      <c r="C335" s="85">
        <v>644100</v>
      </c>
      <c r="D335" s="85">
        <v>591900</v>
      </c>
      <c r="F335" s="15">
        <f t="shared" si="24"/>
        <v>52200</v>
      </c>
      <c r="G335" s="17">
        <f t="shared" si="25"/>
        <v>8.8190572731880384E-2</v>
      </c>
    </row>
    <row r="336" spans="2:11" ht="15.75" x14ac:dyDescent="0.25">
      <c r="B336" s="26" t="s">
        <v>327</v>
      </c>
      <c r="C336" s="51"/>
      <c r="D336" s="51"/>
      <c r="F336" s="15"/>
      <c r="G336" s="17"/>
    </row>
    <row r="337" spans="1:7" ht="16.5" thickBot="1" x14ac:dyDescent="0.3">
      <c r="B337" s="38" t="s">
        <v>328</v>
      </c>
      <c r="C337" s="94">
        <v>24997769</v>
      </c>
      <c r="D337" s="94">
        <v>9032233</v>
      </c>
      <c r="F337" s="15">
        <f t="shared" si="24"/>
        <v>15965536</v>
      </c>
      <c r="G337" s="17">
        <f t="shared" si="25"/>
        <v>1.7676178194251633</v>
      </c>
    </row>
    <row r="338" spans="1:7" ht="16.5" thickBot="1" x14ac:dyDescent="0.3">
      <c r="B338" s="123" t="s">
        <v>83</v>
      </c>
      <c r="C338" s="96">
        <f>SUM(C314:C337)</f>
        <v>327595572</v>
      </c>
      <c r="D338" s="96">
        <f>SUM(D314:D337)</f>
        <v>269423517</v>
      </c>
      <c r="F338" s="15">
        <f t="shared" ref="F338" si="26">C338-D338</f>
        <v>58172055</v>
      </c>
      <c r="G338" s="17">
        <f t="shared" ref="G338" si="27">F338/D338</f>
        <v>0.21591305632017269</v>
      </c>
    </row>
    <row r="339" spans="1:7" x14ac:dyDescent="0.25">
      <c r="D339" s="15">
        <v>269424289</v>
      </c>
      <c r="E339" s="9" t="s">
        <v>87</v>
      </c>
    </row>
    <row r="340" spans="1:7" x14ac:dyDescent="0.25">
      <c r="D340" s="15">
        <f>D338-D339</f>
        <v>-772</v>
      </c>
      <c r="E340" s="9" t="s">
        <v>86</v>
      </c>
    </row>
    <row r="342" spans="1:7" x14ac:dyDescent="0.25">
      <c r="A342" s="119" t="s">
        <v>329</v>
      </c>
    </row>
    <row r="344" spans="1:7" ht="16.5" thickBot="1" x14ac:dyDescent="0.3">
      <c r="B344" s="123" t="s">
        <v>330</v>
      </c>
      <c r="C344" s="77">
        <v>2019</v>
      </c>
      <c r="D344" s="123">
        <v>2018</v>
      </c>
    </row>
    <row r="345" spans="1:7" ht="15.75" x14ac:dyDescent="0.25">
      <c r="B345" s="124" t="s">
        <v>331</v>
      </c>
      <c r="C345" s="51"/>
      <c r="D345" s="51"/>
    </row>
    <row r="346" spans="1:7" ht="15.75" x14ac:dyDescent="0.25">
      <c r="B346" s="86" t="s">
        <v>332</v>
      </c>
      <c r="C346" s="85">
        <v>131071</v>
      </c>
      <c r="D346" s="85">
        <v>147134</v>
      </c>
      <c r="F346" s="15">
        <f>C346-D346</f>
        <v>-16063</v>
      </c>
      <c r="G346" s="17">
        <f>F346/D346</f>
        <v>-0.10917259097149537</v>
      </c>
    </row>
    <row r="347" spans="1:7" x14ac:dyDescent="0.25">
      <c r="B347" s="51"/>
      <c r="C347" s="597"/>
      <c r="D347" s="597"/>
      <c r="G347" s="17"/>
    </row>
    <row r="348" spans="1:7" ht="31.5" x14ac:dyDescent="0.25">
      <c r="B348" s="124" t="s">
        <v>333</v>
      </c>
      <c r="C348" s="597"/>
      <c r="D348" s="597"/>
      <c r="G348" s="17"/>
    </row>
    <row r="349" spans="1:7" ht="15.75" x14ac:dyDescent="0.25">
      <c r="B349" s="86" t="s">
        <v>334</v>
      </c>
      <c r="C349" s="85">
        <v>22919896</v>
      </c>
      <c r="D349" s="85">
        <v>30614008</v>
      </c>
      <c r="F349" s="15">
        <f>C349-D349</f>
        <v>-7694112</v>
      </c>
      <c r="G349" s="17">
        <f>F349/D349</f>
        <v>-0.25132651693303276</v>
      </c>
    </row>
    <row r="350" spans="1:7" x14ac:dyDescent="0.25">
      <c r="B350" s="51"/>
      <c r="C350" s="597"/>
      <c r="D350" s="597"/>
      <c r="G350" s="17"/>
    </row>
    <row r="351" spans="1:7" ht="31.5" x14ac:dyDescent="0.25">
      <c r="B351" s="124" t="s">
        <v>335</v>
      </c>
      <c r="C351" s="597"/>
      <c r="D351" s="597"/>
      <c r="G351" s="17"/>
    </row>
    <row r="352" spans="1:7" ht="15.75" x14ac:dyDescent="0.25">
      <c r="B352" s="86" t="s">
        <v>336</v>
      </c>
      <c r="C352" s="85">
        <v>3178192</v>
      </c>
      <c r="D352" s="85">
        <v>4229472</v>
      </c>
      <c r="F352" s="15">
        <f t="shared" ref="F352:F362" si="28">C352-D352</f>
        <v>-1051280</v>
      </c>
      <c r="G352" s="17">
        <f t="shared" ref="G352:G361" si="29">F352/D352</f>
        <v>-0.24856057682850247</v>
      </c>
    </row>
    <row r="353" spans="2:7" ht="15.75" x14ac:dyDescent="0.25">
      <c r="B353" s="86" t="s">
        <v>337</v>
      </c>
      <c r="C353" s="85">
        <v>1295321</v>
      </c>
      <c r="D353" s="85">
        <v>2041200</v>
      </c>
      <c r="F353" s="15">
        <f t="shared" si="28"/>
        <v>-745879</v>
      </c>
      <c r="G353" s="17">
        <f t="shared" si="29"/>
        <v>-0.36541201254164218</v>
      </c>
    </row>
    <row r="354" spans="2:7" ht="31.5" x14ac:dyDescent="0.25">
      <c r="B354" s="86" t="s">
        <v>338</v>
      </c>
      <c r="C354" s="85">
        <v>50411</v>
      </c>
      <c r="D354" s="85">
        <v>607703</v>
      </c>
      <c r="F354" s="15">
        <f t="shared" si="28"/>
        <v>-557292</v>
      </c>
      <c r="G354" s="17">
        <f t="shared" si="29"/>
        <v>-0.9170466494323708</v>
      </c>
    </row>
    <row r="355" spans="2:7" ht="31.5" x14ac:dyDescent="0.25">
      <c r="B355" s="86" t="s">
        <v>339</v>
      </c>
      <c r="C355" s="85">
        <v>332104</v>
      </c>
      <c r="D355" s="85">
        <v>539739</v>
      </c>
      <c r="F355" s="15">
        <f t="shared" si="28"/>
        <v>-207635</v>
      </c>
      <c r="G355" s="17">
        <f t="shared" si="29"/>
        <v>-0.3846951952703066</v>
      </c>
    </row>
    <row r="356" spans="2:7" ht="15.75" x14ac:dyDescent="0.25">
      <c r="B356" s="86" t="s">
        <v>340</v>
      </c>
      <c r="C356" s="85">
        <v>8844285</v>
      </c>
      <c r="D356" s="85">
        <v>6794204</v>
      </c>
      <c r="F356" s="15">
        <f t="shared" si="28"/>
        <v>2050081</v>
      </c>
      <c r="G356" s="17">
        <f t="shared" si="29"/>
        <v>0.3017396887111426</v>
      </c>
    </row>
    <row r="357" spans="2:7" ht="15.75" x14ac:dyDescent="0.25">
      <c r="B357" s="86" t="s">
        <v>341</v>
      </c>
      <c r="C357" s="85">
        <v>990200</v>
      </c>
      <c r="D357" s="85">
        <v>1092882</v>
      </c>
      <c r="F357" s="15">
        <f t="shared" si="28"/>
        <v>-102682</v>
      </c>
      <c r="G357" s="17">
        <f t="shared" si="29"/>
        <v>-9.395524859957434E-2</v>
      </c>
    </row>
    <row r="358" spans="2:7" ht="47.25" x14ac:dyDescent="0.25">
      <c r="B358" s="86" t="s">
        <v>342</v>
      </c>
      <c r="C358" s="85">
        <v>13260229</v>
      </c>
      <c r="D358" s="85">
        <v>24392052</v>
      </c>
      <c r="F358" s="15">
        <f t="shared" si="28"/>
        <v>-11131823</v>
      </c>
      <c r="G358" s="17">
        <f t="shared" si="29"/>
        <v>-0.45637091131160262</v>
      </c>
    </row>
    <row r="359" spans="2:7" ht="31.5" x14ac:dyDescent="0.25">
      <c r="B359" s="86" t="s">
        <v>343</v>
      </c>
      <c r="C359" s="85">
        <v>12788797</v>
      </c>
      <c r="D359" s="85">
        <v>13921769</v>
      </c>
      <c r="F359" s="15">
        <f t="shared" si="28"/>
        <v>-1132972</v>
      </c>
      <c r="G359" s="17">
        <f t="shared" si="29"/>
        <v>-8.1381324456683626E-2</v>
      </c>
    </row>
    <row r="360" spans="2:7" ht="31.5" x14ac:dyDescent="0.25">
      <c r="B360" s="86" t="s">
        <v>344</v>
      </c>
      <c r="C360" s="85">
        <v>46781844</v>
      </c>
      <c r="D360" s="85">
        <v>38233903</v>
      </c>
      <c r="F360" s="15">
        <f t="shared" si="28"/>
        <v>8547941</v>
      </c>
      <c r="G360" s="17">
        <f t="shared" si="29"/>
        <v>0.2235696679985823</v>
      </c>
    </row>
    <row r="361" spans="2:7" ht="15.75" x14ac:dyDescent="0.25">
      <c r="B361" s="86" t="s">
        <v>345</v>
      </c>
      <c r="C361" s="85">
        <v>7535667</v>
      </c>
      <c r="D361" s="85">
        <v>16810482</v>
      </c>
      <c r="F361" s="15">
        <f t="shared" si="28"/>
        <v>-9274815</v>
      </c>
      <c r="G361" s="17">
        <f t="shared" si="29"/>
        <v>-0.55172808251423133</v>
      </c>
    </row>
    <row r="362" spans="2:7" ht="31.5" x14ac:dyDescent="0.25">
      <c r="B362" s="86" t="s">
        <v>346</v>
      </c>
      <c r="C362" s="85">
        <v>3444701</v>
      </c>
      <c r="D362" s="87">
        <v>0</v>
      </c>
      <c r="F362" s="15">
        <f t="shared" si="28"/>
        <v>3444701</v>
      </c>
      <c r="G362" s="17">
        <v>1</v>
      </c>
    </row>
    <row r="363" spans="2:7" x14ac:dyDescent="0.25">
      <c r="B363" s="51"/>
      <c r="C363" s="597"/>
      <c r="D363" s="597"/>
      <c r="G363" s="17"/>
    </row>
    <row r="364" spans="2:7" ht="15.75" x14ac:dyDescent="0.25">
      <c r="B364" s="124" t="s">
        <v>347</v>
      </c>
      <c r="C364" s="597"/>
      <c r="D364" s="597"/>
      <c r="G364" s="17"/>
    </row>
    <row r="365" spans="2:7" ht="15.75" x14ac:dyDescent="0.25">
      <c r="B365" s="86" t="s">
        <v>348</v>
      </c>
      <c r="C365" s="85">
        <v>15822473</v>
      </c>
      <c r="D365" s="85">
        <v>10205276</v>
      </c>
      <c r="F365" s="15">
        <f t="shared" ref="F365:F366" si="30">C365-D365</f>
        <v>5617197</v>
      </c>
      <c r="G365" s="17">
        <f t="shared" ref="G365:G366" si="31">F365/D365</f>
        <v>0.55042088033679837</v>
      </c>
    </row>
    <row r="366" spans="2:7" ht="15.75" x14ac:dyDescent="0.25">
      <c r="B366" s="86" t="s">
        <v>349</v>
      </c>
      <c r="C366" s="85">
        <v>45830839</v>
      </c>
      <c r="D366" s="85">
        <v>39803394</v>
      </c>
      <c r="F366" s="15">
        <f t="shared" si="30"/>
        <v>6027445</v>
      </c>
      <c r="G366" s="17">
        <f t="shared" si="31"/>
        <v>0.15143042826950887</v>
      </c>
    </row>
    <row r="367" spans="2:7" x14ac:dyDescent="0.25">
      <c r="B367" s="51"/>
      <c r="C367" s="597"/>
      <c r="D367" s="597"/>
      <c r="G367" s="17"/>
    </row>
    <row r="368" spans="2:7" ht="15.75" x14ac:dyDescent="0.25">
      <c r="B368" s="124" t="s">
        <v>350</v>
      </c>
      <c r="C368" s="597"/>
      <c r="D368" s="597"/>
      <c r="G368" s="17"/>
    </row>
    <row r="369" spans="1:7" ht="15.75" x14ac:dyDescent="0.25">
      <c r="B369" s="86" t="s">
        <v>351</v>
      </c>
      <c r="C369" s="87">
        <v>0</v>
      </c>
      <c r="D369" s="85">
        <v>50000</v>
      </c>
      <c r="F369" s="15">
        <f t="shared" ref="F369:F376" si="32">C369-D369</f>
        <v>-50000</v>
      </c>
      <c r="G369" s="17">
        <f t="shared" ref="G369:G376" si="33">F369/D369</f>
        <v>-1</v>
      </c>
    </row>
    <row r="370" spans="1:7" ht="15.75" x14ac:dyDescent="0.25">
      <c r="B370" s="86" t="s">
        <v>352</v>
      </c>
      <c r="C370" s="85">
        <v>4270972</v>
      </c>
      <c r="D370" s="85">
        <v>3357034</v>
      </c>
      <c r="F370" s="15">
        <f t="shared" si="32"/>
        <v>913938</v>
      </c>
      <c r="G370" s="17">
        <f t="shared" si="33"/>
        <v>0.27224567877477557</v>
      </c>
    </row>
    <row r="371" spans="1:7" ht="31.5" x14ac:dyDescent="0.25">
      <c r="B371" s="86" t="s">
        <v>353</v>
      </c>
      <c r="C371" s="85">
        <v>4485335</v>
      </c>
      <c r="D371" s="85">
        <v>1534351</v>
      </c>
      <c r="F371" s="15">
        <f t="shared" si="32"/>
        <v>2950984</v>
      </c>
      <c r="G371" s="17">
        <f t="shared" si="33"/>
        <v>1.9232783111556613</v>
      </c>
    </row>
    <row r="372" spans="1:7" ht="31.5" x14ac:dyDescent="0.25">
      <c r="B372" s="124" t="s">
        <v>354</v>
      </c>
      <c r="C372" s="51"/>
      <c r="D372" s="51"/>
      <c r="G372" s="17"/>
    </row>
    <row r="373" spans="1:7" ht="15.75" x14ac:dyDescent="0.25">
      <c r="B373" s="86" t="s">
        <v>355</v>
      </c>
      <c r="C373" s="85">
        <v>998400</v>
      </c>
      <c r="D373" s="85">
        <v>1875000</v>
      </c>
      <c r="F373" s="15">
        <f t="shared" si="32"/>
        <v>-876600</v>
      </c>
      <c r="G373" s="17">
        <f t="shared" si="33"/>
        <v>-0.46751999999999999</v>
      </c>
    </row>
    <row r="374" spans="1:7" ht="47.25" x14ac:dyDescent="0.25">
      <c r="B374" s="124" t="s">
        <v>356</v>
      </c>
      <c r="C374" s="51"/>
      <c r="D374" s="51"/>
      <c r="G374" s="17"/>
    </row>
    <row r="375" spans="1:7" ht="32.25" thickBot="1" x14ac:dyDescent="0.3">
      <c r="B375" s="125" t="s">
        <v>357</v>
      </c>
      <c r="C375" s="94">
        <v>1096207</v>
      </c>
      <c r="D375" s="94">
        <v>715536</v>
      </c>
      <c r="F375" s="15">
        <f t="shared" si="32"/>
        <v>380671</v>
      </c>
      <c r="G375" s="17">
        <f t="shared" si="33"/>
        <v>0.53200817289416602</v>
      </c>
    </row>
    <row r="376" spans="1:7" ht="16.5" thickBot="1" x14ac:dyDescent="0.3">
      <c r="B376" s="123" t="s">
        <v>214</v>
      </c>
      <c r="C376" s="96">
        <f>SUM(C346:C375)</f>
        <v>194056944</v>
      </c>
      <c r="D376" s="96">
        <f>SUM(D346:D375)</f>
        <v>196965139</v>
      </c>
      <c r="F376" s="15">
        <f t="shared" si="32"/>
        <v>-2908195</v>
      </c>
      <c r="G376" s="17">
        <f t="shared" si="33"/>
        <v>-1.4765023977161765E-2</v>
      </c>
    </row>
    <row r="378" spans="1:7" x14ac:dyDescent="0.25">
      <c r="D378" s="15">
        <v>185795072</v>
      </c>
      <c r="E378" s="9" t="s">
        <v>87</v>
      </c>
    </row>
    <row r="379" spans="1:7" x14ac:dyDescent="0.25">
      <c r="D379" s="15">
        <f>D376-D378</f>
        <v>11170067</v>
      </c>
      <c r="E379" s="9" t="s">
        <v>86</v>
      </c>
    </row>
    <row r="381" spans="1:7" x14ac:dyDescent="0.25">
      <c r="A381" s="119" t="s">
        <v>358</v>
      </c>
    </row>
    <row r="383" spans="1:7" ht="16.5" thickBot="1" x14ac:dyDescent="0.3">
      <c r="B383" s="123" t="s">
        <v>359</v>
      </c>
      <c r="C383" s="77">
        <v>2019</v>
      </c>
      <c r="D383" s="123">
        <v>2018</v>
      </c>
    </row>
    <row r="384" spans="1:7" ht="15.75" x14ac:dyDescent="0.25">
      <c r="B384" s="126" t="s">
        <v>360</v>
      </c>
      <c r="C384" s="51"/>
      <c r="D384" s="51"/>
    </row>
    <row r="385" spans="1:7" ht="15.75" x14ac:dyDescent="0.25">
      <c r="B385" s="127" t="s">
        <v>361</v>
      </c>
      <c r="C385" s="87">
        <v>0</v>
      </c>
      <c r="D385" s="85">
        <v>122045</v>
      </c>
      <c r="F385" s="15">
        <f>C385-D385</f>
        <v>-122045</v>
      </c>
      <c r="G385" s="17">
        <f t="shared" ref="G385:G393" si="34">F385/D385</f>
        <v>-1</v>
      </c>
    </row>
    <row r="386" spans="1:7" ht="15.75" x14ac:dyDescent="0.25">
      <c r="B386" s="127" t="s">
        <v>362</v>
      </c>
      <c r="C386" s="85">
        <v>49488</v>
      </c>
      <c r="D386" s="85">
        <v>97341</v>
      </c>
      <c r="F386" s="15">
        <f t="shared" ref="F386:F393" si="35">C386-D386</f>
        <v>-47853</v>
      </c>
      <c r="G386" s="17">
        <f t="shared" si="34"/>
        <v>-0.49160168890806544</v>
      </c>
    </row>
    <row r="387" spans="1:7" ht="15.75" x14ac:dyDescent="0.25">
      <c r="B387" s="127" t="s">
        <v>363</v>
      </c>
      <c r="C387" s="85">
        <v>12815816</v>
      </c>
      <c r="D387" s="85">
        <v>9119572</v>
      </c>
      <c r="F387" s="15">
        <f t="shared" si="35"/>
        <v>3696244</v>
      </c>
      <c r="G387" s="17">
        <f t="shared" si="34"/>
        <v>0.40530893335783741</v>
      </c>
    </row>
    <row r="388" spans="1:7" ht="15.75" x14ac:dyDescent="0.25">
      <c r="B388" s="126" t="s">
        <v>364</v>
      </c>
      <c r="C388" s="51"/>
      <c r="D388" s="51"/>
    </row>
    <row r="389" spans="1:7" ht="31.5" x14ac:dyDescent="0.25">
      <c r="B389" s="127" t="s">
        <v>365</v>
      </c>
      <c r="C389" s="85">
        <v>55897393</v>
      </c>
      <c r="D389" s="85">
        <v>46367449</v>
      </c>
      <c r="F389" s="15">
        <f t="shared" si="35"/>
        <v>9529944</v>
      </c>
      <c r="G389" s="17">
        <f t="shared" si="34"/>
        <v>0.20553091027285111</v>
      </c>
    </row>
    <row r="390" spans="1:7" ht="15.75" x14ac:dyDescent="0.25">
      <c r="B390" s="127" t="s">
        <v>366</v>
      </c>
      <c r="C390" s="85">
        <v>5184243</v>
      </c>
      <c r="D390" s="85">
        <v>3682293</v>
      </c>
      <c r="F390" s="15">
        <f t="shared" si="35"/>
        <v>1501950</v>
      </c>
      <c r="G390" s="17">
        <f t="shared" si="34"/>
        <v>0.40788443505174626</v>
      </c>
    </row>
    <row r="391" spans="1:7" ht="15.75" x14ac:dyDescent="0.25">
      <c r="B391" s="127" t="s">
        <v>367</v>
      </c>
      <c r="C391" s="85">
        <v>39228997</v>
      </c>
      <c r="D391" s="85">
        <v>29867127</v>
      </c>
      <c r="F391" s="15">
        <f t="shared" si="35"/>
        <v>9361870</v>
      </c>
      <c r="G391" s="17">
        <f t="shared" si="34"/>
        <v>0.31345063755211539</v>
      </c>
    </row>
    <row r="392" spans="1:7" ht="16.5" thickBot="1" x14ac:dyDescent="0.3">
      <c r="B392" s="128" t="s">
        <v>368</v>
      </c>
      <c r="C392" s="94">
        <v>166744152</v>
      </c>
      <c r="D392" s="94">
        <v>117633362</v>
      </c>
      <c r="F392" s="15">
        <f t="shared" si="35"/>
        <v>49110790</v>
      </c>
      <c r="G392" s="17">
        <f t="shared" si="34"/>
        <v>0.41749032047558071</v>
      </c>
    </row>
    <row r="393" spans="1:7" ht="16.5" thickBot="1" x14ac:dyDescent="0.3">
      <c r="B393" s="123" t="s">
        <v>83</v>
      </c>
      <c r="C393" s="96">
        <f>SUM(C385:C392)</f>
        <v>279920089</v>
      </c>
      <c r="D393" s="96">
        <f>SUM(D385:D392)</f>
        <v>206889189</v>
      </c>
      <c r="F393" s="15">
        <f t="shared" si="35"/>
        <v>73030900</v>
      </c>
      <c r="G393" s="17">
        <f t="shared" si="34"/>
        <v>0.35299524519862657</v>
      </c>
    </row>
    <row r="395" spans="1:7" x14ac:dyDescent="0.25">
      <c r="D395" s="15">
        <v>206895689</v>
      </c>
      <c r="E395" s="9" t="s">
        <v>87</v>
      </c>
    </row>
    <row r="396" spans="1:7" x14ac:dyDescent="0.25">
      <c r="D396" s="15">
        <f>D393-D395</f>
        <v>-6500</v>
      </c>
      <c r="E396" s="9" t="s">
        <v>86</v>
      </c>
    </row>
    <row r="398" spans="1:7" ht="15.75" x14ac:dyDescent="0.25">
      <c r="A398" s="63" t="s">
        <v>369</v>
      </c>
    </row>
    <row r="399" spans="1:7" ht="16.5" thickBot="1" x14ac:dyDescent="0.3">
      <c r="C399" s="77">
        <v>2019</v>
      </c>
      <c r="D399" s="123">
        <v>2018</v>
      </c>
    </row>
    <row r="400" spans="1:7" ht="31.5" x14ac:dyDescent="0.25">
      <c r="B400" s="86" t="s">
        <v>370</v>
      </c>
      <c r="C400" s="87">
        <v>0</v>
      </c>
      <c r="D400" s="85">
        <v>3450942</v>
      </c>
      <c r="F400" s="15">
        <f t="shared" ref="F400:F405" si="36">C400-D400</f>
        <v>-3450942</v>
      </c>
      <c r="G400" s="17">
        <f t="shared" ref="G400:G405" si="37">F400/D400</f>
        <v>-1</v>
      </c>
    </row>
    <row r="401" spans="1:7" ht="31.5" x14ac:dyDescent="0.25">
      <c r="B401" s="86" t="s">
        <v>371</v>
      </c>
      <c r="C401" s="85">
        <v>1292957</v>
      </c>
      <c r="D401" s="85">
        <v>795346</v>
      </c>
      <c r="F401" s="15">
        <f t="shared" si="36"/>
        <v>497611</v>
      </c>
      <c r="G401" s="17">
        <f t="shared" si="37"/>
        <v>0.62565348917326546</v>
      </c>
    </row>
    <row r="402" spans="1:7" ht="31.5" x14ac:dyDescent="0.25">
      <c r="B402" s="86" t="s">
        <v>372</v>
      </c>
      <c r="C402" s="85">
        <v>10227079</v>
      </c>
      <c r="D402" s="85">
        <v>5218897</v>
      </c>
      <c r="F402" s="15">
        <f t="shared" si="36"/>
        <v>5008182</v>
      </c>
      <c r="G402" s="17">
        <f t="shared" si="37"/>
        <v>0.95962461033432922</v>
      </c>
    </row>
    <row r="403" spans="1:7" ht="31.5" x14ac:dyDescent="0.25">
      <c r="B403" s="86" t="s">
        <v>373</v>
      </c>
      <c r="C403" s="85">
        <v>2985374</v>
      </c>
      <c r="D403" s="85">
        <v>7956117</v>
      </c>
      <c r="F403" s="15">
        <f t="shared" si="36"/>
        <v>-4970743</v>
      </c>
      <c r="G403" s="17">
        <f t="shared" si="37"/>
        <v>-0.62476997258838707</v>
      </c>
    </row>
    <row r="404" spans="1:7" ht="32.25" thickBot="1" x14ac:dyDescent="0.3">
      <c r="B404" s="125" t="s">
        <v>374</v>
      </c>
      <c r="C404" s="94">
        <v>59800</v>
      </c>
      <c r="D404" s="94">
        <v>276016</v>
      </c>
      <c r="F404" s="15">
        <f t="shared" si="36"/>
        <v>-216216</v>
      </c>
      <c r="G404" s="17">
        <f t="shared" si="37"/>
        <v>-0.78334589299171065</v>
      </c>
    </row>
    <row r="405" spans="1:7" ht="16.5" thickBot="1" x14ac:dyDescent="0.3">
      <c r="B405" s="123" t="s">
        <v>83</v>
      </c>
      <c r="C405" s="96">
        <f>SUM(C400:C404)</f>
        <v>14565210</v>
      </c>
      <c r="D405" s="96">
        <f>SUM(D400:D404)</f>
        <v>17697318</v>
      </c>
      <c r="F405" s="15">
        <f t="shared" si="36"/>
        <v>-3132108</v>
      </c>
      <c r="G405" s="17">
        <f t="shared" si="37"/>
        <v>-0.17698207152066769</v>
      </c>
    </row>
    <row r="407" spans="1:7" ht="15.75" thickBot="1" x14ac:dyDescent="0.3">
      <c r="A407" s="119" t="s">
        <v>392</v>
      </c>
    </row>
    <row r="408" spans="1:7" ht="16.5" thickBot="1" x14ac:dyDescent="0.3">
      <c r="B408" s="122" t="s">
        <v>393</v>
      </c>
      <c r="C408" s="89">
        <v>26278582</v>
      </c>
      <c r="D408" s="89">
        <v>17545552</v>
      </c>
    </row>
    <row r="410" spans="1:7" x14ac:dyDescent="0.25">
      <c r="D410" s="15">
        <v>17679952</v>
      </c>
      <c r="E410" s="9" t="s">
        <v>87</v>
      </c>
    </row>
    <row r="411" spans="1:7" x14ac:dyDescent="0.25">
      <c r="D411" s="15">
        <f>D408-D410</f>
        <v>-134400</v>
      </c>
      <c r="E411" s="9" t="s">
        <v>86</v>
      </c>
    </row>
    <row r="412" spans="1:7" x14ac:dyDescent="0.25">
      <c r="A412" s="119" t="s">
        <v>375</v>
      </c>
    </row>
    <row r="414" spans="1:7" ht="16.5" thickBot="1" x14ac:dyDescent="0.3">
      <c r="B414" s="123"/>
      <c r="C414" s="77">
        <v>2019</v>
      </c>
      <c r="D414" s="77">
        <v>2018</v>
      </c>
    </row>
    <row r="415" spans="1:7" ht="15.75" x14ac:dyDescent="0.25">
      <c r="B415" s="86" t="s">
        <v>376</v>
      </c>
      <c r="C415" s="85">
        <v>110104</v>
      </c>
      <c r="D415" s="85">
        <v>82230</v>
      </c>
      <c r="F415" s="15">
        <f t="shared" ref="F415:F418" si="38">C415-D415</f>
        <v>27874</v>
      </c>
      <c r="G415" s="17">
        <f t="shared" ref="G415:G418" si="39">F415/D415</f>
        <v>0.33897604280676152</v>
      </c>
    </row>
    <row r="416" spans="1:7" ht="15.75" x14ac:dyDescent="0.25">
      <c r="B416" s="86" t="s">
        <v>377</v>
      </c>
      <c r="C416" s="85">
        <v>141649</v>
      </c>
      <c r="D416" s="85">
        <v>213675</v>
      </c>
      <c r="F416" s="15">
        <f t="shared" si="38"/>
        <v>-72026</v>
      </c>
      <c r="G416" s="17">
        <f t="shared" si="39"/>
        <v>-0.33708201708201707</v>
      </c>
    </row>
    <row r="417" spans="1:7" ht="16.5" thickBot="1" x14ac:dyDescent="0.3">
      <c r="B417" s="125" t="s">
        <v>378</v>
      </c>
      <c r="C417" s="94">
        <v>3467982</v>
      </c>
      <c r="D417" s="94">
        <v>2319844</v>
      </c>
      <c r="F417" s="15">
        <f t="shared" si="38"/>
        <v>1148138</v>
      </c>
      <c r="G417" s="17">
        <f t="shared" si="39"/>
        <v>0.49492034809237173</v>
      </c>
    </row>
    <row r="418" spans="1:7" ht="16.5" thickBot="1" x14ac:dyDescent="0.3">
      <c r="B418" s="123" t="s">
        <v>83</v>
      </c>
      <c r="C418" s="96">
        <f>SUM(C415:C417)</f>
        <v>3719735</v>
      </c>
      <c r="D418" s="96">
        <f>SUM(D415:D417)</f>
        <v>2615749</v>
      </c>
      <c r="F418" s="15">
        <f t="shared" si="38"/>
        <v>1103986</v>
      </c>
      <c r="G418" s="17">
        <f t="shared" si="39"/>
        <v>0.42205349213552218</v>
      </c>
    </row>
    <row r="420" spans="1:7" x14ac:dyDescent="0.25">
      <c r="A420" s="119" t="s">
        <v>379</v>
      </c>
    </row>
    <row r="421" spans="1:7" ht="16.5" thickBot="1" x14ac:dyDescent="0.3">
      <c r="B421" s="123" t="s">
        <v>380</v>
      </c>
      <c r="C421" s="77">
        <v>2019</v>
      </c>
      <c r="D421" s="77">
        <v>2018</v>
      </c>
    </row>
    <row r="422" spans="1:7" ht="15.75" x14ac:dyDescent="0.25">
      <c r="B422" s="127" t="s">
        <v>381</v>
      </c>
      <c r="C422" s="85">
        <v>2176032</v>
      </c>
      <c r="D422" s="85">
        <v>2360994</v>
      </c>
    </row>
    <row r="423" spans="1:7" ht="31.5" x14ac:dyDescent="0.25">
      <c r="B423" s="127" t="s">
        <v>382</v>
      </c>
      <c r="C423" s="85">
        <v>2563365</v>
      </c>
      <c r="D423" s="85">
        <v>3851444</v>
      </c>
    </row>
    <row r="424" spans="1:7" ht="15.75" x14ac:dyDescent="0.25">
      <c r="B424" s="127" t="s">
        <v>383</v>
      </c>
      <c r="C424" s="85">
        <v>1282239</v>
      </c>
      <c r="D424" s="85">
        <v>996089</v>
      </c>
    </row>
    <row r="425" spans="1:7" ht="15.75" x14ac:dyDescent="0.25">
      <c r="B425" s="127" t="s">
        <v>384</v>
      </c>
      <c r="C425" s="85">
        <v>6137607</v>
      </c>
      <c r="D425" s="85">
        <v>4392288</v>
      </c>
    </row>
    <row r="426" spans="1:7" ht="15.75" customHeight="1" x14ac:dyDescent="0.25">
      <c r="B426" s="619" t="s">
        <v>385</v>
      </c>
      <c r="C426" s="87" t="s">
        <v>304</v>
      </c>
      <c r="D426" s="87" t="s">
        <v>386</v>
      </c>
    </row>
    <row r="427" spans="1:7" ht="15.75" x14ac:dyDescent="0.25">
      <c r="B427" s="619"/>
      <c r="C427" s="85">
        <v>455000</v>
      </c>
      <c r="D427" s="85">
        <v>262400</v>
      </c>
    </row>
    <row r="428" spans="1:7" ht="15.75" x14ac:dyDescent="0.25">
      <c r="B428" s="127" t="s">
        <v>387</v>
      </c>
      <c r="C428" s="85">
        <v>35246072</v>
      </c>
      <c r="D428" s="85">
        <v>23525012</v>
      </c>
    </row>
    <row r="429" spans="1:7" ht="15.75" x14ac:dyDescent="0.25">
      <c r="B429" s="619" t="s">
        <v>388</v>
      </c>
      <c r="C429" s="87" t="s">
        <v>389</v>
      </c>
      <c r="D429" s="87"/>
    </row>
    <row r="430" spans="1:7" ht="16.5" thickBot="1" x14ac:dyDescent="0.3">
      <c r="B430" s="620"/>
      <c r="C430" s="85">
        <v>53762922</v>
      </c>
      <c r="D430" s="85">
        <v>54373309</v>
      </c>
    </row>
    <row r="431" spans="1:7" ht="16.5" thickBot="1" x14ac:dyDescent="0.3">
      <c r="B431" s="88" t="s">
        <v>390</v>
      </c>
      <c r="C431" s="89">
        <f>SUM(C422:C430)</f>
        <v>101623237</v>
      </c>
      <c r="D431" s="89">
        <f>SUM(D422:D430)</f>
        <v>89761536</v>
      </c>
    </row>
    <row r="432" spans="1:7" ht="15.75" x14ac:dyDescent="0.25">
      <c r="B432" s="129"/>
      <c r="C432" s="130"/>
      <c r="D432" s="130"/>
    </row>
    <row r="433" spans="1:5" ht="15.75" x14ac:dyDescent="0.25">
      <c r="B433" s="129"/>
      <c r="C433" s="130"/>
      <c r="D433" s="130">
        <v>90407537</v>
      </c>
      <c r="E433" s="9" t="s">
        <v>87</v>
      </c>
    </row>
    <row r="434" spans="1:5" s="131" customFormat="1" ht="15.75" x14ac:dyDescent="0.25">
      <c r="B434" s="129"/>
      <c r="C434" s="130"/>
      <c r="D434" s="130">
        <f>D431-D433</f>
        <v>-646001</v>
      </c>
      <c r="E434" s="9" t="s">
        <v>86</v>
      </c>
    </row>
    <row r="435" spans="1:5" ht="16.5" thickBot="1" x14ac:dyDescent="0.3">
      <c r="B435" s="123"/>
      <c r="C435" s="118"/>
      <c r="D435" s="118"/>
    </row>
    <row r="436" spans="1:5" ht="16.5" thickBot="1" x14ac:dyDescent="0.3">
      <c r="B436" s="123" t="s">
        <v>391</v>
      </c>
      <c r="C436" s="96">
        <f>SUM(C431,C418,C405,C393,C376,C408)</f>
        <v>620163797</v>
      </c>
      <c r="D436" s="96">
        <f>SUM(D431,D418,D405,D393,D376,D408)</f>
        <v>531474483</v>
      </c>
    </row>
    <row r="438" spans="1:5" x14ac:dyDescent="0.25">
      <c r="C438" s="15"/>
      <c r="D438" s="15">
        <f>D434+D411+D396+D379</f>
        <v>10383166</v>
      </c>
      <c r="E438" s="9" t="s">
        <v>86</v>
      </c>
    </row>
    <row r="439" spans="1:5" x14ac:dyDescent="0.25">
      <c r="D439" s="15" t="e">
        <f>#REF!</f>
        <v>#REF!</v>
      </c>
      <c r="E439" s="9" t="s">
        <v>394</v>
      </c>
    </row>
    <row r="440" spans="1:5" x14ac:dyDescent="0.25">
      <c r="D440" s="133" t="e">
        <f>D439-D438</f>
        <v>#REF!</v>
      </c>
      <c r="E440" s="132" t="s">
        <v>395</v>
      </c>
    </row>
    <row r="442" spans="1:5" x14ac:dyDescent="0.25">
      <c r="A442" s="119" t="s">
        <v>396</v>
      </c>
    </row>
    <row r="444" spans="1:5" ht="16.5" thickBot="1" x14ac:dyDescent="0.3">
      <c r="B444" s="123" t="s">
        <v>380</v>
      </c>
      <c r="C444" s="77">
        <v>2019</v>
      </c>
      <c r="D444" s="77">
        <v>2018</v>
      </c>
    </row>
    <row r="445" spans="1:5" ht="15.75" x14ac:dyDescent="0.25">
      <c r="B445" s="126" t="s">
        <v>397</v>
      </c>
      <c r="C445" s="87"/>
      <c r="D445" s="87"/>
    </row>
    <row r="446" spans="1:5" ht="31.5" x14ac:dyDescent="0.25">
      <c r="B446" s="134" t="s">
        <v>398</v>
      </c>
      <c r="C446" s="85">
        <v>1760350</v>
      </c>
      <c r="D446" s="85">
        <v>2063870</v>
      </c>
    </row>
    <row r="447" spans="1:5" ht="31.5" x14ac:dyDescent="0.25">
      <c r="B447" s="134" t="s">
        <v>399</v>
      </c>
      <c r="C447" s="85">
        <v>50096954</v>
      </c>
      <c r="D447" s="85">
        <v>23429097</v>
      </c>
    </row>
    <row r="448" spans="1:5" ht="31.5" x14ac:dyDescent="0.25">
      <c r="B448" s="134" t="s">
        <v>400</v>
      </c>
      <c r="C448" s="85">
        <v>51960414</v>
      </c>
      <c r="D448" s="85">
        <v>40571709</v>
      </c>
    </row>
    <row r="449" spans="1:5" ht="31.5" x14ac:dyDescent="0.25">
      <c r="B449" s="134" t="s">
        <v>401</v>
      </c>
      <c r="C449" s="85">
        <v>63154157</v>
      </c>
      <c r="D449" s="85">
        <v>37516351</v>
      </c>
    </row>
    <row r="450" spans="1:5" ht="31.5" x14ac:dyDescent="0.25">
      <c r="B450" s="134" t="s">
        <v>402</v>
      </c>
      <c r="C450" s="85">
        <v>7435032</v>
      </c>
      <c r="D450" s="85">
        <v>6078264</v>
      </c>
    </row>
    <row r="451" spans="1:5" ht="31.5" x14ac:dyDescent="0.25">
      <c r="B451" s="134" t="s">
        <v>403</v>
      </c>
      <c r="C451" s="85">
        <v>4596638</v>
      </c>
      <c r="D451" s="85">
        <v>2236905</v>
      </c>
    </row>
    <row r="452" spans="1:5" ht="47.25" x14ac:dyDescent="0.25">
      <c r="B452" s="134" t="s">
        <v>404</v>
      </c>
      <c r="C452" s="85">
        <v>5472457</v>
      </c>
      <c r="D452" s="85">
        <v>7268342</v>
      </c>
    </row>
    <row r="453" spans="1:5" ht="15.75" x14ac:dyDescent="0.25">
      <c r="B453" s="126" t="s">
        <v>50</v>
      </c>
      <c r="C453" s="87"/>
      <c r="D453" s="87"/>
    </row>
    <row r="454" spans="1:5" ht="31.5" x14ac:dyDescent="0.25">
      <c r="B454" s="127" t="s">
        <v>405</v>
      </c>
      <c r="C454" s="85">
        <v>1200000</v>
      </c>
      <c r="D454" s="85">
        <v>7598080</v>
      </c>
    </row>
    <row r="455" spans="1:5" ht="15.75" x14ac:dyDescent="0.25">
      <c r="B455" s="126" t="s">
        <v>406</v>
      </c>
      <c r="C455" s="87"/>
      <c r="D455" s="87"/>
    </row>
    <row r="456" spans="1:5" ht="16.5" thickBot="1" x14ac:dyDescent="0.3">
      <c r="B456" s="128" t="s">
        <v>407</v>
      </c>
      <c r="C456" s="111">
        <v>0</v>
      </c>
      <c r="D456" s="94">
        <v>1052363</v>
      </c>
    </row>
    <row r="457" spans="1:5" ht="16.5" thickBot="1" x14ac:dyDescent="0.3">
      <c r="B457" s="123" t="s">
        <v>233</v>
      </c>
      <c r="C457" s="96">
        <f>SUM(C446:C456)</f>
        <v>185676002</v>
      </c>
      <c r="D457" s="96">
        <f>SUM(D446:D456)</f>
        <v>127814981</v>
      </c>
    </row>
    <row r="459" spans="1:5" ht="15.75" x14ac:dyDescent="0.25">
      <c r="A459" s="63" t="s">
        <v>408</v>
      </c>
    </row>
    <row r="461" spans="1:5" ht="16.5" thickBot="1" x14ac:dyDescent="0.3">
      <c r="B461" s="123" t="s">
        <v>380</v>
      </c>
      <c r="C461" s="77">
        <v>2019</v>
      </c>
      <c r="D461" s="603">
        <v>2018</v>
      </c>
      <c r="E461" s="603"/>
    </row>
    <row r="462" spans="1:5" ht="31.5" x14ac:dyDescent="0.25">
      <c r="B462" s="86" t="s">
        <v>409</v>
      </c>
      <c r="C462" s="621">
        <v>72847935</v>
      </c>
      <c r="D462" s="621"/>
      <c r="E462" s="85">
        <v>48485222</v>
      </c>
    </row>
    <row r="463" spans="1:5" ht="47.25" x14ac:dyDescent="0.25">
      <c r="B463" s="86" t="s">
        <v>410</v>
      </c>
      <c r="C463" s="622">
        <v>1077400</v>
      </c>
      <c r="D463" s="622"/>
      <c r="E463" s="85">
        <v>1023960</v>
      </c>
    </row>
    <row r="464" spans="1:5" ht="16.5" thickBot="1" x14ac:dyDescent="0.3">
      <c r="B464" s="86" t="s">
        <v>411</v>
      </c>
      <c r="C464" s="623">
        <v>210796841</v>
      </c>
      <c r="D464" s="623"/>
      <c r="E464" s="85">
        <v>170024179</v>
      </c>
    </row>
    <row r="465" spans="1:5" ht="16.5" thickBot="1" x14ac:dyDescent="0.3">
      <c r="B465" s="88" t="s">
        <v>83</v>
      </c>
      <c r="C465" s="624">
        <f>SUM(C462:D464)</f>
        <v>284722176</v>
      </c>
      <c r="D465" s="624"/>
      <c r="E465" s="89">
        <f>SUM(E462:E464)</f>
        <v>219533361</v>
      </c>
    </row>
    <row r="467" spans="1:5" x14ac:dyDescent="0.25">
      <c r="A467" s="135" t="s">
        <v>412</v>
      </c>
    </row>
    <row r="469" spans="1:5" ht="16.5" thickBot="1" x14ac:dyDescent="0.3">
      <c r="B469" s="123" t="s">
        <v>380</v>
      </c>
      <c r="C469" s="77">
        <v>2019</v>
      </c>
      <c r="D469" s="123">
        <v>2018</v>
      </c>
    </row>
    <row r="470" spans="1:5" ht="31.5" x14ac:dyDescent="0.25">
      <c r="B470" s="86" t="s">
        <v>413</v>
      </c>
      <c r="C470" s="85">
        <v>64128385</v>
      </c>
      <c r="D470" s="85">
        <v>56272187</v>
      </c>
    </row>
    <row r="471" spans="1:5" ht="15.75" x14ac:dyDescent="0.25">
      <c r="B471" s="86" t="s">
        <v>414</v>
      </c>
      <c r="C471" s="87" t="s">
        <v>415</v>
      </c>
      <c r="D471" s="85">
        <v>3500000</v>
      </c>
    </row>
    <row r="472" spans="1:5" ht="15.75" x14ac:dyDescent="0.25">
      <c r="B472" s="86" t="s">
        <v>416</v>
      </c>
      <c r="C472" s="85">
        <v>187413720</v>
      </c>
      <c r="D472" s="85">
        <v>152559279</v>
      </c>
    </row>
    <row r="473" spans="1:5" ht="16.5" thickBot="1" x14ac:dyDescent="0.3">
      <c r="B473" s="86" t="s">
        <v>417</v>
      </c>
      <c r="C473" s="85">
        <v>756000</v>
      </c>
      <c r="D473" s="85">
        <v>336000</v>
      </c>
    </row>
    <row r="474" spans="1:5" ht="16.5" thickBot="1" x14ac:dyDescent="0.3">
      <c r="B474" s="88" t="s">
        <v>83</v>
      </c>
      <c r="C474" s="89">
        <f>SUM(C470:C473)</f>
        <v>252298105</v>
      </c>
      <c r="D474" s="89">
        <f>SUM(D470:D473)</f>
        <v>212667466</v>
      </c>
    </row>
    <row r="475" spans="1:5" ht="15.75" thickBot="1" x14ac:dyDescent="0.3"/>
    <row r="476" spans="1:5" ht="16.5" thickBot="1" x14ac:dyDescent="0.3">
      <c r="B476" s="136" t="s">
        <v>192</v>
      </c>
      <c r="C476" s="137" t="s">
        <v>418</v>
      </c>
    </row>
    <row r="477" spans="1:5" ht="31.5" x14ac:dyDescent="0.25">
      <c r="B477" s="92" t="s">
        <v>419</v>
      </c>
      <c r="C477" s="85">
        <v>58873360</v>
      </c>
      <c r="E477" s="16">
        <v>58873360</v>
      </c>
    </row>
    <row r="478" spans="1:5" ht="63" x14ac:dyDescent="0.25">
      <c r="B478" s="92" t="s">
        <v>420</v>
      </c>
      <c r="C478" s="85">
        <v>1083446</v>
      </c>
      <c r="E478" s="16">
        <v>1083446</v>
      </c>
    </row>
    <row r="479" spans="1:5" ht="47.25" x14ac:dyDescent="0.25">
      <c r="B479" s="92" t="s">
        <v>421</v>
      </c>
      <c r="C479" s="85">
        <v>90000</v>
      </c>
      <c r="E479" s="16">
        <v>90000</v>
      </c>
    </row>
    <row r="480" spans="1:5" ht="47.25" x14ac:dyDescent="0.25">
      <c r="B480" s="92" t="s">
        <v>422</v>
      </c>
      <c r="C480" s="85">
        <v>8186410</v>
      </c>
      <c r="E480" s="16">
        <v>8186410</v>
      </c>
    </row>
    <row r="481" spans="1:5" ht="47.25" x14ac:dyDescent="0.25">
      <c r="B481" s="92" t="s">
        <v>423</v>
      </c>
      <c r="C481" s="85">
        <v>486000</v>
      </c>
      <c r="E481" s="16">
        <v>486000</v>
      </c>
    </row>
    <row r="482" spans="1:5" ht="47.25" x14ac:dyDescent="0.25">
      <c r="B482" s="92" t="s">
        <v>424</v>
      </c>
      <c r="C482" s="87"/>
      <c r="E482" s="16">
        <v>1361611</v>
      </c>
    </row>
    <row r="483" spans="1:5" ht="15.75" x14ac:dyDescent="0.25">
      <c r="B483" s="92" t="s">
        <v>425</v>
      </c>
      <c r="C483" s="87"/>
      <c r="E483" s="16">
        <v>858360</v>
      </c>
    </row>
    <row r="484" spans="1:5" ht="15.75" x14ac:dyDescent="0.25">
      <c r="B484" s="138"/>
      <c r="C484" s="85">
        <v>1361611</v>
      </c>
      <c r="E484" s="16">
        <v>1418848</v>
      </c>
    </row>
    <row r="485" spans="1:5" ht="31.5" x14ac:dyDescent="0.25">
      <c r="B485" s="92" t="s">
        <v>426</v>
      </c>
      <c r="C485" s="85">
        <v>858360</v>
      </c>
      <c r="E485" s="16">
        <v>489900</v>
      </c>
    </row>
    <row r="486" spans="1:5" ht="15.75" customHeight="1" x14ac:dyDescent="0.25">
      <c r="B486" s="625" t="s">
        <v>427</v>
      </c>
      <c r="C486" s="87"/>
      <c r="E486" s="16">
        <f>SUM(E477:E485)</f>
        <v>72847935</v>
      </c>
    </row>
    <row r="487" spans="1:5" ht="15.75" x14ac:dyDescent="0.25">
      <c r="B487" s="625"/>
      <c r="C487" s="85">
        <v>1418848</v>
      </c>
      <c r="E487" s="16"/>
    </row>
    <row r="488" spans="1:5" ht="15.75" x14ac:dyDescent="0.25">
      <c r="B488" s="625" t="s">
        <v>428</v>
      </c>
      <c r="C488" s="87"/>
      <c r="E488" s="16"/>
    </row>
    <row r="489" spans="1:5" ht="15.75" x14ac:dyDescent="0.25">
      <c r="B489" s="625"/>
      <c r="C489" s="87"/>
      <c r="E489" s="16"/>
    </row>
    <row r="490" spans="1:5" ht="16.5" thickBot="1" x14ac:dyDescent="0.3">
      <c r="B490" s="626"/>
      <c r="C490" s="94">
        <v>489900</v>
      </c>
      <c r="E490" s="16"/>
    </row>
    <row r="491" spans="1:5" ht="16.5" thickBot="1" x14ac:dyDescent="0.3">
      <c r="B491" s="95" t="s">
        <v>83</v>
      </c>
      <c r="C491" s="96">
        <f>SUM(C477:C490)</f>
        <v>72847935</v>
      </c>
      <c r="E491" s="16"/>
    </row>
    <row r="492" spans="1:5" ht="15.75" x14ac:dyDescent="0.25">
      <c r="B492" s="92"/>
      <c r="C492" s="87"/>
      <c r="E492" s="16"/>
    </row>
    <row r="493" spans="1:5" x14ac:dyDescent="0.25">
      <c r="A493" s="119" t="s">
        <v>429</v>
      </c>
      <c r="E493" s="16"/>
    </row>
    <row r="494" spans="1:5" ht="15.75" thickBot="1" x14ac:dyDescent="0.3"/>
    <row r="495" spans="1:5" ht="16.5" thickBot="1" x14ac:dyDescent="0.3">
      <c r="B495" s="598" t="s">
        <v>23</v>
      </c>
      <c r="C495" s="628" t="s">
        <v>90</v>
      </c>
      <c r="D495" s="629"/>
      <c r="E495" s="630"/>
    </row>
    <row r="496" spans="1:5" ht="16.5" thickBot="1" x14ac:dyDescent="0.3">
      <c r="B496" s="627"/>
      <c r="C496" s="66" t="s">
        <v>430</v>
      </c>
      <c r="D496" s="66" t="s">
        <v>431</v>
      </c>
      <c r="E496" s="66" t="s">
        <v>193</v>
      </c>
    </row>
    <row r="497" spans="2:5" ht="32.25" thickBot="1" x14ac:dyDescent="0.3">
      <c r="B497" s="139" t="s">
        <v>432</v>
      </c>
      <c r="C497" s="140"/>
      <c r="D497" s="140"/>
      <c r="E497" s="140"/>
    </row>
    <row r="498" spans="2:5" ht="16.5" thickBot="1" x14ac:dyDescent="0.3">
      <c r="B498" s="141" t="s">
        <v>433</v>
      </c>
      <c r="C498" s="142">
        <v>20049217</v>
      </c>
      <c r="D498" s="140">
        <v>0</v>
      </c>
      <c r="E498" s="142">
        <f>C498-D498</f>
        <v>20049217</v>
      </c>
    </row>
    <row r="499" spans="2:5" ht="16.5" thickBot="1" x14ac:dyDescent="0.3">
      <c r="B499" s="141" t="s">
        <v>434</v>
      </c>
      <c r="C499" s="140"/>
      <c r="D499" s="140"/>
      <c r="E499" s="140"/>
    </row>
    <row r="500" spans="2:5" ht="16.5" thickBot="1" x14ac:dyDescent="0.3">
      <c r="B500" s="141" t="s">
        <v>435</v>
      </c>
      <c r="C500" s="142">
        <v>9978747</v>
      </c>
      <c r="D500" s="142">
        <v>3749382</v>
      </c>
      <c r="E500" s="142">
        <f t="shared" ref="E500:E502" si="40">C500-D500</f>
        <v>6229365</v>
      </c>
    </row>
    <row r="501" spans="2:5" ht="16.5" thickBot="1" x14ac:dyDescent="0.3">
      <c r="B501" s="141" t="s">
        <v>436</v>
      </c>
      <c r="C501" s="142">
        <v>36802758</v>
      </c>
      <c r="D501" s="142">
        <v>29757628</v>
      </c>
      <c r="E501" s="142">
        <f t="shared" si="40"/>
        <v>7045130</v>
      </c>
    </row>
    <row r="502" spans="2:5" ht="16.5" thickBot="1" x14ac:dyDescent="0.3">
      <c r="B502" s="139" t="s">
        <v>83</v>
      </c>
      <c r="C502" s="143">
        <f>SUM(C498:C501)</f>
        <v>66830722</v>
      </c>
      <c r="D502" s="143">
        <f>SUM(D498:D501)</f>
        <v>33507010</v>
      </c>
      <c r="E502" s="142">
        <f t="shared" si="40"/>
        <v>33323712</v>
      </c>
    </row>
    <row r="503" spans="2:5" ht="16.5" thickBot="1" x14ac:dyDescent="0.3">
      <c r="B503" s="144"/>
      <c r="C503" s="145"/>
      <c r="D503" s="145"/>
      <c r="E503" s="145"/>
    </row>
    <row r="504" spans="2:5" ht="16.5" thickBot="1" x14ac:dyDescent="0.3">
      <c r="B504" s="139" t="s">
        <v>437</v>
      </c>
      <c r="C504" s="143">
        <v>39891634</v>
      </c>
      <c r="D504" s="143">
        <v>13888124</v>
      </c>
      <c r="E504" s="143">
        <v>26003510</v>
      </c>
    </row>
    <row r="505" spans="2:5" ht="16.5" thickBot="1" x14ac:dyDescent="0.3">
      <c r="B505" s="139"/>
      <c r="C505" s="140"/>
      <c r="D505" s="140"/>
      <c r="E505" s="145"/>
    </row>
    <row r="506" spans="2:5" ht="16.5" thickBot="1" x14ac:dyDescent="0.3">
      <c r="B506" s="139" t="s">
        <v>438</v>
      </c>
      <c r="C506" s="140"/>
      <c r="D506" s="140"/>
      <c r="E506" s="140"/>
    </row>
    <row r="507" spans="2:5" ht="16.5" thickBot="1" x14ac:dyDescent="0.3">
      <c r="B507" s="141" t="s">
        <v>439</v>
      </c>
      <c r="C507" s="140"/>
      <c r="D507" s="140"/>
      <c r="E507" s="140"/>
    </row>
    <row r="508" spans="2:5" ht="16.5" thickBot="1" x14ac:dyDescent="0.3">
      <c r="B508" s="141" t="s">
        <v>440</v>
      </c>
      <c r="C508" s="140"/>
      <c r="D508" s="140"/>
      <c r="E508" s="140"/>
    </row>
    <row r="509" spans="2:5" ht="16.5" thickBot="1" x14ac:dyDescent="0.3">
      <c r="B509" s="141" t="s">
        <v>441</v>
      </c>
      <c r="C509" s="140"/>
      <c r="D509" s="140"/>
      <c r="E509" s="140"/>
    </row>
    <row r="510" spans="2:5" ht="16.5" thickBot="1" x14ac:dyDescent="0.3">
      <c r="B510" s="141" t="s">
        <v>442</v>
      </c>
      <c r="C510" s="142">
        <v>47213075</v>
      </c>
      <c r="D510" s="142">
        <v>22092234</v>
      </c>
      <c r="E510" s="142">
        <f>C510-D510</f>
        <v>25120841</v>
      </c>
    </row>
    <row r="511" spans="2:5" ht="16.5" thickBot="1" x14ac:dyDescent="0.3">
      <c r="B511" s="139"/>
      <c r="C511" s="143">
        <f>SUM(C507:C510)</f>
        <v>47213075</v>
      </c>
      <c r="D511" s="143">
        <f>SUM(D507:D510)</f>
        <v>22092234</v>
      </c>
      <c r="E511" s="143">
        <f>SUM(E507:E510)</f>
        <v>25120841</v>
      </c>
    </row>
    <row r="512" spans="2:5" ht="16.5" thickBot="1" x14ac:dyDescent="0.3">
      <c r="B512" s="139" t="s">
        <v>83</v>
      </c>
      <c r="C512" s="143">
        <f>C504+C502+C511</f>
        <v>153935431</v>
      </c>
      <c r="D512" s="143">
        <f>D504+D502+D511</f>
        <v>69487368</v>
      </c>
      <c r="E512" s="143">
        <f>E504+E502+E511</f>
        <v>84448063</v>
      </c>
    </row>
    <row r="514" spans="1:3" x14ac:dyDescent="0.25">
      <c r="A514" s="9" t="s">
        <v>443</v>
      </c>
      <c r="B514" s="16"/>
    </row>
    <row r="515" spans="1:3" x14ac:dyDescent="0.25">
      <c r="B515" s="16"/>
    </row>
    <row r="516" spans="1:3" ht="15.75" x14ac:dyDescent="0.25">
      <c r="B516" s="86" t="s">
        <v>444</v>
      </c>
      <c r="C516" s="85">
        <v>276554070</v>
      </c>
    </row>
    <row r="517" spans="1:3" ht="15.75" x14ac:dyDescent="0.25">
      <c r="B517" s="86" t="s">
        <v>445</v>
      </c>
      <c r="C517" s="87"/>
    </row>
    <row r="518" spans="1:3" ht="15.75" x14ac:dyDescent="0.25">
      <c r="B518" s="86" t="s">
        <v>446</v>
      </c>
      <c r="C518" s="85">
        <v>184476003</v>
      </c>
    </row>
    <row r="519" spans="1:3" ht="15.75" x14ac:dyDescent="0.25">
      <c r="B519" s="86" t="s">
        <v>447</v>
      </c>
      <c r="C519" s="85">
        <v>1200000</v>
      </c>
    </row>
    <row r="520" spans="1:3" ht="31.5" x14ac:dyDescent="0.25">
      <c r="B520" s="86" t="s">
        <v>448</v>
      </c>
      <c r="C520" s="85">
        <v>17545552</v>
      </c>
    </row>
    <row r="521" spans="1:3" ht="31.5" x14ac:dyDescent="0.25">
      <c r="B521" s="86" t="s">
        <v>449</v>
      </c>
      <c r="C521" s="85">
        <v>-192400</v>
      </c>
    </row>
    <row r="522" spans="1:3" ht="15.75" x14ac:dyDescent="0.25">
      <c r="B522" s="86" t="s">
        <v>450</v>
      </c>
      <c r="C522" s="85">
        <v>-21128358</v>
      </c>
    </row>
    <row r="523" spans="1:3" ht="15.75" x14ac:dyDescent="0.25">
      <c r="B523" s="86" t="s">
        <v>451</v>
      </c>
      <c r="C523" s="85">
        <v>-758271</v>
      </c>
    </row>
    <row r="524" spans="1:3" ht="15.75" x14ac:dyDescent="0.25">
      <c r="B524" s="86" t="s">
        <v>452</v>
      </c>
      <c r="C524" s="85">
        <v>506769534</v>
      </c>
    </row>
    <row r="525" spans="1:3" ht="15.75" x14ac:dyDescent="0.25">
      <c r="B525" s="86" t="s">
        <v>453</v>
      </c>
      <c r="C525" s="85">
        <v>-34662431</v>
      </c>
    </row>
    <row r="526" spans="1:3" ht="15.75" x14ac:dyDescent="0.25">
      <c r="B526" s="86" t="s">
        <v>454</v>
      </c>
      <c r="C526" s="85">
        <v>-63724203</v>
      </c>
    </row>
    <row r="527" spans="1:3" ht="15.75" x14ac:dyDescent="0.25">
      <c r="B527" s="86" t="s">
        <v>455</v>
      </c>
      <c r="C527" s="85">
        <v>27325238</v>
      </c>
    </row>
    <row r="528" spans="1:3" ht="31.5" x14ac:dyDescent="0.25">
      <c r="B528" s="86" t="s">
        <v>456</v>
      </c>
      <c r="C528" s="85">
        <v>-21694262</v>
      </c>
    </row>
    <row r="529" spans="1:7" ht="15.75" x14ac:dyDescent="0.25">
      <c r="B529" s="86" t="s">
        <v>457</v>
      </c>
      <c r="C529" s="85">
        <v>4715544</v>
      </c>
    </row>
    <row r="530" spans="1:7" ht="16.5" thickBot="1" x14ac:dyDescent="0.3">
      <c r="B530" s="86" t="s">
        <v>458</v>
      </c>
      <c r="C530" s="85">
        <v>46931361</v>
      </c>
    </row>
    <row r="531" spans="1:7" ht="32.25" thickBot="1" x14ac:dyDescent="0.3">
      <c r="B531" s="126" t="s">
        <v>459</v>
      </c>
      <c r="C531" s="89">
        <f>SUM(C516:C530)</f>
        <v>923357377</v>
      </c>
    </row>
    <row r="533" spans="1:7" x14ac:dyDescent="0.25">
      <c r="A533" s="119" t="s">
        <v>460</v>
      </c>
    </row>
    <row r="535" spans="1:7" ht="32.25" thickBot="1" x14ac:dyDescent="0.3">
      <c r="B535" s="146"/>
      <c r="C535" s="107" t="s">
        <v>461</v>
      </c>
      <c r="D535" s="107" t="s">
        <v>41</v>
      </c>
      <c r="E535" s="107" t="s">
        <v>462</v>
      </c>
      <c r="F535" s="107" t="s">
        <v>71</v>
      </c>
      <c r="G535" s="107" t="s">
        <v>43</v>
      </c>
    </row>
    <row r="536" spans="1:7" ht="15.75" customHeight="1" x14ac:dyDescent="0.25">
      <c r="B536" s="633" t="s">
        <v>463</v>
      </c>
      <c r="C536" s="100"/>
      <c r="D536" s="100"/>
      <c r="E536" s="100"/>
      <c r="F536" s="100"/>
      <c r="G536" s="100"/>
    </row>
    <row r="537" spans="1:7" ht="15.75" x14ac:dyDescent="0.25">
      <c r="B537" s="634"/>
      <c r="C537" s="82">
        <v>1684479860</v>
      </c>
      <c r="D537" s="82">
        <v>327595572</v>
      </c>
      <c r="E537" s="82">
        <v>846183320</v>
      </c>
      <c r="F537" s="82">
        <v>70402411</v>
      </c>
      <c r="G537" s="82">
        <v>733122933</v>
      </c>
    </row>
    <row r="538" spans="1:7" ht="15.75" x14ac:dyDescent="0.25">
      <c r="B538" s="81" t="s">
        <v>464</v>
      </c>
      <c r="C538" s="100"/>
      <c r="D538" s="100"/>
      <c r="E538" s="100"/>
      <c r="F538" s="100"/>
      <c r="G538" s="100"/>
    </row>
    <row r="539" spans="1:7" ht="31.5" x14ac:dyDescent="0.25">
      <c r="B539" s="81" t="s">
        <v>465</v>
      </c>
      <c r="C539" s="100"/>
      <c r="D539" s="635"/>
      <c r="E539" s="100"/>
      <c r="F539" s="635"/>
      <c r="G539" s="635"/>
    </row>
    <row r="540" spans="1:7" ht="15.75" x14ac:dyDescent="0.25">
      <c r="B540" s="81" t="s">
        <v>466</v>
      </c>
      <c r="C540" s="82">
        <v>-284722176</v>
      </c>
      <c r="D540" s="635"/>
      <c r="E540" s="82">
        <v>-252298105</v>
      </c>
      <c r="F540" s="635"/>
      <c r="G540" s="635"/>
    </row>
    <row r="541" spans="1:7" ht="15.75" x14ac:dyDescent="0.25">
      <c r="B541" s="147" t="s">
        <v>467</v>
      </c>
      <c r="C541" s="100"/>
      <c r="D541" s="100"/>
      <c r="E541" s="100"/>
      <c r="F541" s="100"/>
      <c r="G541" s="100"/>
    </row>
    <row r="542" spans="1:7" ht="31.5" x14ac:dyDescent="0.25">
      <c r="B542" s="147" t="s">
        <v>468</v>
      </c>
      <c r="C542" s="100"/>
      <c r="D542" s="100"/>
      <c r="E542" s="100"/>
      <c r="F542" s="82">
        <v>-48210096</v>
      </c>
      <c r="G542" s="100"/>
    </row>
    <row r="543" spans="1:7" ht="15.75" x14ac:dyDescent="0.25">
      <c r="B543" s="147" t="s">
        <v>469</v>
      </c>
      <c r="C543" s="635"/>
      <c r="D543" s="635"/>
      <c r="E543" s="635"/>
      <c r="F543" s="635"/>
      <c r="G543" s="100"/>
    </row>
    <row r="544" spans="1:7" ht="31.5" x14ac:dyDescent="0.25">
      <c r="B544" s="147" t="s">
        <v>470</v>
      </c>
      <c r="C544" s="635"/>
      <c r="D544" s="635"/>
      <c r="E544" s="635"/>
      <c r="F544" s="635"/>
      <c r="G544" s="82">
        <v>-189988405</v>
      </c>
    </row>
    <row r="545" spans="1:7" ht="31.5" x14ac:dyDescent="0.25">
      <c r="B545" s="147" t="s">
        <v>471</v>
      </c>
      <c r="C545" s="635"/>
      <c r="D545" s="635"/>
      <c r="E545" s="635"/>
      <c r="F545" s="635"/>
      <c r="G545" s="82">
        <v>-543134528</v>
      </c>
    </row>
    <row r="546" spans="1:7" ht="15.75" x14ac:dyDescent="0.25">
      <c r="B546" s="81" t="s">
        <v>472</v>
      </c>
      <c r="C546" s="100"/>
      <c r="D546" s="100"/>
      <c r="E546" s="100"/>
      <c r="F546" s="100"/>
      <c r="G546" s="100"/>
    </row>
    <row r="547" spans="1:7" ht="32.25" thickBot="1" x14ac:dyDescent="0.3">
      <c r="B547" s="148" t="s">
        <v>416</v>
      </c>
      <c r="C547" s="149"/>
      <c r="D547" s="149"/>
      <c r="E547" s="102">
        <v>26278582</v>
      </c>
      <c r="F547" s="149"/>
      <c r="G547" s="149"/>
    </row>
    <row r="548" spans="1:7" ht="15.75" x14ac:dyDescent="0.25">
      <c r="B548" s="631" t="s">
        <v>473</v>
      </c>
      <c r="C548" s="98"/>
      <c r="D548" s="98"/>
      <c r="E548" s="98"/>
      <c r="F548" s="98"/>
      <c r="G548" s="98"/>
    </row>
    <row r="549" spans="1:7" ht="16.5" thickBot="1" x14ac:dyDescent="0.3">
      <c r="B549" s="632"/>
      <c r="C549" s="104">
        <f>SUM(C537:C547)</f>
        <v>1399757684</v>
      </c>
      <c r="D549" s="104">
        <f>SUM(D537:D547)</f>
        <v>327595572</v>
      </c>
      <c r="E549" s="104">
        <f>SUM(E537:E547)</f>
        <v>620163797</v>
      </c>
      <c r="F549" s="104">
        <f>SUM(F537:F547)</f>
        <v>22192315</v>
      </c>
      <c r="G549" s="104">
        <f>SUM(G537:G547)</f>
        <v>0</v>
      </c>
    </row>
    <row r="552" spans="1:7" ht="15.75" x14ac:dyDescent="0.25">
      <c r="A552" s="63" t="s">
        <v>474</v>
      </c>
    </row>
    <row r="553" spans="1:7" ht="15.75" thickBot="1" x14ac:dyDescent="0.3"/>
    <row r="554" spans="1:7" ht="16.5" thickBot="1" x14ac:dyDescent="0.3">
      <c r="B554" s="150" t="s">
        <v>23</v>
      </c>
      <c r="C554" s="151" t="s">
        <v>90</v>
      </c>
    </row>
    <row r="555" spans="1:7" ht="16.5" thickBot="1" x14ac:dyDescent="0.3">
      <c r="B555" s="152" t="s">
        <v>475</v>
      </c>
      <c r="C555" s="153"/>
    </row>
    <row r="556" spans="1:7" ht="32.25" thickBot="1" x14ac:dyDescent="0.3">
      <c r="B556" s="154" t="s">
        <v>476</v>
      </c>
      <c r="C556" s="155">
        <v>9305799</v>
      </c>
    </row>
    <row r="557" spans="1:7" ht="16.5" thickBot="1" x14ac:dyDescent="0.3">
      <c r="B557" s="154" t="s">
        <v>477</v>
      </c>
      <c r="C557" s="155">
        <v>8813815</v>
      </c>
    </row>
    <row r="558" spans="1:7" ht="63.75" thickBot="1" x14ac:dyDescent="0.3">
      <c r="B558" s="154" t="s">
        <v>478</v>
      </c>
      <c r="C558" s="155">
        <v>5019459</v>
      </c>
    </row>
    <row r="559" spans="1:7" ht="16.5" thickBot="1" x14ac:dyDescent="0.3">
      <c r="B559" s="152" t="s">
        <v>67</v>
      </c>
      <c r="C559" s="156">
        <f>SUM(C556:C558)</f>
        <v>23139073</v>
      </c>
    </row>
  </sheetData>
  <mergeCells count="64">
    <mergeCell ref="B548:B549"/>
    <mergeCell ref="B536:B537"/>
    <mergeCell ref="D539:D540"/>
    <mergeCell ref="F539:F540"/>
    <mergeCell ref="G539:G540"/>
    <mergeCell ref="C543:C545"/>
    <mergeCell ref="D543:D545"/>
    <mergeCell ref="E543:E545"/>
    <mergeCell ref="F543:F545"/>
    <mergeCell ref="C464:D464"/>
    <mergeCell ref="C465:D465"/>
    <mergeCell ref="B486:B487"/>
    <mergeCell ref="B488:B490"/>
    <mergeCell ref="B495:B496"/>
    <mergeCell ref="C495:E495"/>
    <mergeCell ref="B426:B427"/>
    <mergeCell ref="B429:B430"/>
    <mergeCell ref="D461:E461"/>
    <mergeCell ref="C462:D462"/>
    <mergeCell ref="C463:D463"/>
    <mergeCell ref="C363:C364"/>
    <mergeCell ref="D363:D364"/>
    <mergeCell ref="C367:C368"/>
    <mergeCell ref="D367:D368"/>
    <mergeCell ref="C330:C331"/>
    <mergeCell ref="D330:D331"/>
    <mergeCell ref="C347:C348"/>
    <mergeCell ref="D347:D348"/>
    <mergeCell ref="C350:C351"/>
    <mergeCell ref="D350:D351"/>
    <mergeCell ref="D277:D278"/>
    <mergeCell ref="B301:B302"/>
    <mergeCell ref="C301:C302"/>
    <mergeCell ref="B306:B308"/>
    <mergeCell ref="C316:C317"/>
    <mergeCell ref="C247:C248"/>
    <mergeCell ref="D247:D248"/>
    <mergeCell ref="B254:B255"/>
    <mergeCell ref="C254:C255"/>
    <mergeCell ref="B264:B265"/>
    <mergeCell ref="C264:C265"/>
    <mergeCell ref="D200:E200"/>
    <mergeCell ref="C233:C234"/>
    <mergeCell ref="D233:D234"/>
    <mergeCell ref="C240:C241"/>
    <mergeCell ref="D240:D241"/>
    <mergeCell ref="B178:B179"/>
    <mergeCell ref="C178:C179"/>
    <mergeCell ref="B192:B193"/>
    <mergeCell ref="C192:C193"/>
    <mergeCell ref="B200:C200"/>
    <mergeCell ref="B122:B123"/>
    <mergeCell ref="C122:C123"/>
    <mergeCell ref="D122:D123"/>
    <mergeCell ref="E122:E123"/>
    <mergeCell ref="F141:G141"/>
    <mergeCell ref="F82:G82"/>
    <mergeCell ref="F106:G106"/>
    <mergeCell ref="F2:G2"/>
    <mergeCell ref="B47:B48"/>
    <mergeCell ref="C49:C50"/>
    <mergeCell ref="D49:D50"/>
    <mergeCell ref="F44:G44"/>
    <mergeCell ref="F57:G5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"/>
  <sheetViews>
    <sheetView workbookViewId="0">
      <selection activeCell="A83" sqref="A83"/>
    </sheetView>
  </sheetViews>
  <sheetFormatPr defaultRowHeight="15" x14ac:dyDescent="0.25"/>
  <cols>
    <col min="1" max="1" width="8.85546875" style="247"/>
    <col min="2" max="2" width="8.28515625" bestFit="1" customWidth="1"/>
    <col min="3" max="3" width="12.140625" bestFit="1" customWidth="1"/>
  </cols>
  <sheetData>
    <row r="1" spans="1:3" ht="16.5" thickBot="1" x14ac:dyDescent="0.3">
      <c r="A1" s="245" t="s">
        <v>108</v>
      </c>
      <c r="B1" s="240"/>
      <c r="C1" s="240"/>
    </row>
    <row r="2" spans="1:3" ht="16.5" thickBot="1" x14ac:dyDescent="0.3">
      <c r="A2" s="244" t="s">
        <v>508</v>
      </c>
      <c r="B2" s="241"/>
      <c r="C2" s="243">
        <v>41748000</v>
      </c>
    </row>
    <row r="3" spans="1:3" ht="16.5" thickBot="1" x14ac:dyDescent="0.3">
      <c r="A3" s="244" t="s">
        <v>509</v>
      </c>
      <c r="B3" s="241"/>
      <c r="C3" s="243">
        <v>5000000</v>
      </c>
    </row>
    <row r="4" spans="1:3" ht="16.5" thickBot="1" x14ac:dyDescent="0.3">
      <c r="A4" s="244" t="s">
        <v>510</v>
      </c>
      <c r="B4" s="241"/>
      <c r="C4" s="243">
        <v>1000000</v>
      </c>
    </row>
    <row r="5" spans="1:3" ht="16.5" thickBot="1" x14ac:dyDescent="0.3">
      <c r="A5" s="244" t="s">
        <v>511</v>
      </c>
      <c r="B5" s="241"/>
      <c r="C5" s="241"/>
    </row>
    <row r="6" spans="1:3" ht="16.5" thickBot="1" x14ac:dyDescent="0.3">
      <c r="A6" s="244" t="s">
        <v>512</v>
      </c>
      <c r="B6" s="243">
        <v>300000</v>
      </c>
      <c r="C6" s="241"/>
    </row>
    <row r="7" spans="1:3" ht="16.5" thickBot="1" x14ac:dyDescent="0.3">
      <c r="A7" s="244" t="s">
        <v>513</v>
      </c>
      <c r="B7" s="243">
        <v>300000</v>
      </c>
      <c r="C7" s="241"/>
    </row>
    <row r="8" spans="1:3" ht="16.5" thickBot="1" x14ac:dyDescent="0.3">
      <c r="A8" s="244" t="s">
        <v>514</v>
      </c>
      <c r="B8" s="243">
        <v>300000</v>
      </c>
      <c r="C8" s="243">
        <v>900000</v>
      </c>
    </row>
    <row r="9" spans="1:3" ht="16.5" thickBot="1" x14ac:dyDescent="0.3">
      <c r="A9" s="244" t="s">
        <v>515</v>
      </c>
      <c r="B9" s="241"/>
      <c r="C9" s="243">
        <v>1315611</v>
      </c>
    </row>
    <row r="10" spans="1:3" ht="16.5" thickBot="1" x14ac:dyDescent="0.3">
      <c r="A10" s="244" t="s">
        <v>516</v>
      </c>
      <c r="B10" s="241"/>
      <c r="C10" s="243">
        <v>3948713</v>
      </c>
    </row>
    <row r="11" spans="1:3" ht="16.5" thickBot="1" x14ac:dyDescent="0.3">
      <c r="A11" s="244" t="s">
        <v>517</v>
      </c>
      <c r="B11" s="241"/>
      <c r="C11" s="243">
        <v>3500000</v>
      </c>
    </row>
    <row r="12" spans="1:3" ht="16.5" thickBot="1" x14ac:dyDescent="0.3">
      <c r="A12" s="244"/>
      <c r="B12" s="241"/>
      <c r="C12" s="241"/>
    </row>
    <row r="13" spans="1:3" ht="16.5" thickBot="1" x14ac:dyDescent="0.3">
      <c r="A13" s="246" t="s">
        <v>475</v>
      </c>
      <c r="B13" s="241"/>
      <c r="C13" s="241"/>
    </row>
    <row r="14" spans="1:3" ht="16.5" thickBot="1" x14ac:dyDescent="0.3">
      <c r="A14" s="244" t="s">
        <v>518</v>
      </c>
      <c r="B14" s="241"/>
      <c r="C14" s="243">
        <v>27634577</v>
      </c>
    </row>
    <row r="15" spans="1:3" ht="16.5" thickBot="1" x14ac:dyDescent="0.3">
      <c r="A15" s="244" t="s">
        <v>519</v>
      </c>
      <c r="B15" s="241"/>
      <c r="C15" s="243">
        <v>16667176</v>
      </c>
    </row>
    <row r="16" spans="1:3" ht="16.5" thickBot="1" x14ac:dyDescent="0.3">
      <c r="A16" s="244" t="s">
        <v>520</v>
      </c>
      <c r="B16" s="241"/>
      <c r="C16" s="243">
        <v>15429000</v>
      </c>
    </row>
    <row r="17" spans="1:3" ht="16.5" thickBot="1" x14ac:dyDescent="0.3">
      <c r="A17" s="244" t="s">
        <v>521</v>
      </c>
      <c r="B17" s="241"/>
      <c r="C17" s="243">
        <v>7445754</v>
      </c>
    </row>
    <row r="18" spans="1:3" ht="16.5" thickBot="1" x14ac:dyDescent="0.3">
      <c r="A18" s="244" t="s">
        <v>522</v>
      </c>
      <c r="B18" s="241"/>
      <c r="C18" s="243">
        <v>2618338</v>
      </c>
    </row>
    <row r="19" spans="1:3" ht="16.5" thickBot="1" x14ac:dyDescent="0.3">
      <c r="A19" s="244"/>
      <c r="B19" s="241"/>
      <c r="C19" s="243">
        <f>SUM(C2:C18)</f>
        <v>127207169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P36"/>
  <sheetViews>
    <sheetView topLeftCell="R1" workbookViewId="0">
      <selection activeCell="A83" sqref="A83"/>
    </sheetView>
  </sheetViews>
  <sheetFormatPr defaultRowHeight="15" x14ac:dyDescent="0.25"/>
  <cols>
    <col min="1" max="1" width="8.85546875" style="9"/>
    <col min="2" max="2" width="13.85546875" bestFit="1" customWidth="1"/>
    <col min="3" max="3" width="13.28515625" bestFit="1" customWidth="1"/>
    <col min="6" max="6" width="9.85546875" bestFit="1" customWidth="1"/>
    <col min="8" max="9" width="8.85546875" style="9"/>
    <col min="10" max="10" width="13.85546875" bestFit="1" customWidth="1"/>
    <col min="12" max="13" width="8.85546875" style="247"/>
    <col min="14" max="14" width="9.85546875" bestFit="1" customWidth="1"/>
    <col min="16" max="16" width="8.85546875" style="247"/>
    <col min="19" max="19" width="8.85546875" style="9"/>
    <col min="20" max="20" width="12.140625" bestFit="1" customWidth="1"/>
    <col min="21" max="21" width="13.28515625" bestFit="1" customWidth="1"/>
    <col min="23" max="23" width="8.85546875" style="9"/>
    <col min="24" max="24" width="12.140625" style="9" bestFit="1" customWidth="1"/>
    <col min="25" max="25" width="13.28515625" style="9" bestFit="1" customWidth="1"/>
    <col min="26" max="26" width="8.85546875" style="9"/>
    <col min="28" max="28" width="25.140625" bestFit="1" customWidth="1"/>
    <col min="30" max="30" width="22.7109375" bestFit="1" customWidth="1"/>
    <col min="32" max="32" width="9.7109375" bestFit="1" customWidth="1"/>
    <col min="34" max="34" width="10.85546875" bestFit="1" customWidth="1"/>
    <col min="37" max="37" width="8.85546875" style="247"/>
    <col min="38" max="38" width="12.140625" bestFit="1" customWidth="1"/>
    <col min="39" max="39" width="11" bestFit="1" customWidth="1"/>
    <col min="41" max="41" width="6.7109375" style="247" customWidth="1"/>
    <col min="42" max="42" width="11" bestFit="1" customWidth="1"/>
    <col min="43" max="43" width="13.28515625" bestFit="1" customWidth="1"/>
    <col min="50" max="50" width="9.85546875" bestFit="1" customWidth="1"/>
    <col min="52" max="52" width="8.85546875" style="247"/>
    <col min="53" max="53" width="12.140625" style="9" bestFit="1" customWidth="1"/>
    <col min="54" max="54" width="13.28515625" style="9" bestFit="1" customWidth="1"/>
    <col min="59" max="59" width="10.85546875" bestFit="1" customWidth="1"/>
    <col min="62" max="62" width="10.85546875" bestFit="1" customWidth="1"/>
    <col min="64" max="64" width="8.85546875" style="9"/>
    <col min="65" max="65" width="14.7109375" style="9" bestFit="1" customWidth="1"/>
    <col min="66" max="66" width="13.28515625" style="9" bestFit="1" customWidth="1"/>
    <col min="68" max="68" width="8.85546875" style="9"/>
    <col min="69" max="69" width="14.7109375" style="9" bestFit="1" customWidth="1"/>
    <col min="70" max="70" width="13.28515625" style="9" bestFit="1" customWidth="1"/>
    <col min="72" max="73" width="8.85546875" style="9"/>
    <col min="74" max="75" width="11" style="9" bestFit="1" customWidth="1"/>
    <col min="77" max="77" width="8.85546875" style="247"/>
    <col min="78" max="78" width="12.140625" style="247" bestFit="1" customWidth="1"/>
    <col min="79" max="79" width="13.28515625" style="247" bestFit="1" customWidth="1"/>
    <col min="80" max="80" width="8.85546875" style="247"/>
    <col min="81" max="81" width="12.42578125" style="9" bestFit="1" customWidth="1"/>
    <col min="82" max="82" width="13.28515625" style="9" bestFit="1" customWidth="1"/>
    <col min="84" max="84" width="8.85546875" style="9"/>
    <col min="85" max="85" width="12.140625" style="9" bestFit="1" customWidth="1"/>
    <col min="86" max="86" width="13.28515625" style="9" bestFit="1" customWidth="1"/>
    <col min="87" max="87" width="8.85546875" style="9"/>
    <col min="88" max="88" width="12.140625" style="9" bestFit="1" customWidth="1"/>
    <col min="89" max="89" width="13.28515625" style="9" bestFit="1" customWidth="1"/>
    <col min="95" max="95" width="9.85546875" bestFit="1" customWidth="1"/>
    <col min="96" max="96" width="13.28515625" bestFit="1" customWidth="1"/>
    <col min="98" max="98" width="10.85546875" customWidth="1"/>
    <col min="99" max="99" width="11.28515625" customWidth="1"/>
    <col min="101" max="101" width="8.85546875" style="9"/>
    <col min="102" max="102" width="12.140625" bestFit="1" customWidth="1"/>
    <col min="103" max="103" width="13.28515625" bestFit="1" customWidth="1"/>
    <col min="105" max="105" width="8.85546875" style="247"/>
    <col min="106" max="106" width="12.140625" bestFit="1" customWidth="1"/>
    <col min="107" max="107" width="13.28515625" bestFit="1" customWidth="1"/>
    <col min="109" max="109" width="8.85546875" style="9"/>
    <col min="110" max="110" width="12.140625" style="9" bestFit="1" customWidth="1"/>
    <col min="111" max="111" width="13.28515625" style="9" bestFit="1" customWidth="1"/>
    <col min="113" max="113" width="8.85546875" style="247"/>
    <col min="122" max="122" width="10.85546875" bestFit="1" customWidth="1"/>
    <col min="125" max="125" width="8.85546875" style="247"/>
    <col min="126" max="126" width="10" style="9" bestFit="1" customWidth="1"/>
    <col min="127" max="127" width="8.85546875" style="9"/>
    <col min="130" max="130" width="9.85546875" bestFit="1" customWidth="1"/>
    <col min="134" max="134" width="10.85546875" bestFit="1" customWidth="1"/>
    <col min="138" max="139" width="12.140625" bestFit="1" customWidth="1"/>
    <col min="140" max="140" width="11" bestFit="1" customWidth="1"/>
    <col min="142" max="142" width="8.85546875" style="9"/>
    <col min="143" max="143" width="12.85546875" style="9" bestFit="1" customWidth="1"/>
    <col min="145" max="145" width="8.85546875" style="247"/>
    <col min="146" max="146" width="9.85546875" style="9" bestFit="1" customWidth="1"/>
  </cols>
  <sheetData>
    <row r="1" spans="1:146" ht="36.75" thickBot="1" x14ac:dyDescent="0.3">
      <c r="A1" s="253" t="s">
        <v>79</v>
      </c>
      <c r="B1" s="636">
        <v>2020</v>
      </c>
      <c r="C1" s="248">
        <v>2019</v>
      </c>
      <c r="E1" s="230" t="s">
        <v>527</v>
      </c>
      <c r="F1" s="230" t="s">
        <v>90</v>
      </c>
      <c r="H1" s="268" t="s">
        <v>96</v>
      </c>
      <c r="I1" s="230" t="s">
        <v>97</v>
      </c>
      <c r="J1" s="226" t="s">
        <v>98</v>
      </c>
      <c r="L1" s="278" t="s">
        <v>96</v>
      </c>
      <c r="M1" s="278" t="s">
        <v>97</v>
      </c>
      <c r="N1" s="40" t="s">
        <v>90</v>
      </c>
      <c r="P1" s="278" t="s">
        <v>96</v>
      </c>
      <c r="Q1" s="25" t="s">
        <v>541</v>
      </c>
      <c r="S1" s="253" t="s">
        <v>79</v>
      </c>
      <c r="T1" s="253">
        <v>2020</v>
      </c>
      <c r="U1" s="248">
        <v>2019</v>
      </c>
      <c r="W1" s="284" t="s">
        <v>79</v>
      </c>
      <c r="X1" s="252">
        <v>2020</v>
      </c>
      <c r="Y1" s="253">
        <v>2019</v>
      </c>
      <c r="Z1" s="310" t="s">
        <v>156</v>
      </c>
      <c r="AA1" s="308" t="s">
        <v>83</v>
      </c>
      <c r="AB1" s="308" t="s">
        <v>557</v>
      </c>
      <c r="AC1" s="308"/>
      <c r="AD1" s="314" t="s">
        <v>558</v>
      </c>
      <c r="AE1" s="314"/>
      <c r="AF1" s="314"/>
      <c r="AG1" s="314"/>
      <c r="AH1" s="314"/>
      <c r="AI1" s="314"/>
      <c r="AK1" s="337" t="s">
        <v>79</v>
      </c>
      <c r="AL1" s="332">
        <v>2020</v>
      </c>
      <c r="AM1" s="320">
        <v>2019</v>
      </c>
      <c r="AO1" s="286" t="s">
        <v>79</v>
      </c>
      <c r="AP1" s="252">
        <v>2020</v>
      </c>
      <c r="AQ1" s="231">
        <v>2019</v>
      </c>
      <c r="AR1" s="363" t="s">
        <v>96</v>
      </c>
      <c r="AS1" s="349" t="s">
        <v>584</v>
      </c>
      <c r="AT1" s="363" t="s">
        <v>586</v>
      </c>
      <c r="AU1" s="363" t="s">
        <v>587</v>
      </c>
      <c r="AV1" s="349" t="s">
        <v>588</v>
      </c>
      <c r="AW1" s="363" t="s">
        <v>590</v>
      </c>
      <c r="AZ1" s="286" t="s">
        <v>79</v>
      </c>
      <c r="BA1" s="284">
        <v>2020</v>
      </c>
      <c r="BB1" s="375">
        <v>2019</v>
      </c>
      <c r="BD1" s="638" t="s">
        <v>634</v>
      </c>
      <c r="BE1" s="638" t="s">
        <v>635</v>
      </c>
      <c r="BF1" s="638" t="s">
        <v>636</v>
      </c>
      <c r="BG1" s="638" t="s">
        <v>637</v>
      </c>
      <c r="BH1" s="643" t="s">
        <v>638</v>
      </c>
      <c r="BI1" s="643"/>
      <c r="BJ1" s="638" t="s">
        <v>639</v>
      </c>
      <c r="BL1" s="284" t="s">
        <v>672</v>
      </c>
      <c r="BM1" s="253">
        <v>2020</v>
      </c>
      <c r="BN1" s="251">
        <v>2019</v>
      </c>
      <c r="BP1" s="392" t="s">
        <v>679</v>
      </c>
      <c r="BQ1" s="392">
        <v>2020</v>
      </c>
      <c r="BR1" s="233">
        <v>2019</v>
      </c>
      <c r="BT1" s="47"/>
      <c r="BU1" s="395"/>
      <c r="BV1" s="234">
        <v>2020</v>
      </c>
      <c r="BW1" s="234">
        <v>2019</v>
      </c>
      <c r="BY1" s="399" t="s">
        <v>689</v>
      </c>
      <c r="BZ1" s="399">
        <v>2020</v>
      </c>
      <c r="CA1" s="399">
        <v>2019</v>
      </c>
      <c r="CB1" s="286" t="s">
        <v>79</v>
      </c>
      <c r="CC1" s="284">
        <v>2020</v>
      </c>
      <c r="CD1" s="233">
        <v>2019</v>
      </c>
      <c r="CF1" s="284" t="s">
        <v>79</v>
      </c>
      <c r="CG1" s="284">
        <v>2020</v>
      </c>
      <c r="CH1" s="233">
        <v>2019</v>
      </c>
      <c r="CI1" s="392" t="s">
        <v>79</v>
      </c>
      <c r="CJ1" s="253">
        <v>2020</v>
      </c>
      <c r="CK1" s="251">
        <v>2019</v>
      </c>
      <c r="CM1" s="421" t="s">
        <v>96</v>
      </c>
      <c r="CN1" s="421" t="s">
        <v>90</v>
      </c>
      <c r="CP1" s="253" t="s">
        <v>79</v>
      </c>
      <c r="CQ1" s="253">
        <v>2020</v>
      </c>
      <c r="CR1" s="251">
        <v>2019</v>
      </c>
      <c r="CS1" s="392" t="s">
        <v>79</v>
      </c>
      <c r="CT1" s="253">
        <v>2020</v>
      </c>
      <c r="CU1" s="251">
        <v>2019</v>
      </c>
      <c r="CW1" s="284" t="s">
        <v>79</v>
      </c>
      <c r="CX1" s="602">
        <v>2020</v>
      </c>
      <c r="CY1" s="232">
        <v>2019</v>
      </c>
      <c r="DA1" s="399" t="s">
        <v>79</v>
      </c>
      <c r="DB1" s="602">
        <v>2020</v>
      </c>
      <c r="DC1" s="232">
        <v>2019</v>
      </c>
      <c r="DE1" s="253" t="s">
        <v>79</v>
      </c>
      <c r="DF1" s="253">
        <v>2020</v>
      </c>
      <c r="DG1" s="251">
        <v>2019</v>
      </c>
      <c r="DI1" s="430" t="s">
        <v>79</v>
      </c>
      <c r="DJ1" s="238">
        <v>2020</v>
      </c>
      <c r="DK1" s="238">
        <v>2019</v>
      </c>
      <c r="DM1" s="253" t="s">
        <v>79</v>
      </c>
      <c r="DN1" s="253">
        <v>2020</v>
      </c>
      <c r="DO1" s="251">
        <v>2019</v>
      </c>
      <c r="DQ1" s="253" t="s">
        <v>79</v>
      </c>
      <c r="DR1" s="253">
        <v>2020</v>
      </c>
      <c r="DS1" s="251">
        <v>2019</v>
      </c>
      <c r="DU1" s="399" t="s">
        <v>79</v>
      </c>
      <c r="DV1" s="253">
        <v>2020</v>
      </c>
      <c r="DW1" s="251">
        <v>2019</v>
      </c>
      <c r="DY1" s="636" t="s">
        <v>79</v>
      </c>
      <c r="DZ1" s="636">
        <v>2020</v>
      </c>
      <c r="EA1" s="251">
        <v>2019</v>
      </c>
      <c r="EC1" s="253" t="s">
        <v>79</v>
      </c>
      <c r="ED1" s="253">
        <v>2020</v>
      </c>
      <c r="EE1" s="251">
        <v>2019</v>
      </c>
      <c r="EG1" s="253" t="s">
        <v>23</v>
      </c>
      <c r="EH1" s="122" t="s">
        <v>90</v>
      </c>
      <c r="EI1" s="122"/>
      <c r="EJ1" s="122"/>
      <c r="EL1" s="234" t="s">
        <v>23</v>
      </c>
      <c r="EM1" s="234" t="s">
        <v>90</v>
      </c>
      <c r="EO1" s="421" t="s">
        <v>23</v>
      </c>
      <c r="EP1" s="419" t="s">
        <v>90</v>
      </c>
    </row>
    <row r="2" spans="1:146" ht="24.75" thickBot="1" x14ac:dyDescent="0.3">
      <c r="A2" s="19"/>
      <c r="B2" s="614"/>
      <c r="C2" s="249" t="s">
        <v>215</v>
      </c>
      <c r="E2" s="21" t="s">
        <v>528</v>
      </c>
      <c r="F2" s="12">
        <v>7010574</v>
      </c>
      <c r="H2" s="269" t="s">
        <v>0</v>
      </c>
      <c r="I2" s="269"/>
      <c r="J2" s="224"/>
      <c r="L2" s="105" t="s">
        <v>112</v>
      </c>
      <c r="M2" s="105" t="s">
        <v>100</v>
      </c>
      <c r="N2" s="3">
        <v>50375</v>
      </c>
      <c r="P2" s="105" t="s">
        <v>542</v>
      </c>
      <c r="Q2" s="281">
        <v>-147200</v>
      </c>
      <c r="S2" s="19"/>
      <c r="T2" s="19"/>
      <c r="U2" s="249" t="s">
        <v>215</v>
      </c>
      <c r="W2" s="255"/>
      <c r="X2" s="123"/>
      <c r="Y2" s="22" t="s">
        <v>215</v>
      </c>
      <c r="Z2" s="311"/>
      <c r="AA2" s="309"/>
      <c r="AB2" s="309"/>
      <c r="AC2" s="309"/>
      <c r="AD2" s="314" t="s">
        <v>559</v>
      </c>
      <c r="AE2" s="314"/>
      <c r="AF2" s="314" t="s">
        <v>560</v>
      </c>
      <c r="AG2" s="314"/>
      <c r="AH2" s="314" t="s">
        <v>561</v>
      </c>
      <c r="AI2" s="314"/>
      <c r="AK2" s="338"/>
      <c r="AL2" s="333"/>
      <c r="AM2" s="345" t="s">
        <v>215</v>
      </c>
      <c r="AO2" s="280"/>
      <c r="AP2" s="123"/>
      <c r="AQ2" s="249" t="s">
        <v>215</v>
      </c>
      <c r="AR2" s="364"/>
      <c r="AS2" s="348" t="s">
        <v>585</v>
      </c>
      <c r="AT2" s="364"/>
      <c r="AU2" s="364"/>
      <c r="AV2" s="348" t="s">
        <v>589</v>
      </c>
      <c r="AW2" s="364"/>
      <c r="AZ2" s="280"/>
      <c r="BA2" s="255"/>
      <c r="BB2" s="272" t="s">
        <v>215</v>
      </c>
      <c r="BD2" s="639"/>
      <c r="BE2" s="639"/>
      <c r="BF2" s="639"/>
      <c r="BG2" s="639"/>
      <c r="BH2" s="380" t="s">
        <v>640</v>
      </c>
      <c r="BI2" s="380" t="s">
        <v>641</v>
      </c>
      <c r="BJ2" s="639"/>
      <c r="BL2" s="255"/>
      <c r="BM2" s="19"/>
      <c r="BN2" s="249" t="s">
        <v>215</v>
      </c>
      <c r="BP2" s="80"/>
      <c r="BQ2" s="80"/>
      <c r="BR2" s="391" t="s">
        <v>215</v>
      </c>
      <c r="BT2" s="22" t="s">
        <v>683</v>
      </c>
      <c r="BU2" s="256"/>
      <c r="BV2" s="256" t="s">
        <v>684</v>
      </c>
      <c r="BW2" s="256" t="s">
        <v>563</v>
      </c>
      <c r="BY2" s="344"/>
      <c r="BZ2" s="344"/>
      <c r="CA2" s="400" t="s">
        <v>215</v>
      </c>
      <c r="CB2" s="280"/>
      <c r="CC2" s="255"/>
      <c r="CD2" s="408" t="s">
        <v>215</v>
      </c>
      <c r="CF2" s="255"/>
      <c r="CG2" s="255"/>
      <c r="CH2" s="408" t="s">
        <v>215</v>
      </c>
      <c r="CI2" s="80"/>
      <c r="CJ2" s="19"/>
      <c r="CK2" s="249" t="s">
        <v>215</v>
      </c>
      <c r="CM2" s="63" t="s">
        <v>715</v>
      </c>
      <c r="CN2" s="422"/>
      <c r="CP2" s="19"/>
      <c r="CQ2" s="19"/>
      <c r="CR2" s="249" t="s">
        <v>215</v>
      </c>
      <c r="CS2" s="80"/>
      <c r="CT2" s="19"/>
      <c r="CU2" s="249" t="s">
        <v>215</v>
      </c>
      <c r="CW2" s="255"/>
      <c r="CX2" s="603"/>
      <c r="CY2" s="249" t="s">
        <v>215</v>
      </c>
      <c r="DA2" s="344"/>
      <c r="DB2" s="603"/>
      <c r="DC2" s="249" t="s">
        <v>215</v>
      </c>
      <c r="DE2" s="19"/>
      <c r="DF2" s="19"/>
      <c r="DG2" s="249" t="s">
        <v>215</v>
      </c>
      <c r="DI2" s="401" t="s">
        <v>733</v>
      </c>
      <c r="DJ2" s="87" t="s">
        <v>734</v>
      </c>
      <c r="DK2" s="87" t="s">
        <v>734</v>
      </c>
      <c r="DM2" s="19"/>
      <c r="DN2" s="19"/>
      <c r="DO2" s="249" t="s">
        <v>215</v>
      </c>
      <c r="DQ2" s="19"/>
      <c r="DR2" s="19"/>
      <c r="DS2" s="249" t="s">
        <v>215</v>
      </c>
      <c r="DU2" s="344"/>
      <c r="DV2" s="19"/>
      <c r="DW2" s="249" t="s">
        <v>215</v>
      </c>
      <c r="DY2" s="614"/>
      <c r="DZ2" s="614"/>
      <c r="EA2" s="249" t="s">
        <v>215</v>
      </c>
      <c r="EC2" s="19"/>
      <c r="ED2" s="19"/>
      <c r="EE2" s="249" t="s">
        <v>215</v>
      </c>
      <c r="EG2" s="19"/>
      <c r="EH2" s="235" t="s">
        <v>430</v>
      </c>
      <c r="EI2" s="234" t="s">
        <v>431</v>
      </c>
      <c r="EJ2" s="234" t="s">
        <v>193</v>
      </c>
      <c r="EL2" s="21" t="s">
        <v>444</v>
      </c>
      <c r="EM2" s="12">
        <v>275102724</v>
      </c>
      <c r="EO2" s="63" t="s">
        <v>475</v>
      </c>
      <c r="EP2" s="378"/>
    </row>
    <row r="3" spans="1:146" ht="16.5" thickBot="1" x14ac:dyDescent="0.3">
      <c r="A3" s="114" t="s">
        <v>523</v>
      </c>
      <c r="B3" s="3">
        <v>7444860</v>
      </c>
      <c r="C3" s="227">
        <v>3910850</v>
      </c>
      <c r="E3" s="21" t="s">
        <v>529</v>
      </c>
      <c r="F3" s="12">
        <v>434286</v>
      </c>
      <c r="H3" s="105" t="s">
        <v>99</v>
      </c>
      <c r="I3" s="270" t="s">
        <v>532</v>
      </c>
      <c r="J3" s="3">
        <v>386369358</v>
      </c>
      <c r="L3" s="105" t="s">
        <v>112</v>
      </c>
      <c r="M3" s="105" t="s">
        <v>100</v>
      </c>
      <c r="N3" s="3">
        <v>1007971</v>
      </c>
      <c r="P3" s="105" t="s">
        <v>543</v>
      </c>
      <c r="Q3" s="250"/>
      <c r="S3" s="269" t="s">
        <v>115</v>
      </c>
      <c r="T3" s="48"/>
      <c r="U3" s="224"/>
      <c r="W3" s="269" t="s">
        <v>122</v>
      </c>
      <c r="X3" s="228"/>
      <c r="Y3" s="294"/>
      <c r="Z3" s="312" t="s">
        <v>562</v>
      </c>
      <c r="AA3" s="303"/>
      <c r="AB3" s="315">
        <v>90367361</v>
      </c>
      <c r="AC3" s="315"/>
      <c r="AD3" s="316" t="s">
        <v>563</v>
      </c>
      <c r="AE3" s="316"/>
      <c r="AF3" s="316" t="s">
        <v>563</v>
      </c>
      <c r="AG3" s="316"/>
      <c r="AH3" s="315">
        <v>90367361</v>
      </c>
      <c r="AI3" s="315"/>
      <c r="AK3" s="335" t="s">
        <v>573</v>
      </c>
      <c r="AL3" s="321"/>
      <c r="AM3" s="322"/>
      <c r="AO3" s="343" t="s">
        <v>157</v>
      </c>
      <c r="AP3" s="61"/>
      <c r="AQ3" s="225"/>
      <c r="AR3" s="365"/>
      <c r="AS3" s="350"/>
      <c r="AT3" s="365"/>
      <c r="AU3" s="365"/>
      <c r="AV3" s="260"/>
      <c r="AW3" s="365"/>
      <c r="AZ3" s="78" t="s">
        <v>16</v>
      </c>
      <c r="BA3" s="46"/>
      <c r="BB3" s="294"/>
      <c r="BD3" s="381">
        <v>40463</v>
      </c>
      <c r="BE3" s="382" t="s">
        <v>642</v>
      </c>
      <c r="BF3" s="383">
        <v>44116</v>
      </c>
      <c r="BG3" s="384">
        <v>12957559</v>
      </c>
      <c r="BH3" s="384">
        <v>12957559</v>
      </c>
      <c r="BI3" s="384">
        <v>3948514</v>
      </c>
      <c r="BJ3" s="385" t="s">
        <v>563</v>
      </c>
      <c r="BL3" s="300" t="s">
        <v>216</v>
      </c>
      <c r="BM3" s="11">
        <v>10813891</v>
      </c>
      <c r="BN3" s="11">
        <v>8549189</v>
      </c>
      <c r="BP3" s="294" t="s">
        <v>19</v>
      </c>
      <c r="BQ3" s="393">
        <v>1000000</v>
      </c>
      <c r="BR3" s="393">
        <v>1000000</v>
      </c>
      <c r="BT3" s="21" t="s">
        <v>228</v>
      </c>
      <c r="BU3" s="55"/>
      <c r="BV3" s="12">
        <v>10232801</v>
      </c>
      <c r="BW3" s="12">
        <v>26278582</v>
      </c>
      <c r="BY3" s="401" t="s">
        <v>236</v>
      </c>
      <c r="BZ3" s="402">
        <v>90367361</v>
      </c>
      <c r="CA3" s="402">
        <v>100622063</v>
      </c>
      <c r="CB3" s="286" t="s">
        <v>690</v>
      </c>
      <c r="CC3" s="284"/>
      <c r="CD3" s="284"/>
      <c r="CF3" s="269" t="s">
        <v>265</v>
      </c>
      <c r="CG3" s="376"/>
      <c r="CH3" s="376"/>
      <c r="CI3" s="269" t="s">
        <v>270</v>
      </c>
      <c r="CJ3" s="411"/>
      <c r="CK3" s="378"/>
      <c r="CM3" s="422" t="s">
        <v>716</v>
      </c>
      <c r="CN3" s="423">
        <v>2815</v>
      </c>
      <c r="CP3" s="21" t="s">
        <v>297</v>
      </c>
      <c r="CQ3" s="12">
        <v>1138520</v>
      </c>
      <c r="CR3" s="12">
        <v>1849258</v>
      </c>
      <c r="CS3" s="120" t="s">
        <v>77</v>
      </c>
      <c r="CT3" s="55"/>
      <c r="CU3" s="55"/>
      <c r="CW3" s="269" t="s">
        <v>723</v>
      </c>
      <c r="CX3" s="108"/>
      <c r="CY3" s="239"/>
      <c r="DA3" s="343" t="s">
        <v>331</v>
      </c>
      <c r="DB3" s="427"/>
      <c r="DC3" s="239"/>
      <c r="DE3" s="120" t="s">
        <v>360</v>
      </c>
      <c r="DF3" s="415"/>
      <c r="DG3" s="378"/>
      <c r="DI3" s="400"/>
      <c r="DJ3" s="87" t="s">
        <v>735</v>
      </c>
      <c r="DK3" s="87" t="s">
        <v>735</v>
      </c>
      <c r="DM3" s="21" t="s">
        <v>376</v>
      </c>
      <c r="DN3" s="12">
        <v>123693</v>
      </c>
      <c r="DO3" s="12">
        <v>110104</v>
      </c>
      <c r="DQ3" s="400" t="s">
        <v>381</v>
      </c>
      <c r="DR3" s="12">
        <v>2041000</v>
      </c>
      <c r="DS3" s="12">
        <v>2176032</v>
      </c>
      <c r="DU3" s="343" t="s">
        <v>397</v>
      </c>
      <c r="DV3" s="55"/>
      <c r="DW3" s="55"/>
      <c r="DY3" s="21" t="s">
        <v>742</v>
      </c>
      <c r="DZ3" s="12">
        <v>17138617</v>
      </c>
      <c r="EA3" s="12">
        <v>21128359</v>
      </c>
      <c r="EC3" s="400" t="s">
        <v>745</v>
      </c>
      <c r="ED3" s="12">
        <v>237258893</v>
      </c>
      <c r="EE3" s="12">
        <v>72847935</v>
      </c>
      <c r="EG3" s="120" t="s">
        <v>432</v>
      </c>
      <c r="EH3" s="55"/>
      <c r="EI3" s="55"/>
      <c r="EJ3" s="55"/>
      <c r="EL3" s="21" t="s">
        <v>445</v>
      </c>
      <c r="EM3" s="55"/>
      <c r="EO3" s="422" t="s">
        <v>763</v>
      </c>
      <c r="EP3" s="393">
        <v>2497200</v>
      </c>
    </row>
    <row r="4" spans="1:146" ht="19.149999999999999" customHeight="1" thickBot="1" x14ac:dyDescent="0.3">
      <c r="A4" s="114" t="s">
        <v>524</v>
      </c>
      <c r="B4" s="49"/>
      <c r="C4" s="87"/>
      <c r="E4" s="22" t="s">
        <v>530</v>
      </c>
      <c r="F4" s="256" t="s">
        <v>531</v>
      </c>
      <c r="H4" s="114" t="s">
        <v>533</v>
      </c>
      <c r="I4" s="271" t="s">
        <v>100</v>
      </c>
      <c r="J4" s="259">
        <v>121356052</v>
      </c>
      <c r="L4" s="105" t="s">
        <v>112</v>
      </c>
      <c r="M4" s="105" t="s">
        <v>100</v>
      </c>
      <c r="N4" s="3">
        <v>59984</v>
      </c>
      <c r="P4" s="105" t="s">
        <v>544</v>
      </c>
      <c r="Q4" s="3">
        <v>6000</v>
      </c>
      <c r="S4" s="637" t="s">
        <v>116</v>
      </c>
      <c r="T4" s="49"/>
      <c r="U4" s="49"/>
      <c r="W4" s="114" t="s">
        <v>123</v>
      </c>
      <c r="X4" s="250">
        <v>90367361</v>
      </c>
      <c r="Y4" s="295">
        <v>100622063</v>
      </c>
      <c r="Z4" s="312" t="s">
        <v>564</v>
      </c>
      <c r="AA4" s="303"/>
      <c r="AB4" s="304">
        <v>59208284</v>
      </c>
      <c r="AC4" s="304"/>
      <c r="AD4" s="302" t="s">
        <v>563</v>
      </c>
      <c r="AE4" s="302"/>
      <c r="AF4" s="302" t="s">
        <v>563</v>
      </c>
      <c r="AG4" s="302"/>
      <c r="AH4" s="304">
        <v>59208284</v>
      </c>
      <c r="AI4" s="304"/>
      <c r="AK4" s="334" t="s">
        <v>137</v>
      </c>
      <c r="AL4" s="323">
        <v>2763891</v>
      </c>
      <c r="AM4" s="324">
        <v>2763891</v>
      </c>
      <c r="AO4" s="105" t="s">
        <v>578</v>
      </c>
      <c r="AP4" s="3">
        <v>24241736</v>
      </c>
      <c r="AQ4" s="3">
        <v>25279643</v>
      </c>
      <c r="AR4" s="351" t="s">
        <v>591</v>
      </c>
      <c r="AS4" s="352">
        <v>9942796</v>
      </c>
      <c r="AT4" s="353">
        <v>0</v>
      </c>
      <c r="AU4" s="353">
        <v>0</v>
      </c>
      <c r="AV4" s="352">
        <v>15852544</v>
      </c>
      <c r="AW4" s="352">
        <v>25795340</v>
      </c>
      <c r="AX4" s="242">
        <f>AS4+AT4-AU4+AV4</f>
        <v>25795340</v>
      </c>
      <c r="AZ4" s="78" t="s">
        <v>627</v>
      </c>
      <c r="BA4" s="376"/>
      <c r="BB4" s="376"/>
      <c r="BD4" s="381">
        <v>41888</v>
      </c>
      <c r="BE4" s="382" t="s">
        <v>643</v>
      </c>
      <c r="BF4" s="383">
        <v>45479</v>
      </c>
      <c r="BG4" s="384">
        <v>20259358</v>
      </c>
      <c r="BH4" s="384">
        <v>12380719</v>
      </c>
      <c r="BI4" s="384">
        <v>4619723</v>
      </c>
      <c r="BJ4" s="384">
        <v>7878639</v>
      </c>
      <c r="BL4" s="300" t="s">
        <v>217</v>
      </c>
      <c r="BM4" s="11">
        <v>4760631</v>
      </c>
      <c r="BN4" s="11">
        <v>6133894</v>
      </c>
      <c r="BP4" s="294" t="s">
        <v>680</v>
      </c>
      <c r="BQ4" s="393">
        <v>15094817</v>
      </c>
      <c r="BR4" s="393">
        <v>51399423</v>
      </c>
      <c r="BT4" s="21" t="s">
        <v>229</v>
      </c>
      <c r="BU4" s="55"/>
      <c r="BV4" s="12">
        <v>2118234</v>
      </c>
      <c r="BW4" s="12">
        <v>17545552</v>
      </c>
      <c r="BY4" s="400" t="s">
        <v>237</v>
      </c>
      <c r="BZ4" s="403">
        <v>59208284</v>
      </c>
      <c r="CA4" s="403">
        <v>62907135</v>
      </c>
      <c r="CB4" s="105" t="s">
        <v>691</v>
      </c>
      <c r="CC4" s="12">
        <v>181292</v>
      </c>
      <c r="CD4" s="12">
        <v>241945</v>
      </c>
      <c r="CF4" s="105" t="s">
        <v>266</v>
      </c>
      <c r="CG4" s="12">
        <v>716974452</v>
      </c>
      <c r="CH4" s="12">
        <v>639222882</v>
      </c>
      <c r="CI4" s="105" t="s">
        <v>271</v>
      </c>
      <c r="CJ4" s="12">
        <v>11961021</v>
      </c>
      <c r="CK4" s="12">
        <v>13802205</v>
      </c>
      <c r="CM4" s="63" t="s">
        <v>291</v>
      </c>
      <c r="CN4" s="422"/>
      <c r="CP4" s="22" t="s">
        <v>720</v>
      </c>
      <c r="CQ4" s="12">
        <v>1759981</v>
      </c>
      <c r="CR4" s="12">
        <v>192400</v>
      </c>
      <c r="CS4" s="400" t="s">
        <v>77</v>
      </c>
      <c r="CT4" s="12">
        <v>33864856</v>
      </c>
      <c r="CU4" s="12">
        <v>32713120</v>
      </c>
      <c r="CW4" s="105" t="s">
        <v>724</v>
      </c>
      <c r="CX4" s="236">
        <v>194342660</v>
      </c>
      <c r="CY4" s="236">
        <v>189772708</v>
      </c>
      <c r="DA4" s="400" t="s">
        <v>332</v>
      </c>
      <c r="DB4" s="236">
        <v>67198</v>
      </c>
      <c r="DC4" s="236">
        <v>131071</v>
      </c>
      <c r="DE4" s="400" t="s">
        <v>361</v>
      </c>
      <c r="DF4" s="55" t="s">
        <v>731</v>
      </c>
      <c r="DG4" s="55"/>
      <c r="DI4" s="400" t="s">
        <v>371</v>
      </c>
      <c r="DJ4" s="87"/>
      <c r="DK4" s="87" t="s">
        <v>550</v>
      </c>
      <c r="DM4" s="21" t="s">
        <v>377</v>
      </c>
      <c r="DN4" s="12">
        <v>188662</v>
      </c>
      <c r="DO4" s="12">
        <v>141649</v>
      </c>
      <c r="DQ4" s="400" t="s">
        <v>382</v>
      </c>
      <c r="DR4" s="12">
        <v>12464763</v>
      </c>
      <c r="DS4" s="12">
        <v>2739765</v>
      </c>
      <c r="DU4" s="400" t="s">
        <v>740</v>
      </c>
      <c r="DV4" s="12">
        <v>3148033</v>
      </c>
      <c r="DW4" s="55"/>
      <c r="DY4" s="21" t="s">
        <v>743</v>
      </c>
      <c r="DZ4" s="12">
        <v>27600</v>
      </c>
      <c r="EA4" s="12">
        <v>28200</v>
      </c>
      <c r="EC4" s="21" t="s">
        <v>746</v>
      </c>
      <c r="ED4" s="55"/>
      <c r="EE4" s="55" t="s">
        <v>386</v>
      </c>
      <c r="EG4" s="21" t="s">
        <v>433</v>
      </c>
      <c r="EH4" s="12">
        <v>22513441</v>
      </c>
      <c r="EI4" s="12">
        <v>22463291</v>
      </c>
      <c r="EJ4" s="12">
        <v>50150</v>
      </c>
      <c r="EL4" s="400" t="s">
        <v>397</v>
      </c>
      <c r="EM4" s="12">
        <v>235063782</v>
      </c>
      <c r="EO4" s="422" t="s">
        <v>764</v>
      </c>
      <c r="EP4" s="378"/>
    </row>
    <row r="5" spans="1:146" ht="19.5" thickBot="1" x14ac:dyDescent="0.3">
      <c r="A5" s="114" t="s">
        <v>525</v>
      </c>
      <c r="B5" s="250">
        <v>1166377630</v>
      </c>
      <c r="C5" s="227">
        <v>980341226</v>
      </c>
      <c r="E5" s="19" t="s">
        <v>83</v>
      </c>
      <c r="F5" s="24">
        <v>7444860</v>
      </c>
      <c r="H5" s="105" t="s">
        <v>102</v>
      </c>
      <c r="I5" s="271" t="s">
        <v>100</v>
      </c>
      <c r="J5" s="259">
        <v>67638422</v>
      </c>
      <c r="L5" s="279" t="s">
        <v>112</v>
      </c>
      <c r="M5" s="279" t="s">
        <v>100</v>
      </c>
      <c r="N5" s="32">
        <v>5771478</v>
      </c>
      <c r="P5" s="105" t="s">
        <v>545</v>
      </c>
      <c r="Q5" s="250">
        <v>2814</v>
      </c>
      <c r="S5" s="637"/>
      <c r="T5" s="3">
        <v>247106103</v>
      </c>
      <c r="U5" s="3">
        <v>241559872</v>
      </c>
      <c r="W5" s="114" t="s">
        <v>124</v>
      </c>
      <c r="X5" s="250">
        <v>59208284</v>
      </c>
      <c r="Y5" s="295">
        <v>62907135</v>
      </c>
      <c r="Z5" s="312" t="s">
        <v>565</v>
      </c>
      <c r="AA5" s="303"/>
      <c r="AB5" s="304">
        <v>102961</v>
      </c>
      <c r="AC5" s="304"/>
      <c r="AD5" s="302" t="s">
        <v>563</v>
      </c>
      <c r="AE5" s="302"/>
      <c r="AF5" s="302" t="s">
        <v>563</v>
      </c>
      <c r="AG5" s="302"/>
      <c r="AH5" s="304">
        <v>102961</v>
      </c>
      <c r="AI5" s="304"/>
      <c r="AK5" s="335" t="s">
        <v>574</v>
      </c>
      <c r="AL5" s="321"/>
      <c r="AM5" s="322"/>
      <c r="AO5" s="105" t="s">
        <v>579</v>
      </c>
      <c r="AP5" s="3">
        <v>180000</v>
      </c>
      <c r="AQ5" s="3">
        <v>180000</v>
      </c>
      <c r="AR5" s="354" t="s">
        <v>83</v>
      </c>
      <c r="AS5" s="355">
        <v>9942796</v>
      </c>
      <c r="AT5" s="356">
        <v>0</v>
      </c>
      <c r="AU5" s="356">
        <v>0</v>
      </c>
      <c r="AV5" s="355">
        <v>15852544</v>
      </c>
      <c r="AW5" s="355">
        <v>25795340</v>
      </c>
      <c r="AX5" s="242">
        <f>AS5+AT5-AU5+AV5</f>
        <v>25795340</v>
      </c>
      <c r="AZ5" s="105" t="s">
        <v>628</v>
      </c>
      <c r="BA5" s="11">
        <v>276345766</v>
      </c>
      <c r="BB5" s="376" t="s">
        <v>629</v>
      </c>
      <c r="BD5" s="381">
        <v>41680</v>
      </c>
      <c r="BE5" s="382" t="s">
        <v>644</v>
      </c>
      <c r="BF5" s="383">
        <v>45479</v>
      </c>
      <c r="BG5" s="384">
        <v>43625151</v>
      </c>
      <c r="BH5" s="384">
        <v>26659816</v>
      </c>
      <c r="BI5" s="384">
        <v>9859357</v>
      </c>
      <c r="BJ5" s="384">
        <v>16965335</v>
      </c>
      <c r="BL5" s="300" t="s">
        <v>218</v>
      </c>
      <c r="BM5" s="11">
        <v>996714</v>
      </c>
      <c r="BN5" s="11">
        <v>921009</v>
      </c>
      <c r="BP5" s="294" t="s">
        <v>226</v>
      </c>
      <c r="BQ5" s="393">
        <v>2071154</v>
      </c>
      <c r="BR5" s="393">
        <v>1752941</v>
      </c>
      <c r="BT5" s="21" t="s">
        <v>230</v>
      </c>
      <c r="BU5" s="55"/>
      <c r="BV5" s="12">
        <v>2139816</v>
      </c>
      <c r="BW5" s="12">
        <v>2139816</v>
      </c>
      <c r="BY5" s="404" t="s">
        <v>238</v>
      </c>
      <c r="BZ5" s="405">
        <v>36199362</v>
      </c>
      <c r="CA5" s="405">
        <v>13994115</v>
      </c>
      <c r="CB5" s="105" t="s">
        <v>692</v>
      </c>
      <c r="CC5" s="11">
        <v>6910390</v>
      </c>
      <c r="CD5" s="11">
        <v>7891182</v>
      </c>
      <c r="CF5" s="300" t="s">
        <v>267</v>
      </c>
      <c r="CG5" s="55" t="s">
        <v>708</v>
      </c>
      <c r="CH5" s="55"/>
      <c r="CI5" s="105" t="s">
        <v>272</v>
      </c>
      <c r="CJ5" s="12">
        <v>736690</v>
      </c>
      <c r="CK5" s="12">
        <v>695310</v>
      </c>
      <c r="CM5" s="422" t="s">
        <v>717</v>
      </c>
      <c r="CN5" s="423">
        <v>-147200</v>
      </c>
      <c r="CP5" s="19" t="s">
        <v>83</v>
      </c>
      <c r="CQ5" s="342">
        <v>2898501</v>
      </c>
      <c r="CR5" s="342">
        <v>2041658</v>
      </c>
      <c r="CS5" s="120" t="s">
        <v>301</v>
      </c>
      <c r="CT5" s="55"/>
      <c r="CU5" s="55"/>
      <c r="CW5" s="300" t="s">
        <v>725</v>
      </c>
      <c r="CX5" s="87"/>
      <c r="CY5" s="87" t="s">
        <v>710</v>
      </c>
      <c r="DA5" s="343" t="s">
        <v>333</v>
      </c>
      <c r="DB5" s="239"/>
      <c r="DC5" s="239"/>
      <c r="DE5" s="400" t="s">
        <v>362</v>
      </c>
      <c r="DF5" s="12">
        <v>57786</v>
      </c>
      <c r="DG5" s="428">
        <v>49488</v>
      </c>
      <c r="DI5" s="400"/>
      <c r="DJ5" s="236">
        <v>3624971</v>
      </c>
      <c r="DK5" s="236">
        <v>1292957</v>
      </c>
      <c r="DM5" s="22" t="s">
        <v>378</v>
      </c>
      <c r="DN5" s="23">
        <v>4323272</v>
      </c>
      <c r="DO5" s="23">
        <v>3467982</v>
      </c>
      <c r="DQ5" s="400" t="s">
        <v>383</v>
      </c>
      <c r="DR5" s="12">
        <v>792915</v>
      </c>
      <c r="DS5" s="12">
        <v>1282239</v>
      </c>
      <c r="DU5" s="400" t="s">
        <v>398</v>
      </c>
      <c r="DV5" s="12">
        <v>2894503</v>
      </c>
      <c r="DW5" s="12">
        <v>1760350</v>
      </c>
      <c r="DY5" s="22" t="s">
        <v>744</v>
      </c>
      <c r="DZ5" s="12">
        <v>242871</v>
      </c>
      <c r="EA5" s="12">
        <v>1035755</v>
      </c>
      <c r="EC5" s="21"/>
      <c r="ED5" s="12">
        <v>22000</v>
      </c>
      <c r="EE5" s="12">
        <v>1077400</v>
      </c>
      <c r="EG5" s="21" t="s">
        <v>434</v>
      </c>
      <c r="EH5" s="55"/>
      <c r="EI5" s="55"/>
      <c r="EJ5" s="55"/>
      <c r="EL5" s="400" t="s">
        <v>753</v>
      </c>
      <c r="EM5" s="12">
        <v>2614039</v>
      </c>
      <c r="EO5" s="422" t="s">
        <v>765</v>
      </c>
      <c r="EP5" s="393">
        <v>4831507</v>
      </c>
    </row>
    <row r="6" spans="1:146" ht="16.5" thickBot="1" x14ac:dyDescent="0.3">
      <c r="A6" s="114" t="s">
        <v>526</v>
      </c>
      <c r="B6" s="49" t="s">
        <v>151</v>
      </c>
      <c r="C6" s="87" t="s">
        <v>151</v>
      </c>
      <c r="F6" s="242">
        <f>SUM(F2:F4)</f>
        <v>7444860</v>
      </c>
      <c r="H6" s="105" t="s">
        <v>534</v>
      </c>
      <c r="I6" s="271" t="s">
        <v>100</v>
      </c>
      <c r="J6" s="259">
        <v>8143580</v>
      </c>
      <c r="L6" s="280" t="s">
        <v>67</v>
      </c>
      <c r="M6" s="280"/>
      <c r="N6" s="35">
        <v>6889808</v>
      </c>
      <c r="P6" s="105" t="s">
        <v>546</v>
      </c>
      <c r="Q6" s="32">
        <v>3773</v>
      </c>
      <c r="S6" s="269" t="s">
        <v>547</v>
      </c>
      <c r="T6" s="229"/>
      <c r="U6" s="225"/>
      <c r="W6" s="114" t="s">
        <v>125</v>
      </c>
      <c r="X6" s="250">
        <v>102961</v>
      </c>
      <c r="Y6" s="295">
        <v>1256111</v>
      </c>
      <c r="Z6" s="312" t="s">
        <v>566</v>
      </c>
      <c r="AA6" s="303"/>
      <c r="AB6" s="304">
        <v>2144017</v>
      </c>
      <c r="AC6" s="304"/>
      <c r="AD6" s="302" t="s">
        <v>563</v>
      </c>
      <c r="AE6" s="302"/>
      <c r="AF6" s="302" t="s">
        <v>563</v>
      </c>
      <c r="AG6" s="302"/>
      <c r="AH6" s="304">
        <v>2144017</v>
      </c>
      <c r="AI6" s="304"/>
      <c r="AK6" s="336" t="s">
        <v>138</v>
      </c>
      <c r="AL6" s="325">
        <v>546850</v>
      </c>
      <c r="AM6" s="326">
        <v>546850</v>
      </c>
      <c r="AO6" s="105" t="s">
        <v>580</v>
      </c>
      <c r="AP6" s="49" t="s">
        <v>563</v>
      </c>
      <c r="AQ6" s="3">
        <v>556427</v>
      </c>
      <c r="AR6" s="366"/>
      <c r="AS6" s="366"/>
      <c r="AT6" s="366"/>
      <c r="AU6" s="366"/>
      <c r="AV6" s="366"/>
      <c r="AW6" s="367"/>
      <c r="AZ6" s="105" t="s">
        <v>630</v>
      </c>
      <c r="BA6" s="11">
        <v>3760251</v>
      </c>
      <c r="BB6" s="11">
        <v>11650463</v>
      </c>
      <c r="BD6" s="382" t="s">
        <v>645</v>
      </c>
      <c r="BE6" s="382" t="s">
        <v>646</v>
      </c>
      <c r="BF6" s="383">
        <v>45479</v>
      </c>
      <c r="BG6" s="384">
        <v>53957424</v>
      </c>
      <c r="BH6" s="384">
        <v>32973981</v>
      </c>
      <c r="BI6" s="384">
        <v>11773157</v>
      </c>
      <c r="BJ6" s="384">
        <v>20983443</v>
      </c>
      <c r="BL6" s="300" t="s">
        <v>219</v>
      </c>
      <c r="BM6" s="11">
        <v>3643485</v>
      </c>
      <c r="BN6" s="11">
        <v>3493147</v>
      </c>
      <c r="BP6" s="391" t="s">
        <v>227</v>
      </c>
      <c r="BQ6" s="393">
        <v>9275591</v>
      </c>
      <c r="BR6" s="393">
        <v>9760851</v>
      </c>
      <c r="BT6" s="21" t="s">
        <v>231</v>
      </c>
      <c r="BU6" s="55"/>
      <c r="BV6" s="12">
        <v>432986</v>
      </c>
      <c r="BW6" s="12">
        <v>5264493</v>
      </c>
      <c r="BY6" s="344" t="s">
        <v>67</v>
      </c>
      <c r="BZ6" s="406">
        <v>185775007</v>
      </c>
      <c r="CA6" s="406">
        <v>177523313</v>
      </c>
      <c r="CB6" s="78" t="s">
        <v>693</v>
      </c>
      <c r="CC6" s="378"/>
      <c r="CD6" s="378"/>
      <c r="CF6" s="254"/>
      <c r="CG6" s="256" t="s">
        <v>709</v>
      </c>
      <c r="CH6" s="23">
        <v>1459251</v>
      </c>
      <c r="CI6" s="105" t="s">
        <v>273</v>
      </c>
      <c r="CJ6" s="12">
        <v>10945255</v>
      </c>
      <c r="CK6" s="12">
        <v>14803149</v>
      </c>
      <c r="CM6" s="422" t="s">
        <v>718</v>
      </c>
      <c r="CN6" s="423"/>
      <c r="CP6" s="282" t="s">
        <v>721</v>
      </c>
      <c r="CQ6" s="15">
        <f>SUM(CQ3:CQ4)</f>
        <v>2898501</v>
      </c>
      <c r="CR6" s="15">
        <f>SUM(CR3:CR4)</f>
        <v>2041658</v>
      </c>
      <c r="CS6" s="21" t="s">
        <v>302</v>
      </c>
      <c r="CT6" s="55" t="s">
        <v>303</v>
      </c>
      <c r="CU6" s="55" t="s">
        <v>304</v>
      </c>
      <c r="CW6" s="300"/>
      <c r="CX6" s="236">
        <v>1642342</v>
      </c>
      <c r="CY6" s="236">
        <v>1765346</v>
      </c>
      <c r="DA6" s="400" t="s">
        <v>334</v>
      </c>
      <c r="DB6" s="236">
        <v>2312980</v>
      </c>
      <c r="DC6" s="236">
        <v>22913895</v>
      </c>
      <c r="DE6" s="400" t="s">
        <v>732</v>
      </c>
      <c r="DF6" s="12">
        <v>1007946</v>
      </c>
      <c r="DG6" s="428"/>
      <c r="DI6" s="400" t="s">
        <v>736</v>
      </c>
      <c r="DJ6" s="87"/>
      <c r="DK6" s="87" t="s">
        <v>708</v>
      </c>
      <c r="DM6" s="19" t="s">
        <v>83</v>
      </c>
      <c r="DN6" s="24">
        <v>4635627</v>
      </c>
      <c r="DO6" s="24">
        <v>3719735</v>
      </c>
      <c r="DQ6" s="400" t="s">
        <v>384</v>
      </c>
      <c r="DR6" s="12">
        <v>7844079</v>
      </c>
      <c r="DS6" s="12">
        <v>6197607</v>
      </c>
      <c r="DU6" s="400"/>
      <c r="DV6" s="55"/>
      <c r="DW6" s="55"/>
      <c r="DY6" s="19" t="s">
        <v>83</v>
      </c>
      <c r="DZ6" s="342">
        <v>17409088</v>
      </c>
      <c r="EA6" s="342">
        <v>22192314</v>
      </c>
      <c r="EC6" s="404" t="s">
        <v>411</v>
      </c>
      <c r="ED6" s="12">
        <v>159442270</v>
      </c>
      <c r="EE6" s="12">
        <v>210796841</v>
      </c>
      <c r="EG6" s="21" t="s">
        <v>435</v>
      </c>
      <c r="EH6" s="12">
        <v>39064047</v>
      </c>
      <c r="EI6" s="12">
        <v>35154223</v>
      </c>
      <c r="EJ6" s="12">
        <v>3909824</v>
      </c>
      <c r="EL6" s="400" t="s">
        <v>754</v>
      </c>
      <c r="EM6" s="12">
        <v>-5620183</v>
      </c>
      <c r="EO6" s="422" t="s">
        <v>766</v>
      </c>
      <c r="EP6" s="378"/>
    </row>
    <row r="7" spans="1:146" ht="16.5" thickBot="1" x14ac:dyDescent="0.3">
      <c r="A7" s="254" t="s">
        <v>525</v>
      </c>
      <c r="B7" s="3">
        <v>6889808</v>
      </c>
      <c r="C7" s="227">
        <v>6885362</v>
      </c>
      <c r="F7" s="242">
        <f>F5-F6</f>
        <v>0</v>
      </c>
      <c r="H7" s="105" t="s">
        <v>103</v>
      </c>
      <c r="I7" s="271" t="s">
        <v>100</v>
      </c>
      <c r="J7" s="259">
        <v>30603490</v>
      </c>
      <c r="N7" s="242">
        <f>SUM(N2:N5)</f>
        <v>6889808</v>
      </c>
      <c r="P7" s="280" t="s">
        <v>83</v>
      </c>
      <c r="Q7" s="35">
        <v>-134613</v>
      </c>
      <c r="S7" s="114" t="s">
        <v>118</v>
      </c>
      <c r="T7" s="3">
        <v>165600</v>
      </c>
      <c r="U7" s="3">
        <v>165600</v>
      </c>
      <c r="W7" s="254" t="s">
        <v>126</v>
      </c>
      <c r="X7" s="291">
        <v>2144017</v>
      </c>
      <c r="Y7" s="295">
        <v>2192752</v>
      </c>
      <c r="Z7" s="312" t="s">
        <v>567</v>
      </c>
      <c r="AA7" s="303"/>
      <c r="AB7" s="304">
        <v>14299543</v>
      </c>
      <c r="AC7" s="304"/>
      <c r="AD7" s="302" t="s">
        <v>563</v>
      </c>
      <c r="AE7" s="302"/>
      <c r="AF7" s="302" t="s">
        <v>563</v>
      </c>
      <c r="AG7" s="302"/>
      <c r="AH7" s="304">
        <v>14299543</v>
      </c>
      <c r="AI7" s="304"/>
      <c r="AK7" s="336" t="s">
        <v>139</v>
      </c>
      <c r="AL7" s="325">
        <v>15570311</v>
      </c>
      <c r="AM7" s="326">
        <v>4619461</v>
      </c>
      <c r="AO7" s="105" t="s">
        <v>581</v>
      </c>
      <c r="AP7" s="3">
        <v>1166834</v>
      </c>
      <c r="AQ7" s="3">
        <v>125174</v>
      </c>
      <c r="AR7" s="354"/>
      <c r="AS7" s="354"/>
      <c r="AT7" s="354"/>
      <c r="AU7" s="354"/>
      <c r="AV7" s="354"/>
      <c r="AW7" s="267"/>
      <c r="AZ7" s="105" t="s">
        <v>631</v>
      </c>
      <c r="BA7" s="11">
        <v>3035453</v>
      </c>
      <c r="BB7" s="11">
        <v>6958760</v>
      </c>
      <c r="BD7" s="382" t="s">
        <v>647</v>
      </c>
      <c r="BE7" s="382" t="s">
        <v>648</v>
      </c>
      <c r="BF7" s="383">
        <v>45479</v>
      </c>
      <c r="BG7" s="384">
        <v>54058066</v>
      </c>
      <c r="BH7" s="384">
        <v>33035485</v>
      </c>
      <c r="BI7" s="384">
        <v>11350803</v>
      </c>
      <c r="BJ7" s="384">
        <v>21022581</v>
      </c>
      <c r="BL7" s="105" t="s">
        <v>673</v>
      </c>
      <c r="BM7" s="11">
        <v>140239622</v>
      </c>
      <c r="BN7" s="11">
        <v>12936754</v>
      </c>
      <c r="BP7" s="80" t="s">
        <v>83</v>
      </c>
      <c r="BQ7" s="394">
        <v>27441562</v>
      </c>
      <c r="BR7" s="394">
        <v>63913215</v>
      </c>
      <c r="BT7" s="22" t="s">
        <v>685</v>
      </c>
      <c r="BU7" s="256"/>
      <c r="BV7" s="23">
        <v>170980</v>
      </c>
      <c r="BW7" s="23">
        <v>170980</v>
      </c>
      <c r="BY7" s="288" t="s">
        <v>675</v>
      </c>
      <c r="BZ7" s="407">
        <f>SUM(BZ3:BZ5)</f>
        <v>185775007</v>
      </c>
      <c r="CA7" s="407">
        <f>SUM(CA3:CA5)</f>
        <v>177523313</v>
      </c>
      <c r="CB7" s="105" t="s">
        <v>694</v>
      </c>
      <c r="CC7" s="11">
        <v>179423787</v>
      </c>
      <c r="CD7" s="11">
        <v>138324115</v>
      </c>
      <c r="CF7" s="255" t="s">
        <v>83</v>
      </c>
      <c r="CG7" s="24">
        <v>716974452</v>
      </c>
      <c r="CH7" s="24">
        <v>640682133</v>
      </c>
      <c r="CI7" s="105" t="s">
        <v>274</v>
      </c>
      <c r="CJ7" s="12">
        <v>5381035</v>
      </c>
      <c r="CK7" s="12">
        <v>5237099</v>
      </c>
      <c r="CM7" s="422" t="s">
        <v>719</v>
      </c>
      <c r="CN7" s="423"/>
      <c r="CQ7" s="242">
        <f>CQ5-CQ6</f>
        <v>0</v>
      </c>
      <c r="CR7" s="242">
        <f>CR5-CR6</f>
        <v>0</v>
      </c>
      <c r="CS7" s="21"/>
      <c r="CT7" s="55"/>
      <c r="CU7" s="55"/>
      <c r="CW7" s="269" t="s">
        <v>309</v>
      </c>
      <c r="CX7" s="239"/>
      <c r="CY7" s="239"/>
      <c r="DA7" s="343" t="s">
        <v>335</v>
      </c>
      <c r="DB7" s="239"/>
      <c r="DC7" s="239"/>
      <c r="DE7" s="400" t="s">
        <v>363</v>
      </c>
      <c r="DF7" s="12">
        <v>20981222</v>
      </c>
      <c r="DG7" s="12">
        <v>12815816</v>
      </c>
      <c r="DI7" s="400"/>
      <c r="DJ7" s="236">
        <v>2642972</v>
      </c>
      <c r="DK7" s="236">
        <v>10227079</v>
      </c>
      <c r="DN7" s="242">
        <f>SUM(DN3:DN5)</f>
        <v>4635627</v>
      </c>
      <c r="DO7" s="242">
        <f>SUM(DO3:DO5)</f>
        <v>3719735</v>
      </c>
      <c r="DQ7" s="21" t="s">
        <v>385</v>
      </c>
      <c r="DR7" s="55"/>
      <c r="DS7" s="428">
        <v>455000</v>
      </c>
      <c r="DU7" s="400" t="s">
        <v>399</v>
      </c>
      <c r="DV7" s="12">
        <v>81365789</v>
      </c>
      <c r="DW7" s="12">
        <v>58854084</v>
      </c>
      <c r="DZ7" s="242">
        <f>SUM(DZ3:DZ5)</f>
        <v>17409088</v>
      </c>
      <c r="EA7" s="242">
        <f>SUM(EA3:EA5)</f>
        <v>22192314</v>
      </c>
      <c r="EC7" s="19" t="s">
        <v>83</v>
      </c>
      <c r="ED7" s="342">
        <v>396723163</v>
      </c>
      <c r="EE7" s="342">
        <v>284722176</v>
      </c>
      <c r="EG7" s="22" t="s">
        <v>747</v>
      </c>
      <c r="EH7" s="23">
        <v>18467315</v>
      </c>
      <c r="EI7" s="23">
        <v>10365935</v>
      </c>
      <c r="EJ7" s="434">
        <v>8101380</v>
      </c>
      <c r="EL7" s="400" t="s">
        <v>453</v>
      </c>
      <c r="EM7" s="12">
        <v>-57321072</v>
      </c>
      <c r="EO7" s="422" t="s">
        <v>767</v>
      </c>
      <c r="EP7" s="393">
        <v>-207848</v>
      </c>
    </row>
    <row r="8" spans="1:146" ht="15.6" customHeight="1" thickBot="1" x14ac:dyDescent="0.3">
      <c r="A8" s="255" t="s">
        <v>83</v>
      </c>
      <c r="B8" s="5">
        <v>1180712298</v>
      </c>
      <c r="C8" s="5">
        <v>991137438</v>
      </c>
      <c r="H8" s="105" t="s">
        <v>535</v>
      </c>
      <c r="I8" s="271" t="s">
        <v>100</v>
      </c>
      <c r="J8" s="259">
        <v>83501533</v>
      </c>
      <c r="N8" s="242">
        <f>N6-N7</f>
        <v>0</v>
      </c>
      <c r="P8" s="105"/>
      <c r="Q8" s="3">
        <f>SUM(Q2:Q6)</f>
        <v>-134613</v>
      </c>
      <c r="S8" s="269" t="s">
        <v>119</v>
      </c>
      <c r="T8" s="229"/>
      <c r="U8" s="225"/>
      <c r="W8" s="285" t="s">
        <v>107</v>
      </c>
      <c r="X8" s="292">
        <v>151822623</v>
      </c>
      <c r="Y8" s="296">
        <v>166978061</v>
      </c>
      <c r="Z8" s="312" t="s">
        <v>568</v>
      </c>
      <c r="AA8" s="303"/>
      <c r="AB8" s="302" t="s">
        <v>563</v>
      </c>
      <c r="AC8" s="302"/>
      <c r="AD8" s="302" t="s">
        <v>563</v>
      </c>
      <c r="AE8" s="302"/>
      <c r="AF8" s="302" t="s">
        <v>563</v>
      </c>
      <c r="AG8" s="302"/>
      <c r="AH8" s="302" t="s">
        <v>563</v>
      </c>
      <c r="AI8" s="302"/>
      <c r="AK8" s="336" t="s">
        <v>575</v>
      </c>
      <c r="AL8" s="325">
        <v>419825</v>
      </c>
      <c r="AM8" s="326">
        <v>419825</v>
      </c>
      <c r="AO8" s="279" t="s">
        <v>582</v>
      </c>
      <c r="AP8" s="3">
        <v>5643313</v>
      </c>
      <c r="AQ8" s="3">
        <v>5643314</v>
      </c>
      <c r="AR8" s="363" t="s">
        <v>592</v>
      </c>
      <c r="AS8" s="349" t="s">
        <v>584</v>
      </c>
      <c r="AT8" s="363" t="s">
        <v>593</v>
      </c>
      <c r="AU8" s="363" t="s">
        <v>587</v>
      </c>
      <c r="AV8" s="349" t="s">
        <v>588</v>
      </c>
      <c r="AW8" s="363" t="s">
        <v>590</v>
      </c>
      <c r="AZ8" s="78" t="s">
        <v>632</v>
      </c>
      <c r="BA8" s="376"/>
      <c r="BB8" s="376"/>
      <c r="BD8" s="382" t="s">
        <v>649</v>
      </c>
      <c r="BE8" s="382" t="s">
        <v>650</v>
      </c>
      <c r="BF8" s="383">
        <v>45479</v>
      </c>
      <c r="BG8" s="384">
        <v>19100000</v>
      </c>
      <c r="BH8" s="384">
        <v>11672222</v>
      </c>
      <c r="BI8" s="384">
        <v>3369874</v>
      </c>
      <c r="BJ8" s="384">
        <v>7427778</v>
      </c>
      <c r="BL8" s="300" t="s">
        <v>221</v>
      </c>
      <c r="BM8" s="11">
        <v>7465014</v>
      </c>
      <c r="BN8" s="11">
        <v>6745542</v>
      </c>
      <c r="BP8" s="282" t="s">
        <v>675</v>
      </c>
      <c r="BQ8" s="15">
        <f>SUM(BQ3:BQ6)</f>
        <v>27441562</v>
      </c>
      <c r="BR8" s="15">
        <f>SUM(BR3:BR6)</f>
        <v>63913215</v>
      </c>
      <c r="BT8" s="19" t="s">
        <v>686</v>
      </c>
      <c r="BU8" s="396"/>
      <c r="BV8" s="24">
        <v>15094817</v>
      </c>
      <c r="BW8" s="24">
        <v>51399423</v>
      </c>
      <c r="BY8" s="288" t="s">
        <v>688</v>
      </c>
      <c r="BZ8" s="407">
        <f>BZ6-BZ7</f>
        <v>0</v>
      </c>
      <c r="CA8" s="407">
        <f>CA6-CA7</f>
        <v>0</v>
      </c>
      <c r="CB8" s="409" t="s">
        <v>695</v>
      </c>
      <c r="CC8" s="410">
        <v>-12275094</v>
      </c>
      <c r="CD8" s="410">
        <v>-6120899</v>
      </c>
      <c r="CG8" s="15">
        <f>SUM(CG4:CG6)</f>
        <v>716974452</v>
      </c>
      <c r="CH8" s="15">
        <f>SUM(CH4:CH6)</f>
        <v>640682133</v>
      </c>
      <c r="CI8" s="105" t="s">
        <v>275</v>
      </c>
      <c r="CJ8" s="12">
        <v>12100</v>
      </c>
      <c r="CK8" s="12">
        <v>27300</v>
      </c>
      <c r="CM8" s="424"/>
      <c r="CN8" s="424"/>
      <c r="CS8" s="22"/>
      <c r="CT8" s="55" t="s">
        <v>722</v>
      </c>
      <c r="CU8" s="12">
        <v>3850</v>
      </c>
      <c r="CW8" s="105" t="s">
        <v>310</v>
      </c>
      <c r="CX8" s="236">
        <v>12792682</v>
      </c>
      <c r="CY8" s="236">
        <v>12991551</v>
      </c>
      <c r="DA8" s="400" t="s">
        <v>336</v>
      </c>
      <c r="DB8" s="236">
        <v>601860</v>
      </c>
      <c r="DC8" s="236">
        <v>3739982</v>
      </c>
      <c r="DE8" s="120" t="s">
        <v>364</v>
      </c>
      <c r="DF8" s="415"/>
      <c r="DG8" s="378"/>
      <c r="DI8" s="400" t="s">
        <v>737</v>
      </c>
      <c r="DJ8" s="87"/>
      <c r="DK8" s="87" t="s">
        <v>151</v>
      </c>
      <c r="DN8" s="242">
        <f>DN6-DN7</f>
        <v>0</v>
      </c>
      <c r="DO8" s="242">
        <f>DO6-DO7</f>
        <v>0</v>
      </c>
      <c r="DQ8" s="21"/>
      <c r="DR8" s="12">
        <v>274400</v>
      </c>
      <c r="DS8" s="428"/>
      <c r="DU8" s="400" t="s">
        <v>400</v>
      </c>
      <c r="DV8" s="55"/>
      <c r="DW8" s="55" t="s">
        <v>734</v>
      </c>
      <c r="DZ8" s="242">
        <f>DZ6-DZ7</f>
        <v>0</v>
      </c>
      <c r="EA8" s="242">
        <f>EA6-EA7</f>
        <v>0</v>
      </c>
      <c r="ED8" s="242">
        <f>SUM(ED3:ED6)</f>
        <v>396723163</v>
      </c>
      <c r="EE8" s="242">
        <f>SUM(EE3:EE6)</f>
        <v>284722176</v>
      </c>
      <c r="EG8" s="435" t="s">
        <v>107</v>
      </c>
      <c r="EH8" s="24">
        <v>80044803</v>
      </c>
      <c r="EI8" s="24">
        <v>67983449</v>
      </c>
      <c r="EJ8" s="24">
        <v>12061354</v>
      </c>
      <c r="EL8" s="400" t="s">
        <v>454</v>
      </c>
      <c r="EM8" s="12">
        <v>-54931127</v>
      </c>
      <c r="EO8" s="424"/>
      <c r="EP8" s="277"/>
    </row>
    <row r="9" spans="1:146" ht="24.75" thickBot="1" x14ac:dyDescent="0.3">
      <c r="B9" s="242">
        <f>SUM(B3:B7)</f>
        <v>1180712298</v>
      </c>
      <c r="C9" s="242">
        <f>SUM(C3:C7)</f>
        <v>991137438</v>
      </c>
      <c r="H9" s="105" t="s">
        <v>105</v>
      </c>
      <c r="I9" s="271" t="s">
        <v>100</v>
      </c>
      <c r="J9" s="259">
        <v>203881117</v>
      </c>
      <c r="Q9" s="242">
        <f>Q7-Q8</f>
        <v>0</v>
      </c>
      <c r="S9" s="254" t="s">
        <v>120</v>
      </c>
      <c r="T9" s="32">
        <v>20143098</v>
      </c>
      <c r="U9" s="32">
        <v>20069146</v>
      </c>
      <c r="W9" s="273"/>
      <c r="X9" s="290">
        <f>SUM(X4:X7)</f>
        <v>151822623</v>
      </c>
      <c r="Y9" s="290">
        <f>SUM(Y4:Y7)</f>
        <v>166978061</v>
      </c>
      <c r="Z9" s="312" t="s">
        <v>569</v>
      </c>
      <c r="AA9" s="303"/>
      <c r="AB9" s="304">
        <v>66244726</v>
      </c>
      <c r="AC9" s="304"/>
      <c r="AD9" s="302" t="s">
        <v>563</v>
      </c>
      <c r="AE9" s="302"/>
      <c r="AF9" s="302" t="s">
        <v>563</v>
      </c>
      <c r="AG9" s="302"/>
      <c r="AH9" s="304">
        <v>66244726</v>
      </c>
      <c r="AI9" s="304"/>
      <c r="AK9" s="334" t="s">
        <v>576</v>
      </c>
      <c r="AL9" s="323">
        <v>2748279</v>
      </c>
      <c r="AM9" s="323">
        <v>1392546</v>
      </c>
      <c r="AO9" s="287" t="s">
        <v>107</v>
      </c>
      <c r="AP9" s="5">
        <v>31231883</v>
      </c>
      <c r="AQ9" s="5">
        <v>31784558</v>
      </c>
      <c r="AR9" s="364"/>
      <c r="AS9" s="348" t="s">
        <v>585</v>
      </c>
      <c r="AT9" s="364"/>
      <c r="AU9" s="364"/>
      <c r="AV9" s="348" t="s">
        <v>589</v>
      </c>
      <c r="AW9" s="368"/>
      <c r="AZ9" s="279" t="s">
        <v>633</v>
      </c>
      <c r="BA9" s="11">
        <v>61177589</v>
      </c>
      <c r="BB9" s="11">
        <v>60712458</v>
      </c>
      <c r="BD9" s="381">
        <v>42892</v>
      </c>
      <c r="BE9" s="382" t="s">
        <v>651</v>
      </c>
      <c r="BF9" s="383">
        <v>45449</v>
      </c>
      <c r="BG9" s="384">
        <v>603000</v>
      </c>
      <c r="BH9" s="384">
        <v>251250</v>
      </c>
      <c r="BI9" s="384">
        <v>79442</v>
      </c>
      <c r="BJ9" s="384">
        <v>351750</v>
      </c>
      <c r="BL9" s="254" t="s">
        <v>674</v>
      </c>
      <c r="BM9" s="11">
        <v>26273838</v>
      </c>
      <c r="BN9" s="11">
        <v>24614790</v>
      </c>
      <c r="BP9" s="282" t="s">
        <v>681</v>
      </c>
      <c r="BQ9" s="15">
        <f>BQ7-BQ8</f>
        <v>0</v>
      </c>
      <c r="BR9" s="15">
        <f>BR7-BR8</f>
        <v>0</v>
      </c>
      <c r="BT9" s="19" t="s">
        <v>67</v>
      </c>
      <c r="BU9" s="396"/>
      <c r="BV9" s="24">
        <v>19054791</v>
      </c>
      <c r="BW9" s="24">
        <v>51399423</v>
      </c>
      <c r="CB9" s="105" t="s">
        <v>696</v>
      </c>
      <c r="CC9" s="11">
        <v>114047388</v>
      </c>
      <c r="CD9" s="11">
        <v>94069001</v>
      </c>
      <c r="CG9" s="15">
        <f>CG7-CG8</f>
        <v>0</v>
      </c>
      <c r="CH9" s="15">
        <f>CH7-CH8</f>
        <v>0</v>
      </c>
      <c r="CI9" s="300" t="s">
        <v>279</v>
      </c>
      <c r="CJ9" s="55" t="s">
        <v>710</v>
      </c>
      <c r="CK9" s="55" t="s">
        <v>142</v>
      </c>
      <c r="CM9" s="425" t="s">
        <v>67</v>
      </c>
      <c r="CN9" s="426">
        <v>-144385</v>
      </c>
      <c r="CS9" s="19" t="s">
        <v>83</v>
      </c>
      <c r="CT9" s="342">
        <v>33864856</v>
      </c>
      <c r="CU9" s="342">
        <v>32716970</v>
      </c>
      <c r="CW9" s="105" t="s">
        <v>311</v>
      </c>
      <c r="CX9" s="236">
        <v>4227550</v>
      </c>
      <c r="CY9" s="236">
        <v>4337200</v>
      </c>
      <c r="DA9" s="400" t="s">
        <v>337</v>
      </c>
      <c r="DB9" s="236">
        <v>719060</v>
      </c>
      <c r="DC9" s="236">
        <v>1297497</v>
      </c>
      <c r="DE9" s="400" t="s">
        <v>365</v>
      </c>
      <c r="DF9" s="12">
        <v>63010118</v>
      </c>
      <c r="DG9" s="12">
        <v>55897393</v>
      </c>
      <c r="DI9" s="400"/>
      <c r="DJ9" s="236">
        <v>3896689</v>
      </c>
      <c r="DK9" s="236">
        <v>2985374</v>
      </c>
      <c r="DQ9" s="400" t="s">
        <v>387</v>
      </c>
      <c r="DR9" s="12">
        <v>56632944</v>
      </c>
      <c r="DS9" s="12">
        <v>35246072</v>
      </c>
      <c r="DU9" s="400"/>
      <c r="DV9" s="12">
        <v>56041336</v>
      </c>
      <c r="DW9" s="12">
        <v>52462261</v>
      </c>
      <c r="ED9" s="242">
        <f>ED7-ED8</f>
        <v>0</v>
      </c>
      <c r="EE9" s="242">
        <f>EE7-EE8</f>
        <v>0</v>
      </c>
      <c r="EG9" s="435"/>
      <c r="EH9" s="24">
        <f>SUM(EH4:EH7)</f>
        <v>80044803</v>
      </c>
      <c r="EI9" s="24">
        <f t="shared" ref="EI9:EJ9" si="0">SUM(EI4:EI7)</f>
        <v>67983449</v>
      </c>
      <c r="EJ9" s="24">
        <f t="shared" si="0"/>
        <v>12061354</v>
      </c>
      <c r="EL9" s="400" t="s">
        <v>755</v>
      </c>
      <c r="EM9" s="12">
        <v>-925515</v>
      </c>
      <c r="EO9" s="344" t="s">
        <v>83</v>
      </c>
      <c r="EP9" s="420">
        <v>7120859</v>
      </c>
    </row>
    <row r="10" spans="1:146" ht="16.5" thickBot="1" x14ac:dyDescent="0.3">
      <c r="B10" s="242">
        <f>B8-B9</f>
        <v>0</v>
      </c>
      <c r="C10" s="242">
        <f>C8-C9</f>
        <v>0</v>
      </c>
      <c r="H10" s="254" t="s">
        <v>106</v>
      </c>
      <c r="I10" s="272" t="s">
        <v>100</v>
      </c>
      <c r="J10" s="261">
        <v>10832764</v>
      </c>
      <c r="S10" s="255" t="s">
        <v>83</v>
      </c>
      <c r="T10" s="35">
        <v>267414801</v>
      </c>
      <c r="U10" s="35">
        <v>261794618</v>
      </c>
      <c r="W10" s="269"/>
      <c r="X10" s="289">
        <f>X8-X9</f>
        <v>0</v>
      </c>
      <c r="Y10" s="289">
        <f>Y8-Y9</f>
        <v>0</v>
      </c>
      <c r="Z10" s="312" t="s">
        <v>132</v>
      </c>
      <c r="AA10" s="303"/>
      <c r="AB10" s="302" t="s">
        <v>563</v>
      </c>
      <c r="AC10" s="302"/>
      <c r="AD10" s="302" t="s">
        <v>563</v>
      </c>
      <c r="AE10" s="302"/>
      <c r="AF10" s="302" t="s">
        <v>563</v>
      </c>
      <c r="AG10" s="302"/>
      <c r="AH10" s="302" t="s">
        <v>563</v>
      </c>
      <c r="AI10" s="302"/>
      <c r="AK10" s="339" t="s">
        <v>107</v>
      </c>
      <c r="AL10" s="327">
        <v>22049156</v>
      </c>
      <c r="AM10" s="328">
        <v>9742573</v>
      </c>
      <c r="AO10" s="346"/>
      <c r="AP10" s="347">
        <f>SUM(AP4:AP8)</f>
        <v>31231883</v>
      </c>
      <c r="AQ10" s="347">
        <f>SUM(AQ4:AQ8)</f>
        <v>31784558</v>
      </c>
      <c r="AR10" s="365"/>
      <c r="AS10" s="350"/>
      <c r="AT10" s="365"/>
      <c r="AU10" s="365"/>
      <c r="AV10" s="260"/>
      <c r="AW10" s="365"/>
      <c r="AZ10" s="287" t="s">
        <v>107</v>
      </c>
      <c r="BA10" s="14">
        <v>344319059</v>
      </c>
      <c r="BB10" s="14">
        <v>296246905</v>
      </c>
      <c r="BD10" s="382" t="s">
        <v>652</v>
      </c>
      <c r="BE10" s="382" t="s">
        <v>653</v>
      </c>
      <c r="BF10" s="383">
        <v>45449</v>
      </c>
      <c r="BG10" s="384">
        <v>3417000</v>
      </c>
      <c r="BH10" s="384">
        <v>1025100</v>
      </c>
      <c r="BI10" s="384">
        <v>193077</v>
      </c>
      <c r="BJ10" s="384">
        <v>2391900</v>
      </c>
      <c r="BL10" s="255" t="s">
        <v>83</v>
      </c>
      <c r="BM10" s="390">
        <v>194193195</v>
      </c>
      <c r="BN10" s="390">
        <v>63394325</v>
      </c>
      <c r="BP10" s="283"/>
      <c r="BT10" s="120"/>
      <c r="BU10" s="397"/>
      <c r="BV10" s="398">
        <f>SUM(BV3:BV7)</f>
        <v>15094817</v>
      </c>
      <c r="BW10" s="398">
        <f>SUM(BW3:BW7)</f>
        <v>51399423</v>
      </c>
      <c r="CB10" s="409" t="s">
        <v>697</v>
      </c>
      <c r="CC10" s="410">
        <v>-5739680</v>
      </c>
      <c r="CD10" s="410">
        <v>-2896038</v>
      </c>
      <c r="CI10" s="300"/>
      <c r="CJ10" s="12">
        <v>11585</v>
      </c>
      <c r="CK10" s="12">
        <v>133050</v>
      </c>
      <c r="CN10">
        <f>SUM(CN1:CN8)</f>
        <v>-144385</v>
      </c>
      <c r="CT10" s="242">
        <f>SUM(CT4:CT8)</f>
        <v>33864856</v>
      </c>
      <c r="CU10" s="242">
        <f>SUM(CU4:CU8)</f>
        <v>32716970</v>
      </c>
      <c r="CW10" s="105" t="s">
        <v>312</v>
      </c>
      <c r="CX10" s="236">
        <v>4227550</v>
      </c>
      <c r="CY10" s="236">
        <v>4269200</v>
      </c>
      <c r="DA10" s="400" t="s">
        <v>338</v>
      </c>
      <c r="DB10" s="87" t="s">
        <v>728</v>
      </c>
      <c r="DC10" s="236">
        <v>59955</v>
      </c>
      <c r="DE10" s="400" t="s">
        <v>366</v>
      </c>
      <c r="DF10" s="12">
        <v>6692379</v>
      </c>
      <c r="DG10" s="12">
        <v>5184243</v>
      </c>
      <c r="DI10" s="404" t="s">
        <v>738</v>
      </c>
      <c r="DJ10" s="111" t="s">
        <v>563</v>
      </c>
      <c r="DK10" s="237">
        <v>59800</v>
      </c>
      <c r="DQ10" s="404" t="s">
        <v>388</v>
      </c>
      <c r="DR10" s="12">
        <v>110581223</v>
      </c>
      <c r="DS10" s="12">
        <v>53762922</v>
      </c>
      <c r="DU10" s="400" t="s">
        <v>401</v>
      </c>
      <c r="DV10" s="55"/>
      <c r="DW10" s="55"/>
      <c r="EG10" s="435"/>
      <c r="EH10" s="24">
        <f>EH8-EH9</f>
        <v>0</v>
      </c>
      <c r="EI10" s="24">
        <f t="shared" ref="EI10:EJ10" si="1">EI8-EI9</f>
        <v>0</v>
      </c>
      <c r="EJ10" s="24">
        <f t="shared" si="1"/>
        <v>0</v>
      </c>
      <c r="EL10" s="400" t="s">
        <v>756</v>
      </c>
      <c r="EM10" s="12">
        <v>48072154</v>
      </c>
      <c r="EO10" s="343"/>
      <c r="EP10" s="436">
        <f>SUM(EP3:EP7)</f>
        <v>7120859</v>
      </c>
    </row>
    <row r="11" spans="1:146" ht="16.5" thickBot="1" x14ac:dyDescent="0.3">
      <c r="H11" s="273" t="s">
        <v>107</v>
      </c>
      <c r="I11" s="274"/>
      <c r="J11" s="35">
        <v>912326316</v>
      </c>
      <c r="T11" s="242">
        <f>SUM(T5:T9)</f>
        <v>267414801</v>
      </c>
      <c r="U11" s="242">
        <f>SUM(U5:U9)</f>
        <v>261794618</v>
      </c>
      <c r="W11" s="269" t="s">
        <v>548</v>
      </c>
      <c r="X11" s="228"/>
      <c r="Y11" s="294"/>
      <c r="Z11" s="312" t="s">
        <v>570</v>
      </c>
      <c r="AA11" s="303"/>
      <c r="AB11" s="302" t="s">
        <v>563</v>
      </c>
      <c r="AC11" s="302"/>
      <c r="AD11" s="302" t="s">
        <v>563</v>
      </c>
      <c r="AE11" s="302"/>
      <c r="AF11" s="302" t="s">
        <v>563</v>
      </c>
      <c r="AG11" s="302"/>
      <c r="AH11" s="302" t="s">
        <v>563</v>
      </c>
      <c r="AI11" s="302"/>
      <c r="AK11" s="340"/>
      <c r="AL11" s="341">
        <f>SUM(AL4:AL9)</f>
        <v>22049156</v>
      </c>
      <c r="AM11" s="341">
        <f>SUM(AM4:AM9)</f>
        <v>9742573</v>
      </c>
      <c r="AO11" s="346"/>
      <c r="AP11" s="347">
        <f>AP9-AP10</f>
        <v>0</v>
      </c>
      <c r="AQ11" s="347">
        <f>AQ9-AQ10</f>
        <v>0</v>
      </c>
      <c r="AR11" s="357" t="s">
        <v>591</v>
      </c>
      <c r="AS11" s="358"/>
      <c r="AT11" s="359">
        <v>1574632</v>
      </c>
      <c r="AU11" s="358">
        <v>0</v>
      </c>
      <c r="AV11" s="359">
        <v>6413336</v>
      </c>
      <c r="AW11" s="359">
        <v>7987968</v>
      </c>
      <c r="AX11" s="242">
        <f>AS11+AT11-AU11+AV11</f>
        <v>7987968</v>
      </c>
      <c r="AZ11" s="346"/>
      <c r="BA11" s="379">
        <f>SUM(BA5:BA9)</f>
        <v>344319059</v>
      </c>
      <c r="BB11" s="379">
        <f>SUM(BB5:BB9)</f>
        <v>79321681</v>
      </c>
      <c r="BD11" s="381">
        <v>42953</v>
      </c>
      <c r="BE11" s="382" t="s">
        <v>654</v>
      </c>
      <c r="BF11" s="381">
        <v>46605</v>
      </c>
      <c r="BG11" s="359">
        <v>16366909</v>
      </c>
      <c r="BH11" s="359">
        <v>4546364</v>
      </c>
      <c r="BI11" s="359">
        <v>2336916</v>
      </c>
      <c r="BJ11" s="359">
        <v>11820546</v>
      </c>
      <c r="BL11" s="282" t="s">
        <v>675</v>
      </c>
      <c r="BM11" s="15">
        <f>SUM(BM3:BM9)</f>
        <v>194193195</v>
      </c>
      <c r="BN11" s="15">
        <f>SUM(BN3:BN9)</f>
        <v>63394325</v>
      </c>
      <c r="BP11" s="283" t="s">
        <v>682</v>
      </c>
      <c r="BT11" s="282" t="s">
        <v>687</v>
      </c>
      <c r="BV11" s="15">
        <f>BV8-BV10</f>
        <v>0</v>
      </c>
      <c r="BW11" s="15">
        <f>BW8-BW10</f>
        <v>0</v>
      </c>
      <c r="CB11" s="105" t="s">
        <v>698</v>
      </c>
      <c r="CC11" s="12">
        <v>3056923</v>
      </c>
      <c r="CD11" s="12">
        <v>10773458</v>
      </c>
      <c r="CI11" s="105" t="s">
        <v>711</v>
      </c>
      <c r="CJ11" s="12">
        <v>376231</v>
      </c>
      <c r="CK11" s="12">
        <v>430999</v>
      </c>
      <c r="CN11" s="242">
        <f>CN9-CN10</f>
        <v>0</v>
      </c>
      <c r="CT11" s="242">
        <f>CT9-CT10</f>
        <v>0</v>
      </c>
      <c r="CU11" s="242">
        <f>CU9-CU10</f>
        <v>0</v>
      </c>
      <c r="CW11" s="105" t="s">
        <v>313</v>
      </c>
      <c r="CX11" s="3">
        <v>3186000</v>
      </c>
      <c r="CY11" s="3">
        <v>3258000</v>
      </c>
      <c r="DA11" s="400" t="s">
        <v>339</v>
      </c>
      <c r="DB11" s="236">
        <v>19310</v>
      </c>
      <c r="DC11" s="236">
        <v>332354</v>
      </c>
      <c r="DE11" s="400" t="s">
        <v>367</v>
      </c>
      <c r="DF11" s="12">
        <v>53646861</v>
      </c>
      <c r="DG11" s="12">
        <v>39228997</v>
      </c>
      <c r="DI11" s="344" t="s">
        <v>83</v>
      </c>
      <c r="DJ11" s="96">
        <v>10164632</v>
      </c>
      <c r="DK11" s="96">
        <v>14565210</v>
      </c>
      <c r="DQ11" s="253" t="s">
        <v>83</v>
      </c>
      <c r="DR11" s="431">
        <v>190631324</v>
      </c>
      <c r="DS11" s="432">
        <v>101859637</v>
      </c>
      <c r="DU11" s="400"/>
      <c r="DV11" s="12">
        <v>73044590</v>
      </c>
      <c r="DW11" s="12">
        <v>64316376</v>
      </c>
      <c r="EG11" s="19" t="s">
        <v>437</v>
      </c>
      <c r="EH11" s="24">
        <v>33048640</v>
      </c>
      <c r="EI11" s="24">
        <v>1680000</v>
      </c>
      <c r="EJ11" s="24">
        <v>31368640</v>
      </c>
      <c r="EL11" s="400" t="s">
        <v>757</v>
      </c>
      <c r="EM11" s="12">
        <v>130798870</v>
      </c>
      <c r="EP11" s="15">
        <f>EP9-EP10</f>
        <v>0</v>
      </c>
    </row>
    <row r="12" spans="1:146" ht="16.5" thickBot="1" x14ac:dyDescent="0.3">
      <c r="H12" s="273"/>
      <c r="I12" s="274"/>
      <c r="J12" s="35">
        <f>SUM(J3:J10)</f>
        <v>912326316</v>
      </c>
      <c r="T12" s="242">
        <f>T10-T11</f>
        <v>0</v>
      </c>
      <c r="U12" s="242">
        <f>U10-U11</f>
        <v>0</v>
      </c>
      <c r="W12" s="114" t="s">
        <v>549</v>
      </c>
      <c r="X12" s="41" t="s">
        <v>550</v>
      </c>
      <c r="Y12" s="114" t="s">
        <v>550</v>
      </c>
      <c r="Z12" s="312" t="s">
        <v>135</v>
      </c>
      <c r="AA12" s="303"/>
      <c r="AB12" s="304">
        <v>473312</v>
      </c>
      <c r="AC12" s="304"/>
      <c r="AD12" s="302" t="s">
        <v>563</v>
      </c>
      <c r="AE12" s="302"/>
      <c r="AF12" s="302" t="s">
        <v>563</v>
      </c>
      <c r="AG12" s="302"/>
      <c r="AH12" s="304">
        <v>473312</v>
      </c>
      <c r="AI12" s="304"/>
      <c r="AK12" s="340"/>
      <c r="AL12" s="341">
        <f>AL10-AL11</f>
        <v>0</v>
      </c>
      <c r="AM12" s="341">
        <f>AM10-AM11</f>
        <v>0</v>
      </c>
      <c r="AO12" s="78" t="s">
        <v>164</v>
      </c>
      <c r="AP12" s="229"/>
      <c r="AQ12" s="225"/>
      <c r="AR12" s="360" t="s">
        <v>83</v>
      </c>
      <c r="AS12" s="361"/>
      <c r="AT12" s="362">
        <v>1574632</v>
      </c>
      <c r="AU12" s="361">
        <v>0</v>
      </c>
      <c r="AV12" s="362">
        <v>6413336</v>
      </c>
      <c r="AW12" s="362">
        <v>7987968</v>
      </c>
      <c r="AX12" s="242">
        <f>AS12+AT12-AU12+AV12</f>
        <v>7987968</v>
      </c>
      <c r="AZ12" s="346"/>
      <c r="BA12" s="379">
        <f>BA10-BA11</f>
        <v>0</v>
      </c>
      <c r="BB12" s="379">
        <f>BB10-BB11</f>
        <v>216925224</v>
      </c>
      <c r="BD12" s="381">
        <v>43196</v>
      </c>
      <c r="BE12" s="382" t="s">
        <v>655</v>
      </c>
      <c r="BF12" s="381">
        <v>46605</v>
      </c>
      <c r="BG12" s="359">
        <v>60284783</v>
      </c>
      <c r="BH12" s="359">
        <v>16745773</v>
      </c>
      <c r="BI12" s="359">
        <v>6657697</v>
      </c>
      <c r="BJ12" s="359">
        <v>43539010</v>
      </c>
      <c r="BL12" s="282" t="s">
        <v>676</v>
      </c>
      <c r="BM12" s="15">
        <f>BM10-BM11</f>
        <v>0</v>
      </c>
      <c r="BN12" s="15">
        <f>BN10-BN11</f>
        <v>0</v>
      </c>
      <c r="BT12" s="282" t="s">
        <v>688</v>
      </c>
      <c r="CB12" s="78" t="s">
        <v>699</v>
      </c>
      <c r="CC12" s="378"/>
      <c r="CD12" s="378"/>
      <c r="CI12" s="279" t="s">
        <v>281</v>
      </c>
      <c r="CJ12" s="23">
        <v>401060</v>
      </c>
      <c r="CK12" s="12">
        <v>431689</v>
      </c>
      <c r="CW12" s="105" t="s">
        <v>314</v>
      </c>
      <c r="CX12" s="236">
        <v>2005219</v>
      </c>
      <c r="CY12" s="236">
        <v>2205830</v>
      </c>
      <c r="DA12" s="400" t="s">
        <v>340</v>
      </c>
      <c r="DB12" s="236">
        <v>11026091</v>
      </c>
      <c r="DC12" s="236">
        <v>8844285</v>
      </c>
      <c r="DE12" s="404" t="s">
        <v>368</v>
      </c>
      <c r="DF12" s="23">
        <v>193959023</v>
      </c>
      <c r="DG12" s="23">
        <v>166742784</v>
      </c>
      <c r="DJ12">
        <f>SUM(DJ3:DJ10)</f>
        <v>10164632</v>
      </c>
      <c r="DK12">
        <f>SUM(DK3:DK10)</f>
        <v>14565210</v>
      </c>
      <c r="DQ12" s="19"/>
      <c r="DR12" s="433"/>
      <c r="DS12" s="235" t="s">
        <v>739</v>
      </c>
      <c r="DU12" s="400" t="s">
        <v>402</v>
      </c>
      <c r="DV12" s="55"/>
      <c r="DW12" s="55"/>
      <c r="EG12" s="120"/>
      <c r="EH12" s="429"/>
      <c r="EI12" s="429"/>
      <c r="EJ12" s="429"/>
      <c r="EL12" s="400" t="s">
        <v>758</v>
      </c>
      <c r="EM12" s="12">
        <v>-36471653</v>
      </c>
    </row>
    <row r="13" spans="1:146" ht="16.5" thickBot="1" x14ac:dyDescent="0.3">
      <c r="H13" s="273"/>
      <c r="I13" s="274"/>
      <c r="J13" s="35">
        <f>J11-J12</f>
        <v>0</v>
      </c>
      <c r="W13" s="254"/>
      <c r="X13" s="291">
        <v>14299543</v>
      </c>
      <c r="Y13" s="298">
        <v>8682314</v>
      </c>
      <c r="Z13" s="312" t="s">
        <v>571</v>
      </c>
      <c r="AA13" s="302"/>
      <c r="AB13" s="304">
        <v>313646</v>
      </c>
      <c r="AC13" s="304"/>
      <c r="AD13" s="302"/>
      <c r="AE13" s="302"/>
      <c r="AF13" s="302" t="s">
        <v>563</v>
      </c>
      <c r="AG13" s="302"/>
      <c r="AH13" s="304">
        <v>313646</v>
      </c>
      <c r="AI13" s="304"/>
      <c r="AK13" s="335" t="s">
        <v>577</v>
      </c>
      <c r="AL13" s="321"/>
      <c r="AM13" s="322"/>
      <c r="AO13" s="279" t="s">
        <v>583</v>
      </c>
      <c r="AP13" s="3">
        <v>2240584</v>
      </c>
      <c r="AQ13" s="3">
        <v>762394</v>
      </c>
      <c r="AR13" s="354" t="s">
        <v>594</v>
      </c>
      <c r="AS13" s="356"/>
      <c r="AT13" s="356"/>
      <c r="AU13" s="356" t="s">
        <v>563</v>
      </c>
      <c r="AV13" s="356"/>
      <c r="AW13" s="355">
        <v>17807372</v>
      </c>
      <c r="AX13" s="242">
        <f>AX4-AX11</f>
        <v>17807372</v>
      </c>
      <c r="AZ13" s="78" t="s">
        <v>20</v>
      </c>
      <c r="BA13" s="377"/>
      <c r="BB13" s="378"/>
      <c r="BD13" s="381">
        <v>43257</v>
      </c>
      <c r="BE13" s="382" t="s">
        <v>656</v>
      </c>
      <c r="BF13" s="381">
        <v>46605</v>
      </c>
      <c r="BG13" s="359">
        <v>18429522</v>
      </c>
      <c r="BH13" s="359">
        <v>5119312</v>
      </c>
      <c r="BI13" s="359">
        <v>1853028</v>
      </c>
      <c r="BJ13" s="359">
        <v>13310210</v>
      </c>
      <c r="BL13" s="282" t="s">
        <v>677</v>
      </c>
      <c r="CB13" s="105" t="s">
        <v>700</v>
      </c>
      <c r="CC13" s="12">
        <v>256224769</v>
      </c>
      <c r="CD13" s="12">
        <v>256827181</v>
      </c>
      <c r="CI13" s="255" t="s">
        <v>282</v>
      </c>
      <c r="CJ13" s="413">
        <v>29824977</v>
      </c>
      <c r="CK13" s="414">
        <v>35560801</v>
      </c>
      <c r="CW13" s="105" t="s">
        <v>315</v>
      </c>
      <c r="CX13" s="236">
        <v>2599000</v>
      </c>
      <c r="CY13" s="236">
        <v>2704500</v>
      </c>
      <c r="DA13" s="400" t="s">
        <v>341</v>
      </c>
      <c r="DB13" s="236">
        <v>45128733</v>
      </c>
      <c r="DC13" s="236">
        <v>995900</v>
      </c>
      <c r="DE13" s="19" t="s">
        <v>83</v>
      </c>
      <c r="DF13" s="24">
        <v>339355335</v>
      </c>
      <c r="DG13" s="24">
        <v>279918721</v>
      </c>
      <c r="DJ13" s="242">
        <f>DJ11-DJ12</f>
        <v>0</v>
      </c>
      <c r="DK13" s="242">
        <f>DK11-DK12</f>
        <v>0</v>
      </c>
      <c r="DR13" s="242">
        <f>SUM(DR3:DR10)</f>
        <v>190631324</v>
      </c>
      <c r="DS13" s="242">
        <f>SUM(DS3:DS10)</f>
        <v>101859637</v>
      </c>
      <c r="DU13" s="400"/>
      <c r="DV13" s="12">
        <v>6846503</v>
      </c>
      <c r="DW13" s="12">
        <v>7435032</v>
      </c>
      <c r="EG13" s="120"/>
      <c r="EH13" s="21"/>
      <c r="EI13" s="21"/>
      <c r="EJ13" s="21"/>
      <c r="EL13" s="400" t="s">
        <v>759</v>
      </c>
      <c r="EM13" s="12">
        <v>8251694</v>
      </c>
    </row>
    <row r="14" spans="1:146" ht="16.5" thickBot="1" x14ac:dyDescent="0.3">
      <c r="H14" s="255" t="s">
        <v>1</v>
      </c>
      <c r="I14" s="255" t="s">
        <v>536</v>
      </c>
      <c r="J14" s="262">
        <v>117189043</v>
      </c>
      <c r="W14" s="269" t="s">
        <v>551</v>
      </c>
      <c r="X14" s="41"/>
      <c r="Y14" s="294"/>
      <c r="Z14" s="312" t="s">
        <v>572</v>
      </c>
      <c r="AA14" s="302"/>
      <c r="AB14" s="302"/>
      <c r="AC14" s="302"/>
      <c r="AD14" s="302"/>
      <c r="AE14" s="302"/>
      <c r="AF14" s="302"/>
      <c r="AG14" s="302"/>
      <c r="AH14" s="257"/>
      <c r="AI14" s="257"/>
      <c r="AK14" s="336" t="s">
        <v>144</v>
      </c>
      <c r="AL14" s="325">
        <v>6892684</v>
      </c>
      <c r="AM14" s="329">
        <v>6426298</v>
      </c>
      <c r="AO14" s="344" t="s">
        <v>83</v>
      </c>
      <c r="AP14" s="342">
        <v>33472467</v>
      </c>
      <c r="AQ14" s="342">
        <v>32546952</v>
      </c>
      <c r="AZ14" s="78" t="s">
        <v>632</v>
      </c>
      <c r="BA14" s="376"/>
      <c r="BB14" s="376"/>
      <c r="BD14" s="382" t="s">
        <v>652</v>
      </c>
      <c r="BE14" s="382" t="s">
        <v>657</v>
      </c>
      <c r="BF14" s="381">
        <v>46605</v>
      </c>
      <c r="BG14" s="386">
        <v>14031515</v>
      </c>
      <c r="BH14" s="359">
        <v>2630909</v>
      </c>
      <c r="BI14" s="359">
        <v>885389</v>
      </c>
      <c r="BJ14" s="359">
        <v>11400606</v>
      </c>
      <c r="BL14" s="282" t="s">
        <v>678</v>
      </c>
      <c r="CB14" s="105" t="s">
        <v>701</v>
      </c>
      <c r="CC14" s="12">
        <v>51039</v>
      </c>
      <c r="CD14" s="12">
        <v>38190</v>
      </c>
      <c r="CI14" s="417"/>
      <c r="CJ14" s="418">
        <f>SUM(CJ4:CJ12)</f>
        <v>29824977</v>
      </c>
      <c r="CK14" s="418">
        <f>SUM(CK4:CK12)</f>
        <v>35560801</v>
      </c>
      <c r="CW14" s="105" t="s">
        <v>316</v>
      </c>
      <c r="CX14" s="236">
        <v>2246190</v>
      </c>
      <c r="CY14" s="236">
        <v>1945032</v>
      </c>
      <c r="DA14" s="400" t="s">
        <v>342</v>
      </c>
      <c r="DB14" s="87" t="s">
        <v>708</v>
      </c>
      <c r="DC14" s="87" t="s">
        <v>708</v>
      </c>
      <c r="DF14" s="9">
        <f>SUM(DF3:DF12)</f>
        <v>339355335</v>
      </c>
      <c r="DG14" s="9">
        <f>SUM(DG3:DG12)</f>
        <v>279918721</v>
      </c>
      <c r="DR14" s="242">
        <f>DR11-DR13</f>
        <v>0</v>
      </c>
      <c r="DS14" s="242">
        <f>DS11-DS13</f>
        <v>0</v>
      </c>
      <c r="DU14" s="400" t="s">
        <v>403</v>
      </c>
      <c r="DV14" s="55"/>
      <c r="DW14" s="428">
        <v>4596638</v>
      </c>
      <c r="EG14" s="120" t="s">
        <v>438</v>
      </c>
      <c r="EH14" s="21"/>
      <c r="EI14" s="21"/>
      <c r="EJ14" s="21"/>
      <c r="EL14" s="400" t="s">
        <v>760</v>
      </c>
      <c r="EM14" s="12">
        <v>129024400</v>
      </c>
    </row>
    <row r="15" spans="1:146" ht="16.5" thickBot="1" x14ac:dyDescent="0.3">
      <c r="H15" s="269" t="s">
        <v>537</v>
      </c>
      <c r="I15" s="275"/>
      <c r="J15" s="263"/>
      <c r="W15" s="254" t="s">
        <v>552</v>
      </c>
      <c r="X15" s="291">
        <v>66244726</v>
      </c>
      <c r="Y15" s="298">
        <v>147200</v>
      </c>
      <c r="Z15" s="276"/>
      <c r="AA15" s="302"/>
      <c r="AB15" s="302"/>
      <c r="AC15" s="302"/>
      <c r="AD15" s="302"/>
      <c r="AE15" s="302"/>
      <c r="AF15" s="302"/>
      <c r="AG15" s="302"/>
      <c r="AH15" s="306">
        <v>834323</v>
      </c>
      <c r="AI15" s="306"/>
      <c r="AK15" s="336" t="s">
        <v>145</v>
      </c>
      <c r="AL15" s="325">
        <v>4804861</v>
      </c>
      <c r="AM15" s="329">
        <v>2973556</v>
      </c>
      <c r="AP15" s="242">
        <f>SUM(AP10,AP13)</f>
        <v>33472467</v>
      </c>
      <c r="AQ15" s="242">
        <f>SUM(AQ10,AQ13)</f>
        <v>32546952</v>
      </c>
      <c r="AZ15" s="279" t="s">
        <v>633</v>
      </c>
      <c r="BA15" s="11">
        <v>306513264</v>
      </c>
      <c r="BB15" s="11">
        <v>337213093</v>
      </c>
      <c r="BD15" s="381">
        <v>42865</v>
      </c>
      <c r="BE15" s="382" t="s">
        <v>658</v>
      </c>
      <c r="BF15" s="381">
        <v>46517</v>
      </c>
      <c r="BG15" s="359">
        <v>19818811</v>
      </c>
      <c r="BH15" s="359">
        <v>4404180</v>
      </c>
      <c r="BI15" s="359">
        <v>2600988</v>
      </c>
      <c r="BJ15" s="359">
        <v>15414631</v>
      </c>
      <c r="BL15" s="282" t="s">
        <v>677</v>
      </c>
      <c r="CB15" s="105" t="s">
        <v>702</v>
      </c>
      <c r="CC15" s="11">
        <v>39793152</v>
      </c>
      <c r="CD15" s="11">
        <v>32700559</v>
      </c>
      <c r="CI15" s="417"/>
      <c r="CJ15" s="418">
        <f>CJ13-CJ14</f>
        <v>0</v>
      </c>
      <c r="CK15" s="418">
        <f>CK13-CK14</f>
        <v>0</v>
      </c>
      <c r="CW15" s="105" t="s">
        <v>317</v>
      </c>
      <c r="CX15" s="236">
        <v>10156008</v>
      </c>
      <c r="CY15" s="236">
        <v>1876174</v>
      </c>
      <c r="DA15" s="400"/>
      <c r="DB15" s="236">
        <v>36136918</v>
      </c>
      <c r="DC15" s="236">
        <v>20730055</v>
      </c>
      <c r="DF15" s="15">
        <f>DF13-DF14</f>
        <v>0</v>
      </c>
      <c r="DG15" s="15">
        <f>DG13-DG14</f>
        <v>0</v>
      </c>
      <c r="DU15" s="400"/>
      <c r="DV15" s="12">
        <v>4310979</v>
      </c>
      <c r="DW15" s="428"/>
      <c r="EG15" s="21" t="s">
        <v>748</v>
      </c>
      <c r="EH15" s="12">
        <v>26278582</v>
      </c>
      <c r="EI15" s="12">
        <v>16045781</v>
      </c>
      <c r="EJ15" s="12">
        <v>10232801</v>
      </c>
      <c r="EL15" s="400" t="s">
        <v>761</v>
      </c>
      <c r="EM15" s="12">
        <v>-396723163</v>
      </c>
    </row>
    <row r="16" spans="1:146" ht="16.5" thickBot="1" x14ac:dyDescent="0.3">
      <c r="H16" s="105" t="s">
        <v>99</v>
      </c>
      <c r="I16" s="271" t="s">
        <v>100</v>
      </c>
      <c r="J16" s="259">
        <v>116199146</v>
      </c>
      <c r="W16" s="269" t="s">
        <v>131</v>
      </c>
      <c r="X16" s="41"/>
      <c r="Y16" s="294"/>
      <c r="Z16" s="277"/>
      <c r="AA16" s="317"/>
      <c r="AB16" s="305">
        <v>834323</v>
      </c>
      <c r="AC16" s="305"/>
      <c r="AD16" s="317"/>
      <c r="AE16" s="317"/>
      <c r="AF16" s="317"/>
      <c r="AG16" s="317"/>
      <c r="AH16" s="264"/>
      <c r="AI16" s="264"/>
      <c r="AK16" s="336" t="s">
        <v>146</v>
      </c>
      <c r="AL16" s="325">
        <v>1783665</v>
      </c>
      <c r="AM16" s="329">
        <v>1783665</v>
      </c>
      <c r="AP16" s="242">
        <f>AP14-AP15</f>
        <v>0</v>
      </c>
      <c r="AQ16" s="242">
        <f>AQ14-AQ15</f>
        <v>0</v>
      </c>
      <c r="AZ16" s="344" t="s">
        <v>83</v>
      </c>
      <c r="BA16" s="342">
        <v>650832323</v>
      </c>
      <c r="BB16" s="342">
        <v>633459998</v>
      </c>
      <c r="BD16" s="381">
        <v>43259</v>
      </c>
      <c r="BE16" s="382" t="s">
        <v>659</v>
      </c>
      <c r="BF16" s="381">
        <v>46517</v>
      </c>
      <c r="BG16" s="359">
        <v>55640846</v>
      </c>
      <c r="BH16" s="359">
        <v>12364632</v>
      </c>
      <c r="BI16" s="359">
        <v>5590107</v>
      </c>
      <c r="BJ16" s="359">
        <v>43276214</v>
      </c>
      <c r="CB16" s="78" t="s">
        <v>260</v>
      </c>
      <c r="CC16" s="411"/>
      <c r="CD16" s="411"/>
      <c r="CI16" s="120" t="s">
        <v>283</v>
      </c>
      <c r="CJ16" s="415"/>
      <c r="CK16" s="378"/>
      <c r="CW16" s="105" t="s">
        <v>318</v>
      </c>
      <c r="CX16" s="236">
        <v>7678978</v>
      </c>
      <c r="CY16" s="236">
        <v>9716047</v>
      </c>
      <c r="DA16" s="400" t="s">
        <v>343</v>
      </c>
      <c r="DB16" s="236">
        <v>16449514</v>
      </c>
      <c r="DC16" s="236">
        <v>12795814</v>
      </c>
      <c r="DU16" s="400"/>
      <c r="DV16" s="55"/>
      <c r="DW16" s="428">
        <v>5472458</v>
      </c>
      <c r="EG16" s="21" t="s">
        <v>749</v>
      </c>
      <c r="EH16" s="12">
        <v>17545552</v>
      </c>
      <c r="EI16" s="12">
        <v>15427318</v>
      </c>
      <c r="EJ16" s="12">
        <v>2118234</v>
      </c>
      <c r="EL16" s="400" t="s">
        <v>393</v>
      </c>
      <c r="EM16" s="12">
        <v>-3959974</v>
      </c>
    </row>
    <row r="17" spans="8:143" ht="16.149999999999999" customHeight="1" thickBot="1" x14ac:dyDescent="0.3">
      <c r="H17" s="105" t="s">
        <v>109</v>
      </c>
      <c r="I17" s="271" t="s">
        <v>100</v>
      </c>
      <c r="J17" s="259">
        <v>12188877</v>
      </c>
      <c r="W17" s="254" t="s">
        <v>132</v>
      </c>
      <c r="X17" s="38" t="s">
        <v>553</v>
      </c>
      <c r="Y17" s="254" t="s">
        <v>554</v>
      </c>
      <c r="Z17" s="313" t="s">
        <v>83</v>
      </c>
      <c r="AA17" s="301"/>
      <c r="AB17" s="318">
        <v>233988173</v>
      </c>
      <c r="AC17" s="318"/>
      <c r="AD17" s="308" t="s">
        <v>563</v>
      </c>
      <c r="AE17" s="308"/>
      <c r="AF17" s="308" t="s">
        <v>563</v>
      </c>
      <c r="AG17" s="308"/>
      <c r="AH17" s="318">
        <v>233988173</v>
      </c>
      <c r="AI17" s="318"/>
      <c r="AK17" s="336" t="s">
        <v>147</v>
      </c>
      <c r="AL17" s="325">
        <v>40924</v>
      </c>
      <c r="AM17" s="329">
        <v>6086</v>
      </c>
      <c r="BA17" s="15">
        <f>SUM(BA11,BA15)</f>
        <v>650832323</v>
      </c>
      <c r="BB17" s="15">
        <f>SUM(BB11,BB15)</f>
        <v>416534774</v>
      </c>
      <c r="BD17" s="382" t="s">
        <v>652</v>
      </c>
      <c r="BE17" s="382" t="s">
        <v>660</v>
      </c>
      <c r="BF17" s="381">
        <v>46517</v>
      </c>
      <c r="BG17" s="359">
        <v>56665752</v>
      </c>
      <c r="BH17" s="359">
        <v>8585720</v>
      </c>
      <c r="BI17" s="359">
        <v>3297552</v>
      </c>
      <c r="BJ17" s="359">
        <v>48080032</v>
      </c>
      <c r="CB17" s="105" t="s">
        <v>703</v>
      </c>
      <c r="CC17" s="11">
        <v>11836539</v>
      </c>
      <c r="CD17" s="11">
        <v>12032341</v>
      </c>
      <c r="CI17" s="400" t="s">
        <v>284</v>
      </c>
      <c r="CJ17" s="12">
        <v>4020505</v>
      </c>
      <c r="CK17" s="12">
        <v>3201500</v>
      </c>
      <c r="CW17" s="105" t="s">
        <v>319</v>
      </c>
      <c r="CX17" s="236">
        <v>32830137</v>
      </c>
      <c r="CY17" s="236">
        <v>32270674</v>
      </c>
      <c r="DA17" s="400" t="s">
        <v>344</v>
      </c>
      <c r="DB17" s="622">
        <v>82370150</v>
      </c>
      <c r="DC17" s="622">
        <v>55679877</v>
      </c>
      <c r="DU17" s="400" t="s">
        <v>404</v>
      </c>
      <c r="DV17" s="12">
        <v>7412049</v>
      </c>
      <c r="DW17" s="428"/>
      <c r="EG17" s="21" t="s">
        <v>750</v>
      </c>
      <c r="EH17" s="12">
        <v>2139816</v>
      </c>
      <c r="EI17" s="55"/>
      <c r="EJ17" s="12">
        <v>2139816</v>
      </c>
      <c r="EL17" s="400" t="s">
        <v>74</v>
      </c>
      <c r="EM17" s="12">
        <v>-17138617</v>
      </c>
    </row>
    <row r="18" spans="8:143" ht="16.5" thickBot="1" x14ac:dyDescent="0.3">
      <c r="H18" s="114" t="s">
        <v>110</v>
      </c>
      <c r="I18" s="271" t="s">
        <v>100</v>
      </c>
      <c r="J18" s="259">
        <v>2066072</v>
      </c>
      <c r="W18" s="269" t="s">
        <v>133</v>
      </c>
      <c r="X18" s="228"/>
      <c r="Y18" s="294"/>
      <c r="Z18" s="313"/>
      <c r="AA18" s="307"/>
      <c r="AB18" s="319">
        <f>SUM(AB3:AB16)</f>
        <v>233988173</v>
      </c>
      <c r="AC18" s="319">
        <f t="shared" ref="AC18:AH18" si="2">SUM(AC3:AC16)</f>
        <v>0</v>
      </c>
      <c r="AD18" s="319">
        <f t="shared" si="2"/>
        <v>0</v>
      </c>
      <c r="AE18" s="319">
        <f t="shared" si="2"/>
        <v>0</v>
      </c>
      <c r="AF18" s="319">
        <f t="shared" si="2"/>
        <v>0</v>
      </c>
      <c r="AG18" s="319">
        <f t="shared" si="2"/>
        <v>0</v>
      </c>
      <c r="AH18" s="319">
        <f t="shared" si="2"/>
        <v>233988173</v>
      </c>
      <c r="AI18" s="307"/>
      <c r="AK18" s="336" t="s">
        <v>148</v>
      </c>
      <c r="AL18" s="325">
        <v>958910</v>
      </c>
      <c r="AM18" s="329">
        <v>958910</v>
      </c>
      <c r="BA18" s="15">
        <f>BA16-BA17</f>
        <v>0</v>
      </c>
      <c r="BB18" s="15">
        <f>BB16-BB17</f>
        <v>216925224</v>
      </c>
      <c r="BD18" s="381">
        <v>43408</v>
      </c>
      <c r="BE18" s="382" t="s">
        <v>661</v>
      </c>
      <c r="BF18" s="383">
        <v>47061</v>
      </c>
      <c r="BG18" s="384">
        <v>11291689</v>
      </c>
      <c r="BH18" s="384">
        <v>1881948</v>
      </c>
      <c r="BI18" s="384">
        <v>1226500</v>
      </c>
      <c r="BJ18" s="384">
        <v>9409741</v>
      </c>
      <c r="CB18" s="78" t="s">
        <v>704</v>
      </c>
      <c r="CC18" s="378"/>
      <c r="CD18" s="378"/>
      <c r="CI18" s="400" t="s">
        <v>712</v>
      </c>
      <c r="CJ18" s="12">
        <v>408553</v>
      </c>
      <c r="CK18" s="12">
        <v>1159099</v>
      </c>
      <c r="CW18" s="105" t="s">
        <v>320</v>
      </c>
      <c r="CX18" s="236">
        <v>2658250</v>
      </c>
      <c r="CY18" s="236">
        <v>2806000</v>
      </c>
      <c r="DA18" s="400"/>
      <c r="DB18" s="622"/>
      <c r="DC18" s="622"/>
      <c r="DU18" s="343" t="s">
        <v>50</v>
      </c>
      <c r="DV18" s="55"/>
      <c r="DW18" s="55"/>
      <c r="EG18" s="21" t="s">
        <v>751</v>
      </c>
      <c r="EH18" s="12">
        <v>5264493</v>
      </c>
      <c r="EI18" s="12">
        <v>4831507</v>
      </c>
      <c r="EJ18" s="12">
        <v>432986</v>
      </c>
      <c r="EL18" s="400" t="s">
        <v>762</v>
      </c>
      <c r="EM18" s="12">
        <v>98446603</v>
      </c>
    </row>
    <row r="19" spans="8:143" ht="32.25" thickBot="1" x14ac:dyDescent="0.3">
      <c r="H19" s="114" t="s">
        <v>538</v>
      </c>
      <c r="I19" s="271"/>
      <c r="J19" s="258" t="s">
        <v>389</v>
      </c>
      <c r="W19" s="114" t="s">
        <v>134</v>
      </c>
      <c r="X19" s="41" t="s">
        <v>415</v>
      </c>
      <c r="Y19" s="114" t="s">
        <v>555</v>
      </c>
      <c r="Z19" s="313"/>
      <c r="AA19" s="307"/>
      <c r="AB19" s="319">
        <f>AB17-AB18</f>
        <v>0</v>
      </c>
      <c r="AC19" s="319">
        <f t="shared" ref="AC19:AH19" si="3">AC17-AC18</f>
        <v>0</v>
      </c>
      <c r="AD19" s="319" t="e">
        <f t="shared" si="3"/>
        <v>#VALUE!</v>
      </c>
      <c r="AE19" s="319">
        <f t="shared" si="3"/>
        <v>0</v>
      </c>
      <c r="AF19" s="319" t="e">
        <f t="shared" si="3"/>
        <v>#VALUE!</v>
      </c>
      <c r="AG19" s="319">
        <f t="shared" si="3"/>
        <v>0</v>
      </c>
      <c r="AH19" s="319">
        <f t="shared" si="3"/>
        <v>0</v>
      </c>
      <c r="AI19" s="307"/>
      <c r="AK19" s="336" t="s">
        <v>149</v>
      </c>
      <c r="AL19" s="325">
        <v>24107583</v>
      </c>
      <c r="AM19" s="329">
        <v>20526902</v>
      </c>
      <c r="BD19" s="381">
        <v>43770</v>
      </c>
      <c r="BE19" s="382" t="s">
        <v>662</v>
      </c>
      <c r="BF19" s="381">
        <v>47061</v>
      </c>
      <c r="BG19" s="359">
        <v>46140476</v>
      </c>
      <c r="BH19" s="359">
        <v>7690079</v>
      </c>
      <c r="BI19" s="359">
        <v>3983709</v>
      </c>
      <c r="BJ19" s="359">
        <v>38450396</v>
      </c>
      <c r="CB19" s="105" t="s">
        <v>705</v>
      </c>
      <c r="CC19" s="55"/>
      <c r="CD19" s="55" t="s">
        <v>706</v>
      </c>
      <c r="CI19" s="400" t="s">
        <v>713</v>
      </c>
      <c r="CJ19" s="12">
        <v>2818461</v>
      </c>
      <c r="CK19" s="12">
        <v>4772838</v>
      </c>
      <c r="CW19" s="105" t="s">
        <v>321</v>
      </c>
      <c r="CX19" s="236">
        <v>5288000</v>
      </c>
      <c r="CY19" s="236">
        <v>5397000</v>
      </c>
      <c r="DA19" s="400" t="s">
        <v>345</v>
      </c>
      <c r="DB19" s="236">
        <v>6431993</v>
      </c>
      <c r="DC19" s="236">
        <v>10231463</v>
      </c>
      <c r="DU19" s="400" t="s">
        <v>405</v>
      </c>
      <c r="DV19" s="55"/>
      <c r="DW19" s="12">
        <v>1200000</v>
      </c>
      <c r="EG19" s="21" t="s">
        <v>752</v>
      </c>
      <c r="EH19" s="12">
        <v>170980</v>
      </c>
      <c r="EI19" s="397"/>
      <c r="EJ19" s="398">
        <v>170980</v>
      </c>
      <c r="EL19" s="122" t="s">
        <v>459</v>
      </c>
      <c r="EM19" s="342">
        <v>354282962</v>
      </c>
    </row>
    <row r="20" spans="8:143" ht="16.5" thickBot="1" x14ac:dyDescent="0.3">
      <c r="H20" s="114" t="s">
        <v>539</v>
      </c>
      <c r="I20" s="271" t="s">
        <v>100</v>
      </c>
      <c r="J20" s="265">
        <v>1141487</v>
      </c>
      <c r="W20" s="114" t="s">
        <v>135</v>
      </c>
      <c r="X20" s="250">
        <v>473312</v>
      </c>
      <c r="Y20" s="295">
        <v>119490</v>
      </c>
      <c r="Z20" s="313"/>
      <c r="AA20" s="307"/>
      <c r="AB20" s="307"/>
      <c r="AC20" s="302"/>
      <c r="AD20" s="302"/>
      <c r="AE20" s="307"/>
      <c r="AF20" s="307"/>
      <c r="AG20" s="307"/>
      <c r="AH20" s="307"/>
      <c r="AI20" s="307"/>
      <c r="AK20" s="336" t="s">
        <v>140</v>
      </c>
      <c r="AL20" s="321" t="s">
        <v>151</v>
      </c>
      <c r="AM20" s="322"/>
      <c r="BD20" s="382" t="s">
        <v>652</v>
      </c>
      <c r="BE20" s="382" t="s">
        <v>663</v>
      </c>
      <c r="BF20" s="387">
        <v>47061</v>
      </c>
      <c r="BG20" s="359">
        <v>17845762</v>
      </c>
      <c r="BH20" s="359">
        <v>2549395</v>
      </c>
      <c r="BI20" s="359">
        <v>1050554</v>
      </c>
      <c r="BJ20" s="359">
        <v>15296367</v>
      </c>
      <c r="CB20" s="105"/>
      <c r="CC20" s="12">
        <v>4673631</v>
      </c>
      <c r="CD20" s="12">
        <v>12586852</v>
      </c>
      <c r="CI20" s="400" t="s">
        <v>287</v>
      </c>
      <c r="CJ20" s="12">
        <v>3285870</v>
      </c>
      <c r="CK20" s="12">
        <v>11468568</v>
      </c>
      <c r="CW20" s="269" t="s">
        <v>726</v>
      </c>
      <c r="CX20" s="239"/>
      <c r="CY20" s="239"/>
      <c r="DA20" s="400" t="s">
        <v>346</v>
      </c>
      <c r="DB20" s="87" t="s">
        <v>706</v>
      </c>
      <c r="DC20" s="87" t="s">
        <v>706</v>
      </c>
      <c r="DU20" s="343"/>
      <c r="DV20" s="55"/>
      <c r="DW20" s="55"/>
      <c r="EG20" s="22"/>
      <c r="EH20" s="24">
        <v>51399423</v>
      </c>
      <c r="EI20" s="24">
        <v>36304606</v>
      </c>
      <c r="EJ20" s="24">
        <v>15094817</v>
      </c>
      <c r="EM20" s="15">
        <f>SUM(EM2:EM18)</f>
        <v>354282962</v>
      </c>
    </row>
    <row r="21" spans="8:143" ht="16.5" thickBot="1" x14ac:dyDescent="0.3">
      <c r="H21" s="114" t="s">
        <v>540</v>
      </c>
      <c r="I21" s="271" t="s">
        <v>100</v>
      </c>
      <c r="J21" s="265">
        <v>1316049</v>
      </c>
      <c r="W21" s="114"/>
      <c r="X21" s="250"/>
      <c r="Y21" s="295"/>
      <c r="Z21" s="313"/>
      <c r="AA21" s="307"/>
      <c r="AB21" s="307"/>
      <c r="AC21" s="302"/>
      <c r="AD21" s="302"/>
      <c r="AE21" s="302"/>
      <c r="AF21" s="302"/>
      <c r="AG21" s="302"/>
      <c r="AH21" s="302"/>
      <c r="AI21" s="303"/>
      <c r="AK21" s="336" t="s">
        <v>153</v>
      </c>
      <c r="AL21" s="325">
        <v>54481532</v>
      </c>
      <c r="AM21" s="329">
        <v>35944643</v>
      </c>
      <c r="BD21" s="382" t="s">
        <v>664</v>
      </c>
      <c r="BE21" s="382" t="s">
        <v>665</v>
      </c>
      <c r="BF21" s="382" t="s">
        <v>666</v>
      </c>
      <c r="BG21" s="359">
        <v>11468152</v>
      </c>
      <c r="BH21" s="359">
        <v>1274239</v>
      </c>
      <c r="BI21" s="359">
        <v>962009</v>
      </c>
      <c r="BJ21" s="359">
        <v>10193913</v>
      </c>
      <c r="CB21" s="279" t="s">
        <v>707</v>
      </c>
      <c r="CC21" s="412">
        <v>4965575</v>
      </c>
      <c r="CD21" s="412">
        <v>6026761</v>
      </c>
      <c r="CI21" s="400" t="s">
        <v>714</v>
      </c>
      <c r="CJ21" s="12">
        <v>5932005</v>
      </c>
      <c r="CK21" s="12">
        <v>9293875</v>
      </c>
      <c r="CW21" s="105" t="s">
        <v>323</v>
      </c>
      <c r="CX21" s="236">
        <v>23487556</v>
      </c>
      <c r="CY21" s="236">
        <v>22935557</v>
      </c>
      <c r="DA21" s="400"/>
      <c r="DB21" s="236">
        <v>764281</v>
      </c>
      <c r="DC21" s="236">
        <v>3444701</v>
      </c>
      <c r="DU21" s="404"/>
      <c r="DV21" s="256" t="s">
        <v>741</v>
      </c>
      <c r="DW21" s="256" t="s">
        <v>741</v>
      </c>
      <c r="EG21" s="19" t="s">
        <v>83</v>
      </c>
      <c r="EH21" s="24">
        <v>164492866</v>
      </c>
      <c r="EI21" s="24">
        <v>105968055</v>
      </c>
      <c r="EJ21" s="24">
        <v>58524811</v>
      </c>
      <c r="EM21" s="15">
        <f>EM19-EM20</f>
        <v>0</v>
      </c>
    </row>
    <row r="22" spans="8:143" ht="16.5" thickBot="1" x14ac:dyDescent="0.3">
      <c r="H22" s="276"/>
      <c r="I22" s="271" t="s">
        <v>100</v>
      </c>
      <c r="J22" s="265">
        <v>3950640</v>
      </c>
      <c r="W22" s="114" t="s">
        <v>556</v>
      </c>
      <c r="X22" s="41" t="s">
        <v>304</v>
      </c>
      <c r="Y22" s="114" t="s">
        <v>386</v>
      </c>
      <c r="AK22" s="336" t="s">
        <v>152</v>
      </c>
      <c r="AL22" s="321" t="s">
        <v>151</v>
      </c>
      <c r="AM22" s="322"/>
      <c r="BD22" s="388" t="s">
        <v>667</v>
      </c>
      <c r="BE22" s="388" t="s">
        <v>668</v>
      </c>
      <c r="BF22" s="388" t="s">
        <v>666</v>
      </c>
      <c r="BG22" s="352">
        <v>32382621</v>
      </c>
      <c r="BH22" s="352">
        <v>1904860</v>
      </c>
      <c r="BI22" s="352">
        <v>455804</v>
      </c>
      <c r="BJ22" s="352">
        <v>30477761</v>
      </c>
      <c r="CB22" s="280" t="s">
        <v>83</v>
      </c>
      <c r="CC22" s="24">
        <v>603149711</v>
      </c>
      <c r="CD22" s="24">
        <v>562494648</v>
      </c>
      <c r="CI22" s="400" t="s">
        <v>289</v>
      </c>
      <c r="CJ22" s="12">
        <v>4372677</v>
      </c>
      <c r="CK22" s="12">
        <v>973511</v>
      </c>
      <c r="CW22" s="105" t="s">
        <v>324</v>
      </c>
      <c r="CX22" s="236">
        <v>1689365</v>
      </c>
      <c r="CY22" s="236">
        <v>1716900</v>
      </c>
      <c r="DA22" s="343" t="s">
        <v>347</v>
      </c>
      <c r="DB22" s="239"/>
      <c r="DC22" s="239"/>
      <c r="DU22" s="344" t="s">
        <v>233</v>
      </c>
      <c r="DV22" s="24">
        <v>235063782</v>
      </c>
      <c r="DW22" s="24">
        <v>196097199</v>
      </c>
      <c r="EH22" s="242">
        <f>SUM(EH15:EH19)</f>
        <v>51399423</v>
      </c>
      <c r="EI22" s="242">
        <f t="shared" ref="EI22:EJ22" si="4">SUM(EI15:EI19)</f>
        <v>36304606</v>
      </c>
      <c r="EJ22" s="242">
        <f t="shared" si="4"/>
        <v>15094817</v>
      </c>
    </row>
    <row r="23" spans="8:143" ht="16.5" thickBot="1" x14ac:dyDescent="0.3">
      <c r="H23" s="277"/>
      <c r="I23" s="277"/>
      <c r="J23" s="266"/>
      <c r="W23" s="114"/>
      <c r="X23" s="41"/>
      <c r="Y23" s="114"/>
      <c r="AK23" s="336" t="s">
        <v>153</v>
      </c>
      <c r="AL23" s="325">
        <v>333000</v>
      </c>
      <c r="AM23" s="329">
        <v>1097281</v>
      </c>
      <c r="BD23" s="640" t="s">
        <v>669</v>
      </c>
      <c r="BE23" s="640"/>
      <c r="BF23" s="640"/>
      <c r="BG23" s="389">
        <v>568344396</v>
      </c>
      <c r="BH23" s="389">
        <v>200653543</v>
      </c>
      <c r="BI23" s="389">
        <v>76094200</v>
      </c>
      <c r="BJ23" s="389">
        <v>367690853</v>
      </c>
      <c r="CC23" s="15">
        <f>SUM(CC4:CC21)</f>
        <v>603149711</v>
      </c>
      <c r="CD23" s="15">
        <f>SUM(CD4:CD21)</f>
        <v>562494648</v>
      </c>
      <c r="CI23" s="400" t="s">
        <v>290</v>
      </c>
      <c r="CJ23" s="12">
        <v>5710335</v>
      </c>
      <c r="CK23" s="12">
        <v>5899293</v>
      </c>
      <c r="CW23" s="105" t="s">
        <v>325</v>
      </c>
      <c r="CX23" s="236">
        <v>2475322</v>
      </c>
      <c r="CY23" s="236">
        <v>1985984</v>
      </c>
      <c r="DA23" s="400" t="s">
        <v>348</v>
      </c>
      <c r="DB23" s="236">
        <v>11733930</v>
      </c>
      <c r="DC23" s="236">
        <v>15769083</v>
      </c>
      <c r="DV23" s="9">
        <f>SUM(DV3:DV21)</f>
        <v>235063782</v>
      </c>
      <c r="DW23" s="9">
        <f>SUM(DW3:DW21)</f>
        <v>196097199</v>
      </c>
      <c r="EH23" s="242">
        <f>EH20-EH22</f>
        <v>0</v>
      </c>
      <c r="EI23" s="242">
        <f t="shared" ref="EI23:EJ23" si="5">EI20-EI22</f>
        <v>0</v>
      </c>
      <c r="EJ23" s="242">
        <f t="shared" si="5"/>
        <v>0</v>
      </c>
    </row>
    <row r="24" spans="8:143" ht="16.5" thickBot="1" x14ac:dyDescent="0.3">
      <c r="H24" s="273" t="s">
        <v>107</v>
      </c>
      <c r="I24" s="273"/>
      <c r="J24" s="262">
        <v>136862271</v>
      </c>
      <c r="W24" s="114"/>
      <c r="X24" s="250">
        <v>313646</v>
      </c>
      <c r="Y24" s="114"/>
      <c r="AK24" s="334" t="s">
        <v>154</v>
      </c>
      <c r="AL24" s="323">
        <v>38344563</v>
      </c>
      <c r="AM24" s="324">
        <v>19405837</v>
      </c>
      <c r="BD24" s="641" t="s">
        <v>670</v>
      </c>
      <c r="BE24" s="641"/>
      <c r="BF24" s="641"/>
      <c r="BG24" s="356"/>
      <c r="BH24" s="356"/>
      <c r="BI24" s="356"/>
      <c r="BJ24" s="355">
        <v>61177589</v>
      </c>
      <c r="CC24" s="15">
        <f>CC22-CC23</f>
        <v>0</v>
      </c>
      <c r="CD24" s="15">
        <f>CD22-CD23</f>
        <v>0</v>
      </c>
      <c r="CI24" s="400" t="s">
        <v>291</v>
      </c>
      <c r="CJ24" s="12">
        <v>63141355</v>
      </c>
      <c r="CK24" s="12">
        <v>78222636</v>
      </c>
      <c r="CW24" s="300" t="s">
        <v>326</v>
      </c>
      <c r="CX24" s="622">
        <v>633985</v>
      </c>
      <c r="CY24" s="622">
        <v>644100</v>
      </c>
      <c r="DA24" s="400" t="s">
        <v>349</v>
      </c>
      <c r="DB24" s="236">
        <v>38026217</v>
      </c>
      <c r="DC24" s="236">
        <v>45713709</v>
      </c>
      <c r="DV24" s="15">
        <f>DV22-DV23</f>
        <v>0</v>
      </c>
      <c r="DW24" s="15">
        <f>DW22-DW23</f>
        <v>0</v>
      </c>
      <c r="EH24" s="242">
        <f>SUM(EH9,EH11,EH22)</f>
        <v>164492866</v>
      </c>
      <c r="EI24" s="242">
        <f t="shared" ref="EI24:EJ24" si="6">SUM(EI9,EI11,EI22)</f>
        <v>105968055</v>
      </c>
      <c r="EJ24" s="242">
        <f t="shared" si="6"/>
        <v>58524811</v>
      </c>
    </row>
    <row r="25" spans="8:143" ht="16.5" thickBot="1" x14ac:dyDescent="0.3">
      <c r="H25" s="273"/>
      <c r="I25" s="273"/>
      <c r="J25" s="262">
        <f>SUM(J16:J23)</f>
        <v>136862271</v>
      </c>
      <c r="W25" s="254" t="s">
        <v>133</v>
      </c>
      <c r="X25" s="250">
        <v>834323</v>
      </c>
      <c r="Y25" s="295">
        <v>740036</v>
      </c>
      <c r="AK25" s="339" t="s">
        <v>107</v>
      </c>
      <c r="AL25" s="327">
        <v>131747722</v>
      </c>
      <c r="AM25" s="330">
        <v>89123178</v>
      </c>
      <c r="BD25" s="642" t="s">
        <v>671</v>
      </c>
      <c r="BE25" s="642"/>
      <c r="BF25" s="642"/>
      <c r="BG25" s="356"/>
      <c r="BH25" s="356"/>
      <c r="BI25" s="356"/>
      <c r="BJ25" s="355">
        <v>306513264</v>
      </c>
      <c r="CI25" s="400" t="s">
        <v>73</v>
      </c>
      <c r="CJ25" s="12">
        <v>5429050</v>
      </c>
      <c r="CK25" s="12">
        <v>11081909</v>
      </c>
      <c r="CW25" s="300"/>
      <c r="CX25" s="622"/>
      <c r="CY25" s="622"/>
      <c r="DA25" s="343" t="s">
        <v>350</v>
      </c>
      <c r="DB25" s="239"/>
      <c r="DC25" s="239"/>
      <c r="EH25" s="242">
        <f>EH21-EH24</f>
        <v>0</v>
      </c>
      <c r="EI25" s="242">
        <f t="shared" ref="EI25:EJ25" si="7">EI21-EI24</f>
        <v>0</v>
      </c>
      <c r="EJ25" s="242">
        <f t="shared" si="7"/>
        <v>0</v>
      </c>
    </row>
    <row r="26" spans="8:143" ht="16.5" thickBot="1" x14ac:dyDescent="0.3">
      <c r="H26" s="273"/>
      <c r="I26" s="273"/>
      <c r="J26" s="262">
        <f>J24-J25</f>
        <v>0</v>
      </c>
      <c r="W26" s="273" t="s">
        <v>107</v>
      </c>
      <c r="X26" s="293">
        <v>1621281</v>
      </c>
      <c r="Y26" s="299">
        <v>859526</v>
      </c>
      <c r="AK26" s="338" t="s">
        <v>83</v>
      </c>
      <c r="AL26" s="331">
        <v>153796878</v>
      </c>
      <c r="AM26" s="331">
        <v>98865751</v>
      </c>
      <c r="BG26" s="242">
        <f>SUM(BG3:BG22)</f>
        <v>568344396</v>
      </c>
      <c r="BH26" s="242">
        <f t="shared" ref="BH26:BI26" si="8">SUM(BH3:BH22)</f>
        <v>200653543</v>
      </c>
      <c r="BI26" s="242">
        <f t="shared" si="8"/>
        <v>76094200</v>
      </c>
      <c r="BJ26" s="242">
        <f>SUM(BJ3:BJ22)</f>
        <v>367690853</v>
      </c>
      <c r="CI26" s="21" t="s">
        <v>292</v>
      </c>
      <c r="CJ26" s="12">
        <v>52390</v>
      </c>
      <c r="CK26" s="12">
        <v>43859</v>
      </c>
      <c r="CW26" s="269" t="s">
        <v>327</v>
      </c>
      <c r="CX26" s="239"/>
      <c r="CY26" s="635"/>
      <c r="DA26" s="400" t="s">
        <v>351</v>
      </c>
      <c r="DB26" s="236">
        <v>26000</v>
      </c>
      <c r="DC26" s="87" t="s">
        <v>729</v>
      </c>
    </row>
    <row r="27" spans="8:143" ht="16.5" thickBot="1" x14ac:dyDescent="0.3">
      <c r="H27" s="255" t="s">
        <v>83</v>
      </c>
      <c r="I27" s="254"/>
      <c r="J27" s="35">
        <v>1166377630</v>
      </c>
      <c r="W27" s="255" t="s">
        <v>83</v>
      </c>
      <c r="X27" s="290">
        <v>233988173</v>
      </c>
      <c r="Y27" s="297">
        <v>176667101</v>
      </c>
      <c r="AL27" s="242">
        <f>SUM(AL14:AL24)</f>
        <v>131747722</v>
      </c>
      <c r="AM27" s="242">
        <f>SUM(AM14:AM24)</f>
        <v>89123178</v>
      </c>
      <c r="BG27" s="242">
        <f>BG23-BG26</f>
        <v>0</v>
      </c>
      <c r="BH27" s="242">
        <f t="shared" ref="BH27:BJ27" si="9">BH23-BH26</f>
        <v>0</v>
      </c>
      <c r="BI27" s="242">
        <f t="shared" si="9"/>
        <v>0</v>
      </c>
      <c r="BJ27" s="242">
        <f t="shared" si="9"/>
        <v>0</v>
      </c>
      <c r="CI27" s="22" t="s">
        <v>293</v>
      </c>
      <c r="CJ27" s="416">
        <v>95171201</v>
      </c>
      <c r="CK27" s="416">
        <v>126117088</v>
      </c>
      <c r="CW27" s="300" t="s">
        <v>727</v>
      </c>
      <c r="CX27" s="82">
        <v>800000</v>
      </c>
      <c r="CY27" s="635"/>
      <c r="DA27" s="400" t="s">
        <v>352</v>
      </c>
      <c r="DB27" s="236">
        <v>4655196</v>
      </c>
      <c r="DC27" s="236">
        <v>4270972</v>
      </c>
    </row>
    <row r="28" spans="8:143" ht="16.5" thickBot="1" x14ac:dyDescent="0.3">
      <c r="J28" s="242">
        <f>SUM(J12,J14,J25)</f>
        <v>1166377630</v>
      </c>
      <c r="W28" s="282"/>
      <c r="X28" s="9">
        <f>SUM(X19:X25)</f>
        <v>1621281</v>
      </c>
      <c r="Y28" s="9">
        <f>SUM(Y19:Y25)</f>
        <v>859526</v>
      </c>
      <c r="AL28" s="242">
        <f>AL25-AL27</f>
        <v>0</v>
      </c>
      <c r="AM28" s="242">
        <f>AM25-AM27</f>
        <v>0</v>
      </c>
      <c r="BJ28" s="242">
        <f>BJ26-OLE_LINK19</f>
        <v>306513264</v>
      </c>
      <c r="CI28" s="19" t="s">
        <v>294</v>
      </c>
      <c r="CJ28" s="342">
        <v>124996178</v>
      </c>
      <c r="CK28" s="342">
        <v>161677889</v>
      </c>
      <c r="CW28" s="279" t="s">
        <v>328</v>
      </c>
      <c r="CX28" s="237">
        <v>13386086</v>
      </c>
      <c r="CY28" s="237">
        <v>24997769</v>
      </c>
      <c r="DA28" s="400" t="s">
        <v>353</v>
      </c>
      <c r="DB28" s="236">
        <v>8476584</v>
      </c>
      <c r="DC28" s="236">
        <v>4485335</v>
      </c>
    </row>
    <row r="29" spans="8:143" ht="16.5" thickBot="1" x14ac:dyDescent="0.3">
      <c r="J29" s="242">
        <f>J27-J28</f>
        <v>0</v>
      </c>
      <c r="W29" s="283"/>
      <c r="X29" s="15">
        <f>X26-X28</f>
        <v>0</v>
      </c>
      <c r="Y29" s="15">
        <f>Y26-Y28</f>
        <v>0</v>
      </c>
      <c r="AL29" s="242">
        <f>SUM(AL11,AL27)</f>
        <v>153796878</v>
      </c>
      <c r="AM29" s="242">
        <f>SUM(AM11,AM27)</f>
        <v>98865751</v>
      </c>
      <c r="CJ29" s="15">
        <f>SUM(CJ17:CJ26)</f>
        <v>95171201</v>
      </c>
      <c r="CK29" s="15">
        <f>SUM(CK17:CK26)</f>
        <v>126117088</v>
      </c>
      <c r="CW29" s="19" t="s">
        <v>83</v>
      </c>
      <c r="CX29" s="96">
        <v>328352880</v>
      </c>
      <c r="CY29" s="96">
        <v>327595572</v>
      </c>
      <c r="DA29" s="343" t="s">
        <v>730</v>
      </c>
      <c r="DB29" s="427"/>
      <c r="DC29" s="239"/>
    </row>
    <row r="30" spans="8:143" ht="15.75" x14ac:dyDescent="0.25">
      <c r="W30" s="283"/>
      <c r="X30" s="15">
        <f>SUM(X9,X13,X15,X17,X28)</f>
        <v>233988173</v>
      </c>
      <c r="Y30" s="15">
        <f>SUM(Y9,Y13,Y15,Y17,Y28)</f>
        <v>176667101</v>
      </c>
      <c r="AL30" s="242">
        <f>AL26-AL29</f>
        <v>0</v>
      </c>
      <c r="AM30" s="242">
        <f>AM26-AM29</f>
        <v>0</v>
      </c>
      <c r="CJ30" s="15">
        <f>CJ27-CJ29</f>
        <v>0</v>
      </c>
      <c r="CK30" s="15">
        <f>CK27-CK29</f>
        <v>0</v>
      </c>
      <c r="CX30" s="242">
        <f>SUM(CX4:CX28)</f>
        <v>328352880</v>
      </c>
      <c r="CY30" s="242">
        <f>SUM(CY4:CY28)</f>
        <v>327595572</v>
      </c>
      <c r="DA30" s="400" t="s">
        <v>355</v>
      </c>
      <c r="DB30" s="236">
        <v>1984900</v>
      </c>
      <c r="DC30" s="236">
        <v>998400</v>
      </c>
    </row>
    <row r="31" spans="8:143" ht="15.75" x14ac:dyDescent="0.25">
      <c r="W31" s="283"/>
      <c r="X31" s="15">
        <f>X27-X30</f>
        <v>0</v>
      </c>
      <c r="Y31" s="15">
        <f>Y27-Y30</f>
        <v>0</v>
      </c>
      <c r="CJ31" s="15">
        <f>SUM(CJ14,CJ29)</f>
        <v>124996178</v>
      </c>
      <c r="CK31" s="15">
        <f>SUM(CK14,CK29)</f>
        <v>161677889</v>
      </c>
      <c r="CX31" s="242">
        <f>CX29-CX30</f>
        <v>0</v>
      </c>
      <c r="CY31" s="242">
        <f>CY29-CY30</f>
        <v>0</v>
      </c>
      <c r="DA31" s="343" t="s">
        <v>356</v>
      </c>
      <c r="DB31" s="124"/>
      <c r="DC31" s="124"/>
    </row>
    <row r="32" spans="8:143" ht="15.75" x14ac:dyDescent="0.25">
      <c r="CJ32" s="15">
        <f>CJ28-CJ31</f>
        <v>0</v>
      </c>
      <c r="CK32" s="15">
        <f>CK28-CK31</f>
        <v>0</v>
      </c>
      <c r="DA32" s="400" t="s">
        <v>357</v>
      </c>
      <c r="DB32" s="87" t="s">
        <v>151</v>
      </c>
      <c r="DC32" s="87" t="s">
        <v>151</v>
      </c>
    </row>
    <row r="33" spans="105:107" ht="16.5" thickBot="1" x14ac:dyDescent="0.3">
      <c r="DA33" s="404"/>
      <c r="DB33" s="237">
        <v>1654972</v>
      </c>
      <c r="DC33" s="237">
        <v>1096207</v>
      </c>
    </row>
    <row r="34" spans="105:107" ht="16.5" thickBot="1" x14ac:dyDescent="0.3">
      <c r="DA34" s="344" t="s">
        <v>83</v>
      </c>
      <c r="DB34" s="96">
        <v>268585887</v>
      </c>
      <c r="DC34" s="96">
        <v>213530555</v>
      </c>
    </row>
    <row r="35" spans="105:107" x14ac:dyDescent="0.25">
      <c r="DB35">
        <f>SUM(DB3:DB33)</f>
        <v>268585887</v>
      </c>
      <c r="DC35">
        <f>SUM(DC3:DC33)</f>
        <v>213530555</v>
      </c>
    </row>
    <row r="36" spans="105:107" x14ac:dyDescent="0.25">
      <c r="DB36" s="242">
        <f>DB34-DB35</f>
        <v>0</v>
      </c>
      <c r="DC36" s="242">
        <f>DC34-DC35</f>
        <v>0</v>
      </c>
    </row>
  </sheetData>
  <mergeCells count="20">
    <mergeCell ref="S4:S5"/>
    <mergeCell ref="B1:B2"/>
    <mergeCell ref="BD1:BD2"/>
    <mergeCell ref="CX1:CX2"/>
    <mergeCell ref="CX24:CX25"/>
    <mergeCell ref="BD23:BF23"/>
    <mergeCell ref="BD24:BF24"/>
    <mergeCell ref="BD25:BF25"/>
    <mergeCell ref="BE1:BE2"/>
    <mergeCell ref="BF1:BF2"/>
    <mergeCell ref="BG1:BG2"/>
    <mergeCell ref="BH1:BI1"/>
    <mergeCell ref="BJ1:BJ2"/>
    <mergeCell ref="DY1:DY2"/>
    <mergeCell ref="DZ1:DZ2"/>
    <mergeCell ref="DC17:DC18"/>
    <mergeCell ref="CY24:CY25"/>
    <mergeCell ref="CY26:CY27"/>
    <mergeCell ref="DB1:DB2"/>
    <mergeCell ref="DB17:DB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6"/>
  <sheetViews>
    <sheetView workbookViewId="0">
      <pane xSplit="1" ySplit="2" topLeftCell="J18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defaultRowHeight="15" x14ac:dyDescent="0.25"/>
  <cols>
    <col min="1" max="1" width="8.85546875" style="247"/>
    <col min="2" max="2" width="11" bestFit="1" customWidth="1"/>
    <col min="3" max="3" width="9.7109375" bestFit="1" customWidth="1"/>
    <col min="4" max="4" width="8.28515625" bestFit="1" customWidth="1"/>
    <col min="5" max="5" width="9.7109375" bestFit="1" customWidth="1"/>
    <col min="6" max="6" width="19.42578125" bestFit="1" customWidth="1"/>
    <col min="8" max="8" width="12.28515625" bestFit="1" customWidth="1"/>
    <col min="11" max="11" width="37.7109375" bestFit="1" customWidth="1"/>
    <col min="13" max="13" width="17.85546875" bestFit="1" customWidth="1"/>
    <col min="18" max="18" width="10" bestFit="1" customWidth="1"/>
  </cols>
  <sheetData>
    <row r="1" spans="1:19" ht="14.45" customHeight="1" x14ac:dyDescent="0.25">
      <c r="A1" s="370" t="s">
        <v>96</v>
      </c>
      <c r="B1" s="349" t="s">
        <v>584</v>
      </c>
      <c r="C1" s="363" t="s">
        <v>586</v>
      </c>
      <c r="D1" s="363" t="s">
        <v>587</v>
      </c>
      <c r="E1" s="349" t="s">
        <v>588</v>
      </c>
      <c r="F1" s="363" t="s">
        <v>590</v>
      </c>
      <c r="K1" s="363" t="s">
        <v>592</v>
      </c>
      <c r="L1" s="349" t="s">
        <v>584</v>
      </c>
      <c r="M1" s="363" t="s">
        <v>593</v>
      </c>
      <c r="N1" s="363" t="s">
        <v>587</v>
      </c>
      <c r="O1" s="349" t="s">
        <v>588</v>
      </c>
      <c r="P1" s="363" t="s">
        <v>590</v>
      </c>
    </row>
    <row r="2" spans="1:19" ht="24" x14ac:dyDescent="0.25">
      <c r="A2" s="371"/>
      <c r="B2" s="348" t="s">
        <v>595</v>
      </c>
      <c r="C2" s="364"/>
      <c r="D2" s="364"/>
      <c r="E2" s="348" t="s">
        <v>589</v>
      </c>
      <c r="F2" s="364"/>
      <c r="K2" s="364"/>
      <c r="L2" s="348" t="s">
        <v>585</v>
      </c>
      <c r="M2" s="364"/>
      <c r="N2" s="364"/>
      <c r="O2" s="348" t="s">
        <v>589</v>
      </c>
      <c r="P2" s="364"/>
    </row>
    <row r="3" spans="1:19" x14ac:dyDescent="0.25">
      <c r="A3" s="373" t="s">
        <v>596</v>
      </c>
      <c r="B3" s="359">
        <v>202468515</v>
      </c>
      <c r="C3" s="358"/>
      <c r="D3" s="358"/>
      <c r="E3" s="358"/>
      <c r="F3" s="359">
        <v>202468515</v>
      </c>
      <c r="H3" s="242">
        <f>B3+C3-D3+E3</f>
        <v>202468515</v>
      </c>
      <c r="I3" s="242">
        <f>F3-H3</f>
        <v>0</v>
      </c>
      <c r="K3" s="364"/>
      <c r="L3" s="348"/>
      <c r="M3" s="364"/>
      <c r="N3" s="364"/>
      <c r="O3" s="348"/>
      <c r="P3" s="364"/>
      <c r="R3">
        <f>L3+M3-N3+O3</f>
        <v>0</v>
      </c>
      <c r="S3">
        <f>P3-R3</f>
        <v>0</v>
      </c>
    </row>
    <row r="4" spans="1:19" x14ac:dyDescent="0.25">
      <c r="A4" s="373" t="s">
        <v>597</v>
      </c>
      <c r="B4" s="369">
        <v>99969047</v>
      </c>
      <c r="C4" s="358"/>
      <c r="D4" s="357"/>
      <c r="E4" s="369">
        <v>10999040</v>
      </c>
      <c r="F4" s="369">
        <v>110968087</v>
      </c>
      <c r="H4" s="242">
        <f t="shared" ref="H4:H34" si="0">B4+C4-D4+E4</f>
        <v>110968087</v>
      </c>
      <c r="I4" s="242">
        <f t="shared" ref="I4:I35" si="1">F4-H4</f>
        <v>0</v>
      </c>
      <c r="K4" s="357" t="s">
        <v>597</v>
      </c>
      <c r="L4" s="359">
        <v>43464803</v>
      </c>
      <c r="M4" s="359">
        <v>4855090</v>
      </c>
      <c r="N4" s="358"/>
      <c r="O4" s="359">
        <v>-969755</v>
      </c>
      <c r="P4" s="359">
        <v>47350138</v>
      </c>
      <c r="R4">
        <f t="shared" ref="R4:R34" si="2">L4+M4-N4+O4</f>
        <v>47350138</v>
      </c>
      <c r="S4">
        <f t="shared" ref="S4:S34" si="3">P4-R4</f>
        <v>0</v>
      </c>
    </row>
    <row r="5" spans="1:19" x14ac:dyDescent="0.25">
      <c r="A5" s="373" t="s">
        <v>598</v>
      </c>
      <c r="B5" s="359">
        <v>320837532</v>
      </c>
      <c r="C5" s="358"/>
      <c r="D5" s="358"/>
      <c r="E5" s="359">
        <v>180293950</v>
      </c>
      <c r="F5" s="359">
        <v>501131482</v>
      </c>
      <c r="H5" s="242">
        <f t="shared" si="0"/>
        <v>501131482</v>
      </c>
      <c r="I5" s="242">
        <f t="shared" si="1"/>
        <v>0</v>
      </c>
      <c r="K5" s="357" t="s">
        <v>598</v>
      </c>
      <c r="L5" s="359">
        <v>49658876</v>
      </c>
      <c r="M5" s="437">
        <v>44293404</v>
      </c>
      <c r="N5" s="358"/>
      <c r="O5" s="359">
        <v>12452451</v>
      </c>
      <c r="P5" s="359">
        <v>106404731</v>
      </c>
      <c r="R5">
        <f t="shared" si="2"/>
        <v>106404731</v>
      </c>
      <c r="S5">
        <f t="shared" si="3"/>
        <v>0</v>
      </c>
    </row>
    <row r="6" spans="1:19" x14ac:dyDescent="0.25">
      <c r="A6" s="373" t="s">
        <v>599</v>
      </c>
      <c r="B6" s="369">
        <v>13716034</v>
      </c>
      <c r="C6" s="357"/>
      <c r="D6" s="357"/>
      <c r="E6" s="369">
        <v>5877655</v>
      </c>
      <c r="F6" s="369">
        <v>19593689</v>
      </c>
      <c r="H6" s="242">
        <f t="shared" si="0"/>
        <v>19593689</v>
      </c>
      <c r="I6" s="242">
        <f t="shared" si="1"/>
        <v>0</v>
      </c>
      <c r="K6" s="357" t="s">
        <v>599</v>
      </c>
      <c r="L6" s="369">
        <v>1971234</v>
      </c>
      <c r="M6" s="438">
        <v>783748</v>
      </c>
      <c r="N6" s="357"/>
      <c r="O6" s="369">
        <v>650223</v>
      </c>
      <c r="P6" s="369">
        <v>3405205</v>
      </c>
      <c r="R6">
        <f t="shared" si="2"/>
        <v>3405205</v>
      </c>
      <c r="S6">
        <f t="shared" si="3"/>
        <v>0</v>
      </c>
    </row>
    <row r="7" spans="1:19" x14ac:dyDescent="0.25">
      <c r="A7" s="373" t="s">
        <v>600</v>
      </c>
      <c r="B7" s="359">
        <v>536682</v>
      </c>
      <c r="C7" s="358"/>
      <c r="D7" s="358"/>
      <c r="E7" s="358"/>
      <c r="F7" s="359">
        <v>536682</v>
      </c>
      <c r="H7" s="242">
        <f t="shared" si="0"/>
        <v>536682</v>
      </c>
      <c r="I7" s="242">
        <f t="shared" si="1"/>
        <v>0</v>
      </c>
      <c r="K7" s="357" t="s">
        <v>600</v>
      </c>
      <c r="L7" s="359">
        <v>536682</v>
      </c>
      <c r="M7" s="439"/>
      <c r="N7" s="358"/>
      <c r="O7" s="358"/>
      <c r="P7" s="359">
        <v>536682</v>
      </c>
      <c r="R7">
        <f t="shared" si="2"/>
        <v>536682</v>
      </c>
      <c r="S7">
        <f t="shared" si="3"/>
        <v>0</v>
      </c>
    </row>
    <row r="8" spans="1:19" x14ac:dyDescent="0.25">
      <c r="A8" s="373" t="s">
        <v>601</v>
      </c>
      <c r="B8" s="359">
        <v>2006304</v>
      </c>
      <c r="C8" s="358"/>
      <c r="D8" s="358"/>
      <c r="E8" s="359">
        <v>455309</v>
      </c>
      <c r="F8" s="359">
        <v>2461613</v>
      </c>
      <c r="H8" s="242">
        <f t="shared" si="0"/>
        <v>2461613</v>
      </c>
      <c r="I8" s="242">
        <f t="shared" si="1"/>
        <v>0</v>
      </c>
      <c r="K8" s="357" t="s">
        <v>601</v>
      </c>
      <c r="L8" s="359">
        <v>127900</v>
      </c>
      <c r="M8" s="437">
        <v>238573</v>
      </c>
      <c r="N8" s="358"/>
      <c r="O8" s="358"/>
      <c r="P8" s="359">
        <v>366473</v>
      </c>
      <c r="R8">
        <f t="shared" si="2"/>
        <v>366473</v>
      </c>
      <c r="S8">
        <f t="shared" si="3"/>
        <v>0</v>
      </c>
    </row>
    <row r="9" spans="1:19" x14ac:dyDescent="0.25">
      <c r="A9" s="373" t="s">
        <v>602</v>
      </c>
      <c r="B9" s="359">
        <v>654299</v>
      </c>
      <c r="C9" s="358"/>
      <c r="D9" s="358"/>
      <c r="E9" s="358"/>
      <c r="F9" s="359">
        <v>654299</v>
      </c>
      <c r="H9" s="242">
        <f t="shared" si="0"/>
        <v>654299</v>
      </c>
      <c r="I9" s="242">
        <f t="shared" si="1"/>
        <v>0</v>
      </c>
      <c r="K9" s="357" t="s">
        <v>602</v>
      </c>
      <c r="L9" s="359">
        <v>654299</v>
      </c>
      <c r="M9" s="439"/>
      <c r="N9" s="358"/>
      <c r="O9" s="358"/>
      <c r="P9" s="359">
        <v>654299</v>
      </c>
      <c r="R9">
        <f t="shared" si="2"/>
        <v>654299</v>
      </c>
      <c r="S9">
        <f t="shared" si="3"/>
        <v>0</v>
      </c>
    </row>
    <row r="10" spans="1:19" x14ac:dyDescent="0.25">
      <c r="A10" s="373" t="s">
        <v>603</v>
      </c>
      <c r="B10" s="359">
        <v>14433748</v>
      </c>
      <c r="C10" s="358"/>
      <c r="D10" s="358"/>
      <c r="E10" s="358"/>
      <c r="F10" s="359">
        <v>14433748</v>
      </c>
      <c r="H10" s="242">
        <f t="shared" si="0"/>
        <v>14433748</v>
      </c>
      <c r="I10" s="242">
        <f t="shared" si="1"/>
        <v>0</v>
      </c>
      <c r="K10" s="357" t="s">
        <v>603</v>
      </c>
      <c r="L10" s="359">
        <v>4494113</v>
      </c>
      <c r="M10" s="437">
        <v>638645</v>
      </c>
      <c r="N10" s="358"/>
      <c r="O10" s="358"/>
      <c r="P10" s="359">
        <v>5132758</v>
      </c>
      <c r="R10">
        <f t="shared" si="2"/>
        <v>5132758</v>
      </c>
      <c r="S10">
        <f t="shared" si="3"/>
        <v>0</v>
      </c>
    </row>
    <row r="11" spans="1:19" x14ac:dyDescent="0.25">
      <c r="A11" s="373" t="s">
        <v>604</v>
      </c>
      <c r="B11" s="359">
        <v>237624689</v>
      </c>
      <c r="C11" s="359">
        <v>1828551</v>
      </c>
      <c r="D11" s="358"/>
      <c r="E11" s="359">
        <v>-39944015</v>
      </c>
      <c r="F11" s="359">
        <v>199509225</v>
      </c>
      <c r="H11" s="242">
        <f t="shared" si="0"/>
        <v>199509225</v>
      </c>
      <c r="I11" s="242">
        <f t="shared" si="1"/>
        <v>0</v>
      </c>
      <c r="K11" s="357" t="s">
        <v>604</v>
      </c>
      <c r="L11" s="359">
        <v>54617816</v>
      </c>
      <c r="M11" s="437">
        <v>39821949</v>
      </c>
      <c r="N11" s="358"/>
      <c r="O11" s="359">
        <v>-13527797</v>
      </c>
      <c r="P11" s="359">
        <v>80911968</v>
      </c>
      <c r="R11">
        <f t="shared" si="2"/>
        <v>80911968</v>
      </c>
      <c r="S11">
        <f t="shared" si="3"/>
        <v>0</v>
      </c>
    </row>
    <row r="12" spans="1:19" x14ac:dyDescent="0.25">
      <c r="A12" s="373" t="s">
        <v>605</v>
      </c>
      <c r="B12" s="359">
        <v>547578626</v>
      </c>
      <c r="C12" s="359">
        <v>1858450</v>
      </c>
      <c r="D12" s="358"/>
      <c r="E12" s="359">
        <v>5990529</v>
      </c>
      <c r="F12" s="359">
        <v>555427605</v>
      </c>
      <c r="H12" s="242">
        <f t="shared" si="0"/>
        <v>555427605</v>
      </c>
      <c r="I12" s="242">
        <f t="shared" si="1"/>
        <v>0</v>
      </c>
      <c r="K12" s="357" t="s">
        <v>605</v>
      </c>
      <c r="L12" s="359">
        <v>109744803</v>
      </c>
      <c r="M12" s="440">
        <v>17608002</v>
      </c>
      <c r="N12" s="358"/>
      <c r="O12" s="359">
        <v>-17863</v>
      </c>
      <c r="P12" s="359">
        <v>127334942</v>
      </c>
      <c r="R12">
        <f t="shared" si="2"/>
        <v>127334942</v>
      </c>
      <c r="S12">
        <f t="shared" si="3"/>
        <v>0</v>
      </c>
    </row>
    <row r="13" spans="1:19" x14ac:dyDescent="0.25">
      <c r="A13" s="373" t="s">
        <v>606</v>
      </c>
      <c r="B13" s="359">
        <v>196703966</v>
      </c>
      <c r="C13" s="359">
        <v>15841777</v>
      </c>
      <c r="D13" s="358"/>
      <c r="E13" s="358">
        <v>0</v>
      </c>
      <c r="F13" s="359">
        <v>212545743</v>
      </c>
      <c r="H13" s="242">
        <f t="shared" si="0"/>
        <v>212545743</v>
      </c>
      <c r="I13" s="242">
        <f t="shared" si="1"/>
        <v>0</v>
      </c>
      <c r="K13" s="357" t="s">
        <v>606</v>
      </c>
      <c r="L13" s="359">
        <v>66207428</v>
      </c>
      <c r="M13" s="440">
        <v>6072409</v>
      </c>
      <c r="N13" s="358"/>
      <c r="O13" s="358"/>
      <c r="P13" s="359">
        <v>72279837</v>
      </c>
      <c r="R13">
        <f t="shared" si="2"/>
        <v>72279837</v>
      </c>
      <c r="S13">
        <f t="shared" si="3"/>
        <v>0</v>
      </c>
    </row>
    <row r="14" spans="1:19" x14ac:dyDescent="0.25">
      <c r="A14" s="373" t="s">
        <v>607</v>
      </c>
      <c r="B14" s="359">
        <v>378442251</v>
      </c>
      <c r="C14" s="358"/>
      <c r="D14" s="358"/>
      <c r="E14" s="359">
        <v>2420013</v>
      </c>
      <c r="F14" s="359">
        <v>380862264</v>
      </c>
      <c r="H14" s="242">
        <f t="shared" si="0"/>
        <v>380862264</v>
      </c>
      <c r="I14" s="242">
        <f t="shared" si="1"/>
        <v>0</v>
      </c>
      <c r="K14" s="357" t="s">
        <v>607</v>
      </c>
      <c r="L14" s="359">
        <v>65333586</v>
      </c>
      <c r="M14" s="440">
        <v>12639374</v>
      </c>
      <c r="N14" s="358"/>
      <c r="O14" s="358"/>
      <c r="P14" s="359">
        <v>77972960</v>
      </c>
      <c r="R14">
        <f t="shared" si="2"/>
        <v>77972960</v>
      </c>
      <c r="S14">
        <f t="shared" si="3"/>
        <v>0</v>
      </c>
    </row>
    <row r="15" spans="1:19" x14ac:dyDescent="0.25">
      <c r="A15" s="373" t="s">
        <v>608</v>
      </c>
      <c r="B15" s="359">
        <v>8126934</v>
      </c>
      <c r="C15" s="358"/>
      <c r="D15" s="358"/>
      <c r="E15" s="358">
        <v>0</v>
      </c>
      <c r="F15" s="359">
        <v>8126934</v>
      </c>
      <c r="H15" s="242">
        <f t="shared" si="0"/>
        <v>8126934</v>
      </c>
      <c r="I15" s="242">
        <f t="shared" si="1"/>
        <v>0</v>
      </c>
      <c r="K15" s="357" t="s">
        <v>608</v>
      </c>
      <c r="L15" s="359">
        <v>1203180</v>
      </c>
      <c r="M15" s="440">
        <v>335771</v>
      </c>
      <c r="N15" s="358"/>
      <c r="O15" s="358"/>
      <c r="P15" s="359">
        <v>1538951</v>
      </c>
      <c r="R15">
        <f t="shared" si="2"/>
        <v>1538951</v>
      </c>
      <c r="S15">
        <f t="shared" si="3"/>
        <v>0</v>
      </c>
    </row>
    <row r="16" spans="1:19" x14ac:dyDescent="0.25">
      <c r="A16" s="373" t="s">
        <v>609</v>
      </c>
      <c r="B16" s="359">
        <v>597212609</v>
      </c>
      <c r="C16" s="359">
        <v>11772829</v>
      </c>
      <c r="D16" s="358"/>
      <c r="E16" s="359">
        <v>9814721</v>
      </c>
      <c r="F16" s="359">
        <v>618800159</v>
      </c>
      <c r="H16" s="242">
        <f t="shared" si="0"/>
        <v>618800159</v>
      </c>
      <c r="I16" s="242">
        <f t="shared" si="1"/>
        <v>0</v>
      </c>
      <c r="K16" s="357" t="s">
        <v>609</v>
      </c>
      <c r="L16" s="359">
        <v>108655932</v>
      </c>
      <c r="M16" s="440">
        <v>19593460</v>
      </c>
      <c r="N16" s="358"/>
      <c r="O16" s="359">
        <v>610964</v>
      </c>
      <c r="P16" s="359">
        <v>128860356</v>
      </c>
      <c r="R16">
        <f t="shared" si="2"/>
        <v>128860356</v>
      </c>
      <c r="S16">
        <f t="shared" si="3"/>
        <v>0</v>
      </c>
    </row>
    <row r="17" spans="1:19" x14ac:dyDescent="0.25">
      <c r="A17" s="373" t="s">
        <v>610</v>
      </c>
      <c r="B17" s="359">
        <v>1916013</v>
      </c>
      <c r="C17" s="358"/>
      <c r="D17" s="358"/>
      <c r="E17" s="358">
        <v>0</v>
      </c>
      <c r="F17" s="359">
        <v>1916013</v>
      </c>
      <c r="H17" s="242">
        <f t="shared" si="0"/>
        <v>1916013</v>
      </c>
      <c r="I17" s="242">
        <f t="shared" si="1"/>
        <v>0</v>
      </c>
      <c r="K17" s="357" t="s">
        <v>610</v>
      </c>
      <c r="L17" s="359">
        <v>1820213</v>
      </c>
      <c r="M17" s="439"/>
      <c r="N17" s="358"/>
      <c r="O17" s="358"/>
      <c r="P17" s="359">
        <v>1820213</v>
      </c>
      <c r="R17">
        <f t="shared" si="2"/>
        <v>1820213</v>
      </c>
      <c r="S17">
        <f t="shared" si="3"/>
        <v>0</v>
      </c>
    </row>
    <row r="18" spans="1:19" x14ac:dyDescent="0.25">
      <c r="A18" s="373" t="s">
        <v>611</v>
      </c>
      <c r="B18" s="359">
        <v>66891003</v>
      </c>
      <c r="C18" s="359">
        <v>4272600</v>
      </c>
      <c r="D18" s="358"/>
      <c r="E18" s="359">
        <v>5810750</v>
      </c>
      <c r="F18" s="359">
        <v>76974353</v>
      </c>
      <c r="H18" s="242">
        <f t="shared" si="0"/>
        <v>76974353</v>
      </c>
      <c r="I18" s="242">
        <f t="shared" si="1"/>
        <v>0</v>
      </c>
      <c r="K18" s="357" t="s">
        <v>611</v>
      </c>
      <c r="L18" s="359">
        <v>40869425</v>
      </c>
      <c r="M18" s="437">
        <v>6842388</v>
      </c>
      <c r="N18" s="358"/>
      <c r="O18" s="359">
        <v>158385</v>
      </c>
      <c r="P18" s="359">
        <v>47870198</v>
      </c>
      <c r="R18">
        <f t="shared" si="2"/>
        <v>47870198</v>
      </c>
      <c r="S18">
        <f t="shared" si="3"/>
        <v>0</v>
      </c>
    </row>
    <row r="19" spans="1:19" x14ac:dyDescent="0.25">
      <c r="A19" s="373" t="s">
        <v>612</v>
      </c>
      <c r="B19" s="359">
        <v>221345835</v>
      </c>
      <c r="C19" s="359">
        <v>2487120</v>
      </c>
      <c r="D19" s="358"/>
      <c r="E19" s="359">
        <v>48195028</v>
      </c>
      <c r="F19" s="359">
        <v>272027983</v>
      </c>
      <c r="H19" s="242">
        <f t="shared" si="0"/>
        <v>272027983</v>
      </c>
      <c r="I19" s="242">
        <f t="shared" si="1"/>
        <v>0</v>
      </c>
      <c r="K19" s="357" t="s">
        <v>612</v>
      </c>
      <c r="L19" s="359">
        <v>108571469</v>
      </c>
      <c r="M19" s="437">
        <v>33574214</v>
      </c>
      <c r="N19" s="358"/>
      <c r="O19" s="359">
        <v>1150643</v>
      </c>
      <c r="P19" s="359">
        <v>143296326</v>
      </c>
      <c r="R19">
        <f t="shared" si="2"/>
        <v>143296326</v>
      </c>
      <c r="S19">
        <f t="shared" si="3"/>
        <v>0</v>
      </c>
    </row>
    <row r="20" spans="1:19" x14ac:dyDescent="0.25">
      <c r="A20" s="373" t="s">
        <v>613</v>
      </c>
      <c r="B20" s="359">
        <v>71644129</v>
      </c>
      <c r="C20" s="359">
        <v>1616000</v>
      </c>
      <c r="D20" s="358"/>
      <c r="E20" s="359">
        <v>4868074</v>
      </c>
      <c r="F20" s="359">
        <v>78128203</v>
      </c>
      <c r="H20" s="242">
        <f t="shared" si="0"/>
        <v>78128203</v>
      </c>
      <c r="I20" s="242">
        <f t="shared" si="1"/>
        <v>0</v>
      </c>
      <c r="K20" s="357" t="s">
        <v>613</v>
      </c>
      <c r="L20" s="359">
        <v>22049775</v>
      </c>
      <c r="M20" s="437">
        <v>6567974</v>
      </c>
      <c r="N20" s="358"/>
      <c r="O20" s="358"/>
      <c r="P20" s="359">
        <v>28617749</v>
      </c>
      <c r="R20">
        <f t="shared" si="2"/>
        <v>28617749</v>
      </c>
      <c r="S20">
        <f t="shared" si="3"/>
        <v>0</v>
      </c>
    </row>
    <row r="21" spans="1:19" x14ac:dyDescent="0.25">
      <c r="A21" s="373" t="s">
        <v>614</v>
      </c>
      <c r="B21" s="359">
        <v>41453600</v>
      </c>
      <c r="C21" s="358"/>
      <c r="D21" s="358"/>
      <c r="E21" s="359">
        <v>1500000</v>
      </c>
      <c r="F21" s="359">
        <v>42953600</v>
      </c>
      <c r="H21" s="242">
        <f t="shared" si="0"/>
        <v>42953600</v>
      </c>
      <c r="I21" s="242">
        <f t="shared" si="1"/>
        <v>0</v>
      </c>
      <c r="K21" s="357" t="s">
        <v>614</v>
      </c>
      <c r="L21" s="359">
        <v>15878276</v>
      </c>
      <c r="M21" s="437">
        <v>3223101</v>
      </c>
      <c r="N21" s="358"/>
      <c r="O21" s="359">
        <v>-212800</v>
      </c>
      <c r="P21" s="359">
        <v>18888577</v>
      </c>
      <c r="R21">
        <f t="shared" si="2"/>
        <v>18888577</v>
      </c>
      <c r="S21">
        <f t="shared" si="3"/>
        <v>0</v>
      </c>
    </row>
    <row r="22" spans="1:19" x14ac:dyDescent="0.25">
      <c r="A22" s="373" t="s">
        <v>615</v>
      </c>
      <c r="B22" s="359">
        <v>18679806</v>
      </c>
      <c r="C22" s="358"/>
      <c r="D22" s="358"/>
      <c r="E22" s="359">
        <v>8564770</v>
      </c>
      <c r="F22" s="359">
        <v>27244576</v>
      </c>
      <c r="H22" s="242">
        <f t="shared" si="0"/>
        <v>27244576</v>
      </c>
      <c r="I22" s="242">
        <f t="shared" si="1"/>
        <v>0</v>
      </c>
      <c r="K22" s="357" t="s">
        <v>615</v>
      </c>
      <c r="L22" s="359">
        <v>8054182</v>
      </c>
      <c r="M22" s="437">
        <v>3140805</v>
      </c>
      <c r="N22" s="358"/>
      <c r="O22" s="358">
        <v>-55756</v>
      </c>
      <c r="P22" s="359">
        <v>11139231</v>
      </c>
      <c r="R22">
        <f t="shared" si="2"/>
        <v>11139231</v>
      </c>
      <c r="S22">
        <f t="shared" si="3"/>
        <v>0</v>
      </c>
    </row>
    <row r="23" spans="1:19" x14ac:dyDescent="0.25">
      <c r="A23" s="373" t="s">
        <v>616</v>
      </c>
      <c r="B23" s="359">
        <v>28719680</v>
      </c>
      <c r="C23" s="359">
        <v>411500</v>
      </c>
      <c r="D23" s="358"/>
      <c r="E23" s="359">
        <v>939740</v>
      </c>
      <c r="F23" s="359">
        <v>30070920</v>
      </c>
      <c r="H23" s="242">
        <f t="shared" si="0"/>
        <v>30070920</v>
      </c>
      <c r="I23" s="242">
        <f t="shared" si="1"/>
        <v>0</v>
      </c>
      <c r="K23" s="357" t="s">
        <v>616</v>
      </c>
      <c r="L23" s="359">
        <v>20644138</v>
      </c>
      <c r="M23" s="437">
        <v>2542271</v>
      </c>
      <c r="N23" s="358"/>
      <c r="O23" s="358"/>
      <c r="P23" s="359">
        <v>23186409</v>
      </c>
      <c r="R23">
        <f t="shared" si="2"/>
        <v>23186409</v>
      </c>
      <c r="S23">
        <f t="shared" si="3"/>
        <v>0</v>
      </c>
    </row>
    <row r="24" spans="1:19" x14ac:dyDescent="0.25">
      <c r="A24" s="373" t="s">
        <v>617</v>
      </c>
      <c r="B24" s="359">
        <v>134914210</v>
      </c>
      <c r="C24" s="359">
        <v>1797500</v>
      </c>
      <c r="D24" s="358"/>
      <c r="E24" s="359">
        <v>6709000</v>
      </c>
      <c r="F24" s="359">
        <v>143420710</v>
      </c>
      <c r="H24" s="242">
        <f t="shared" si="0"/>
        <v>143420710</v>
      </c>
      <c r="I24" s="242">
        <f t="shared" si="1"/>
        <v>0</v>
      </c>
      <c r="K24" s="357" t="s">
        <v>617</v>
      </c>
      <c r="L24" s="359">
        <v>37800192</v>
      </c>
      <c r="M24" s="437">
        <v>12679236</v>
      </c>
      <c r="N24" s="358"/>
      <c r="O24" s="359">
        <v>-134638</v>
      </c>
      <c r="P24" s="359">
        <v>50344790</v>
      </c>
      <c r="R24">
        <f t="shared" si="2"/>
        <v>50344790</v>
      </c>
      <c r="S24">
        <f t="shared" si="3"/>
        <v>0</v>
      </c>
    </row>
    <row r="25" spans="1:19" x14ac:dyDescent="0.25">
      <c r="A25" s="373" t="s">
        <v>618</v>
      </c>
      <c r="B25" s="359">
        <v>40800</v>
      </c>
      <c r="C25" s="358"/>
      <c r="D25" s="358"/>
      <c r="E25" s="358"/>
      <c r="F25" s="359">
        <v>40800</v>
      </c>
      <c r="H25" s="242">
        <f t="shared" si="0"/>
        <v>40800</v>
      </c>
      <c r="I25" s="242">
        <f t="shared" si="1"/>
        <v>0</v>
      </c>
      <c r="K25" s="357" t="s">
        <v>618</v>
      </c>
      <c r="L25" s="359">
        <v>15116</v>
      </c>
      <c r="M25" s="437">
        <v>3885</v>
      </c>
      <c r="N25" s="358"/>
      <c r="O25" s="358"/>
      <c r="P25" s="359">
        <v>19001</v>
      </c>
      <c r="R25">
        <f t="shared" si="2"/>
        <v>19001</v>
      </c>
      <c r="S25">
        <f t="shared" si="3"/>
        <v>0</v>
      </c>
    </row>
    <row r="26" spans="1:19" x14ac:dyDescent="0.25">
      <c r="A26" s="373" t="s">
        <v>619</v>
      </c>
      <c r="B26" s="359">
        <v>3420500</v>
      </c>
      <c r="C26" s="359">
        <v>994975</v>
      </c>
      <c r="D26" s="358"/>
      <c r="E26" s="358"/>
      <c r="F26" s="359">
        <v>4415475</v>
      </c>
      <c r="H26" s="242">
        <f t="shared" si="0"/>
        <v>4415475</v>
      </c>
      <c r="I26" s="242">
        <f t="shared" si="1"/>
        <v>0</v>
      </c>
      <c r="K26" s="357" t="s">
        <v>619</v>
      </c>
      <c r="L26" s="359">
        <v>1264716</v>
      </c>
      <c r="M26" s="437">
        <v>330890</v>
      </c>
      <c r="N26" s="358"/>
      <c r="O26" s="358"/>
      <c r="P26" s="359">
        <v>1595606</v>
      </c>
      <c r="R26">
        <f t="shared" si="2"/>
        <v>1595606</v>
      </c>
      <c r="S26">
        <f t="shared" si="3"/>
        <v>0</v>
      </c>
    </row>
    <row r="27" spans="1:19" x14ac:dyDescent="0.25">
      <c r="A27" s="373" t="s">
        <v>620</v>
      </c>
      <c r="B27" s="359">
        <v>61416793</v>
      </c>
      <c r="C27" s="359">
        <v>309555</v>
      </c>
      <c r="D27" s="358"/>
      <c r="E27" s="359">
        <v>2494251</v>
      </c>
      <c r="F27" s="359">
        <v>64220599</v>
      </c>
      <c r="H27" s="242">
        <f t="shared" si="0"/>
        <v>64220599</v>
      </c>
      <c r="I27" s="242">
        <f t="shared" si="1"/>
        <v>0</v>
      </c>
      <c r="K27" s="357" t="s">
        <v>620</v>
      </c>
      <c r="L27" s="359">
        <v>28856841</v>
      </c>
      <c r="M27" s="437">
        <v>4396211</v>
      </c>
      <c r="N27" s="358"/>
      <c r="O27" s="358"/>
      <c r="P27" s="359">
        <v>33253052</v>
      </c>
      <c r="R27">
        <f t="shared" si="2"/>
        <v>33253052</v>
      </c>
      <c r="S27">
        <f t="shared" si="3"/>
        <v>0</v>
      </c>
    </row>
    <row r="28" spans="1:19" x14ac:dyDescent="0.25">
      <c r="A28" s="373" t="s">
        <v>621</v>
      </c>
      <c r="B28" s="359">
        <v>108363313</v>
      </c>
      <c r="C28" s="359">
        <v>2899899</v>
      </c>
      <c r="D28" s="358"/>
      <c r="E28" s="359">
        <v>329397</v>
      </c>
      <c r="F28" s="359">
        <v>111592609</v>
      </c>
      <c r="H28" s="242">
        <f t="shared" si="0"/>
        <v>111592609</v>
      </c>
      <c r="I28" s="242">
        <f t="shared" si="1"/>
        <v>0</v>
      </c>
      <c r="K28" s="357" t="s">
        <v>621</v>
      </c>
      <c r="L28" s="359">
        <v>70820739</v>
      </c>
      <c r="M28" s="440">
        <v>6696329</v>
      </c>
      <c r="N28" s="358"/>
      <c r="O28" s="359">
        <v>3393</v>
      </c>
      <c r="P28" s="359">
        <v>77520461</v>
      </c>
      <c r="R28">
        <f t="shared" si="2"/>
        <v>77520461</v>
      </c>
      <c r="S28">
        <f t="shared" si="3"/>
        <v>0</v>
      </c>
    </row>
    <row r="29" spans="1:19" x14ac:dyDescent="0.25">
      <c r="A29" s="373" t="s">
        <v>622</v>
      </c>
      <c r="B29" s="359">
        <v>2139511</v>
      </c>
      <c r="C29" s="358"/>
      <c r="D29" s="358"/>
      <c r="E29" s="358"/>
      <c r="F29" s="359">
        <v>2139511</v>
      </c>
      <c r="H29" s="242">
        <f t="shared" si="0"/>
        <v>2139511</v>
      </c>
      <c r="I29" s="242">
        <f t="shared" si="1"/>
        <v>0</v>
      </c>
      <c r="K29" s="357" t="s">
        <v>622</v>
      </c>
      <c r="L29" s="359">
        <v>874264</v>
      </c>
      <c r="M29" s="440">
        <v>150174</v>
      </c>
      <c r="N29" s="358"/>
      <c r="O29" s="358"/>
      <c r="P29" s="359">
        <v>1024438</v>
      </c>
      <c r="R29">
        <f t="shared" si="2"/>
        <v>1024438</v>
      </c>
      <c r="S29">
        <f t="shared" si="3"/>
        <v>0</v>
      </c>
    </row>
    <row r="30" spans="1:19" x14ac:dyDescent="0.25">
      <c r="A30" s="373" t="s">
        <v>623</v>
      </c>
      <c r="B30" s="359">
        <v>63750692</v>
      </c>
      <c r="C30" s="359">
        <v>2200079</v>
      </c>
      <c r="D30" s="358"/>
      <c r="E30" s="359">
        <v>249863</v>
      </c>
      <c r="F30" s="359">
        <v>66200634</v>
      </c>
      <c r="H30" s="242">
        <f t="shared" si="0"/>
        <v>66200634</v>
      </c>
      <c r="I30" s="242">
        <f t="shared" si="1"/>
        <v>0</v>
      </c>
      <c r="K30" s="357" t="s">
        <v>623</v>
      </c>
      <c r="L30" s="359">
        <v>29363344</v>
      </c>
      <c r="M30" s="359">
        <v>4237437</v>
      </c>
      <c r="N30" s="358"/>
      <c r="O30" s="358">
        <v>-727</v>
      </c>
      <c r="P30" s="359">
        <v>33600054</v>
      </c>
      <c r="R30">
        <f t="shared" si="2"/>
        <v>33600054</v>
      </c>
      <c r="S30">
        <f t="shared" si="3"/>
        <v>0</v>
      </c>
    </row>
    <row r="31" spans="1:19" x14ac:dyDescent="0.25">
      <c r="A31" s="373" t="s">
        <v>624</v>
      </c>
      <c r="B31" s="359">
        <v>1163880</v>
      </c>
      <c r="C31" s="358"/>
      <c r="D31" s="358"/>
      <c r="E31" s="358"/>
      <c r="F31" s="359">
        <v>1163880</v>
      </c>
      <c r="H31" s="242">
        <f t="shared" si="0"/>
        <v>1163880</v>
      </c>
      <c r="I31" s="242">
        <f t="shared" si="1"/>
        <v>0</v>
      </c>
      <c r="K31" s="357" t="s">
        <v>624</v>
      </c>
      <c r="L31" s="359">
        <v>355039</v>
      </c>
      <c r="M31" s="359">
        <v>74269</v>
      </c>
      <c r="N31" s="358"/>
      <c r="O31" s="358"/>
      <c r="P31" s="359">
        <v>429308</v>
      </c>
      <c r="R31">
        <f t="shared" si="2"/>
        <v>429308</v>
      </c>
      <c r="S31">
        <f t="shared" si="3"/>
        <v>0</v>
      </c>
    </row>
    <row r="32" spans="1:19" x14ac:dyDescent="0.25">
      <c r="A32" s="373" t="s">
        <v>625</v>
      </c>
      <c r="B32" s="358"/>
      <c r="C32" s="359">
        <v>33425815</v>
      </c>
      <c r="D32" s="358"/>
      <c r="E32" s="359">
        <v>-33425815</v>
      </c>
      <c r="F32" s="358"/>
      <c r="H32" s="242">
        <f t="shared" si="0"/>
        <v>0</v>
      </c>
      <c r="I32" s="242">
        <f t="shared" si="1"/>
        <v>0</v>
      </c>
      <c r="K32" s="357" t="s">
        <v>625</v>
      </c>
      <c r="L32" s="358"/>
      <c r="M32" s="358"/>
      <c r="N32" s="358"/>
      <c r="O32" s="358"/>
      <c r="P32" s="358"/>
      <c r="R32">
        <f t="shared" si="2"/>
        <v>0</v>
      </c>
      <c r="S32">
        <f t="shared" si="3"/>
        <v>0</v>
      </c>
    </row>
    <row r="33" spans="1:19" x14ac:dyDescent="0.25">
      <c r="A33" s="373" t="s">
        <v>626</v>
      </c>
      <c r="B33" s="359">
        <v>33038547</v>
      </c>
      <c r="C33" s="359">
        <v>41508694</v>
      </c>
      <c r="D33" s="358"/>
      <c r="E33" s="359">
        <v>-36419457</v>
      </c>
      <c r="F33" s="359">
        <v>38127784</v>
      </c>
      <c r="H33" s="242">
        <f t="shared" si="0"/>
        <v>38127784</v>
      </c>
      <c r="I33" s="242">
        <f t="shared" si="1"/>
        <v>0</v>
      </c>
      <c r="K33" s="357" t="s">
        <v>626</v>
      </c>
      <c r="L33" s="358"/>
      <c r="M33" s="358"/>
      <c r="N33" s="358"/>
      <c r="O33" s="358"/>
      <c r="P33" s="358"/>
      <c r="R33">
        <f t="shared" si="2"/>
        <v>0</v>
      </c>
      <c r="S33">
        <f t="shared" si="3"/>
        <v>0</v>
      </c>
    </row>
    <row r="34" spans="1:19" ht="15.75" thickBot="1" x14ac:dyDescent="0.3">
      <c r="A34" s="374" t="s">
        <v>180</v>
      </c>
      <c r="B34" s="352">
        <v>53828984</v>
      </c>
      <c r="C34" s="352">
        <v>4581800</v>
      </c>
      <c r="D34" s="353"/>
      <c r="E34" s="352">
        <v>-2752608</v>
      </c>
      <c r="F34" s="352">
        <v>55658176</v>
      </c>
      <c r="H34" s="242">
        <f t="shared" si="0"/>
        <v>55658176</v>
      </c>
      <c r="I34" s="242">
        <f t="shared" si="1"/>
        <v>0</v>
      </c>
      <c r="K34" s="351" t="s">
        <v>180</v>
      </c>
      <c r="L34" s="352">
        <v>31992975</v>
      </c>
      <c r="M34" s="352">
        <v>7971882</v>
      </c>
      <c r="N34" s="353"/>
      <c r="O34" s="352">
        <v>-559834</v>
      </c>
      <c r="P34" s="352">
        <v>39405023</v>
      </c>
      <c r="R34">
        <f t="shared" si="2"/>
        <v>39405023</v>
      </c>
      <c r="S34">
        <f t="shared" si="3"/>
        <v>0</v>
      </c>
    </row>
    <row r="35" spans="1:19" ht="15.75" thickBot="1" x14ac:dyDescent="0.3">
      <c r="A35" s="372" t="s">
        <v>83</v>
      </c>
      <c r="B35" s="355">
        <v>3533038532</v>
      </c>
      <c r="C35" s="355">
        <v>127807144</v>
      </c>
      <c r="D35" s="356" t="s">
        <v>563</v>
      </c>
      <c r="E35" s="355">
        <v>182970195</v>
      </c>
      <c r="F35" s="355">
        <v>3843815871</v>
      </c>
      <c r="H35" s="242">
        <f>SUM(H3:H34)</f>
        <v>3843815871</v>
      </c>
      <c r="I35" s="242">
        <f t="shared" si="1"/>
        <v>0</v>
      </c>
      <c r="K35" s="354" t="s">
        <v>83</v>
      </c>
      <c r="L35" s="355">
        <v>925901356</v>
      </c>
      <c r="M35" s="355">
        <v>239311491</v>
      </c>
      <c r="N35" s="356"/>
      <c r="O35" s="355">
        <v>-453111</v>
      </c>
      <c r="P35" s="355">
        <v>1164759736</v>
      </c>
    </row>
    <row r="36" spans="1:19" ht="15.75" thickBot="1" x14ac:dyDescent="0.3">
      <c r="A36" s="288"/>
      <c r="K36" s="354" t="s">
        <v>594</v>
      </c>
      <c r="L36" s="356"/>
      <c r="M36" s="356"/>
      <c r="N36" s="356"/>
      <c r="O36" s="356"/>
      <c r="P36" s="355">
        <v>2679056135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37"/>
  <sheetViews>
    <sheetView workbookViewId="0">
      <pane xSplit="1" ySplit="2" topLeftCell="B300" activePane="bottomRight" state="frozen"/>
      <selection activeCell="A83" sqref="A83"/>
      <selection pane="topRight" activeCell="A83" sqref="A83"/>
      <selection pane="bottomLeft" activeCell="A83" sqref="A83"/>
      <selection pane="bottomRight" activeCell="A83" sqref="A83"/>
    </sheetView>
  </sheetViews>
  <sheetFormatPr defaultColWidth="9.140625" defaultRowHeight="12" x14ac:dyDescent="0.2"/>
  <cols>
    <col min="1" max="1" width="20.42578125" style="442" customWidth="1"/>
    <col min="2" max="4" width="18.7109375" style="446" bestFit="1" customWidth="1"/>
    <col min="5" max="16384" width="9.140625" style="442"/>
  </cols>
  <sheetData>
    <row r="1" spans="1:4" x14ac:dyDescent="0.2">
      <c r="A1" s="644" t="s">
        <v>768</v>
      </c>
      <c r="B1" s="644"/>
      <c r="C1" s="644"/>
      <c r="D1" s="644"/>
    </row>
    <row r="2" spans="1:4" s="443" customFormat="1" ht="24" x14ac:dyDescent="0.25">
      <c r="A2" s="443" t="s">
        <v>79</v>
      </c>
      <c r="B2" s="444" t="s">
        <v>769</v>
      </c>
      <c r="C2" s="445" t="s">
        <v>86</v>
      </c>
      <c r="D2" s="444" t="s">
        <v>770</v>
      </c>
    </row>
    <row r="3" spans="1:4" x14ac:dyDescent="0.2">
      <c r="A3" s="442" t="s">
        <v>2</v>
      </c>
    </row>
    <row r="4" spans="1:4" x14ac:dyDescent="0.2">
      <c r="A4" s="442" t="s">
        <v>523</v>
      </c>
      <c r="B4" s="446">
        <v>3907077</v>
      </c>
      <c r="C4" s="446">
        <f>B4-D4</f>
        <v>-3773</v>
      </c>
      <c r="D4" s="446">
        <v>3910850</v>
      </c>
    </row>
    <row r="5" spans="1:4" x14ac:dyDescent="0.2">
      <c r="A5" s="442" t="s">
        <v>771</v>
      </c>
      <c r="B5" s="446">
        <v>980482427</v>
      </c>
      <c r="C5" s="446">
        <f t="shared" ref="C5:C10" si="0">B5-D5</f>
        <v>141201</v>
      </c>
      <c r="D5" s="446">
        <v>980341226</v>
      </c>
    </row>
    <row r="6" spans="1:4" x14ac:dyDescent="0.2">
      <c r="A6" s="442" t="s">
        <v>772</v>
      </c>
      <c r="B6" s="446">
        <v>6882547</v>
      </c>
      <c r="C6" s="446">
        <f t="shared" si="0"/>
        <v>-2815</v>
      </c>
      <c r="D6" s="446">
        <v>6885362</v>
      </c>
    </row>
    <row r="7" spans="1:4" s="449" customFormat="1" x14ac:dyDescent="0.2">
      <c r="A7" s="447" t="s">
        <v>9</v>
      </c>
      <c r="B7" s="448">
        <f>SUM(B4:B6)</f>
        <v>991272051</v>
      </c>
      <c r="C7" s="448">
        <f>B7-D7</f>
        <v>134613</v>
      </c>
      <c r="D7" s="448">
        <f t="shared" ref="D7" si="1">SUM(D4:D6)</f>
        <v>991137438</v>
      </c>
    </row>
    <row r="8" spans="1:4" x14ac:dyDescent="0.2">
      <c r="A8" s="450" t="s">
        <v>116</v>
      </c>
      <c r="B8" s="446">
        <v>241559872</v>
      </c>
      <c r="C8" s="446">
        <f t="shared" si="0"/>
        <v>0</v>
      </c>
      <c r="D8" s="446">
        <v>241559872</v>
      </c>
    </row>
    <row r="9" spans="1:4" x14ac:dyDescent="0.2">
      <c r="A9" s="450" t="s">
        <v>773</v>
      </c>
      <c r="B9" s="446">
        <v>165600</v>
      </c>
      <c r="C9" s="446">
        <f t="shared" si="0"/>
        <v>0</v>
      </c>
      <c r="D9" s="446">
        <v>165600</v>
      </c>
    </row>
    <row r="10" spans="1:4" x14ac:dyDescent="0.2">
      <c r="A10" s="450" t="s">
        <v>120</v>
      </c>
      <c r="B10" s="446">
        <v>20069146</v>
      </c>
      <c r="C10" s="446">
        <f t="shared" si="0"/>
        <v>0</v>
      </c>
      <c r="D10" s="446">
        <v>20069146</v>
      </c>
    </row>
    <row r="11" spans="1:4" s="449" customFormat="1" x14ac:dyDescent="0.2">
      <c r="A11" s="451" t="s">
        <v>10</v>
      </c>
      <c r="B11" s="448">
        <f>SUM(B8:B10)</f>
        <v>261794618</v>
      </c>
      <c r="C11" s="448">
        <f>B11-D11</f>
        <v>0</v>
      </c>
      <c r="D11" s="448">
        <f t="shared" ref="D11" si="2">SUM(D8:D10)</f>
        <v>261794618</v>
      </c>
    </row>
    <row r="12" spans="1:4" x14ac:dyDescent="0.2">
      <c r="A12" s="450" t="s">
        <v>774</v>
      </c>
      <c r="B12" s="452"/>
      <c r="D12" s="453"/>
    </row>
    <row r="13" spans="1:4" x14ac:dyDescent="0.2">
      <c r="A13" s="454" t="s">
        <v>123</v>
      </c>
      <c r="B13" s="455">
        <v>100622063</v>
      </c>
      <c r="C13" s="446">
        <f t="shared" ref="C13:C16" si="3">B13-D13</f>
        <v>0</v>
      </c>
      <c r="D13" s="456">
        <v>100622063</v>
      </c>
    </row>
    <row r="14" spans="1:4" x14ac:dyDescent="0.2">
      <c r="A14" s="454" t="s">
        <v>124</v>
      </c>
      <c r="B14" s="455">
        <v>62907135</v>
      </c>
      <c r="C14" s="446">
        <f t="shared" si="3"/>
        <v>0</v>
      </c>
      <c r="D14" s="446">
        <v>62907135</v>
      </c>
    </row>
    <row r="15" spans="1:4" x14ac:dyDescent="0.2">
      <c r="A15" s="454" t="s">
        <v>775</v>
      </c>
      <c r="B15" s="455">
        <v>1256111</v>
      </c>
      <c r="C15" s="446">
        <f t="shared" si="3"/>
        <v>0</v>
      </c>
      <c r="D15" s="446">
        <v>1256111</v>
      </c>
    </row>
    <row r="16" spans="1:4" x14ac:dyDescent="0.2">
      <c r="A16" s="454" t="s">
        <v>776</v>
      </c>
      <c r="B16" s="457">
        <v>2192752</v>
      </c>
      <c r="C16" s="446">
        <f t="shared" si="3"/>
        <v>0</v>
      </c>
      <c r="D16" s="446">
        <v>2192752</v>
      </c>
    </row>
    <row r="17" spans="1:4" x14ac:dyDescent="0.2">
      <c r="A17" s="458" t="s">
        <v>107</v>
      </c>
      <c r="B17" s="459">
        <v>166978061</v>
      </c>
      <c r="C17" s="460">
        <f>B17-D17</f>
        <v>0</v>
      </c>
      <c r="D17" s="460">
        <f t="shared" ref="D17" si="4">SUM(D12:D16)</f>
        <v>166978061</v>
      </c>
    </row>
    <row r="18" spans="1:4" x14ac:dyDescent="0.2">
      <c r="A18" s="450" t="s">
        <v>777</v>
      </c>
      <c r="B18" s="455" t="s">
        <v>550</v>
      </c>
    </row>
    <row r="19" spans="1:4" x14ac:dyDescent="0.2">
      <c r="A19" s="461" t="s">
        <v>778</v>
      </c>
      <c r="B19" s="462">
        <v>8682314</v>
      </c>
      <c r="C19" s="463">
        <f>B19-D19</f>
        <v>0</v>
      </c>
      <c r="D19" s="463">
        <v>8682314</v>
      </c>
    </row>
    <row r="20" spans="1:4" x14ac:dyDescent="0.2">
      <c r="A20" s="450" t="s">
        <v>779</v>
      </c>
      <c r="B20" s="464"/>
    </row>
    <row r="21" spans="1:4" x14ac:dyDescent="0.2">
      <c r="A21" s="461" t="s">
        <v>780</v>
      </c>
      <c r="B21" s="462">
        <v>147200</v>
      </c>
      <c r="C21" s="463">
        <f>B21-D21</f>
        <v>0</v>
      </c>
      <c r="D21" s="463">
        <v>147200</v>
      </c>
    </row>
    <row r="22" spans="1:4" x14ac:dyDescent="0.2">
      <c r="A22" s="450" t="s">
        <v>133</v>
      </c>
    </row>
    <row r="23" spans="1:4" x14ac:dyDescent="0.2">
      <c r="A23" s="454" t="s">
        <v>570</v>
      </c>
      <c r="B23" s="455">
        <v>0</v>
      </c>
      <c r="C23" s="446">
        <f t="shared" ref="C23:C26" si="5">B23-D23</f>
        <v>0</v>
      </c>
      <c r="D23" s="446">
        <v>0</v>
      </c>
    </row>
    <row r="24" spans="1:4" x14ac:dyDescent="0.2">
      <c r="A24" s="454" t="s">
        <v>135</v>
      </c>
      <c r="B24" s="455">
        <v>119490</v>
      </c>
      <c r="C24" s="446">
        <f t="shared" si="5"/>
        <v>0</v>
      </c>
      <c r="D24" s="446">
        <v>119490</v>
      </c>
    </row>
    <row r="25" spans="1:4" x14ac:dyDescent="0.2">
      <c r="A25" s="454" t="s">
        <v>781</v>
      </c>
      <c r="B25" s="455"/>
      <c r="C25" s="446">
        <f t="shared" si="5"/>
        <v>0</v>
      </c>
      <c r="D25" s="446">
        <v>0</v>
      </c>
    </row>
    <row r="26" spans="1:4" x14ac:dyDescent="0.2">
      <c r="A26" s="454" t="s">
        <v>133</v>
      </c>
      <c r="B26" s="455">
        <v>576533</v>
      </c>
      <c r="C26" s="446">
        <f t="shared" si="5"/>
        <v>-163503</v>
      </c>
      <c r="D26" s="446">
        <v>740036</v>
      </c>
    </row>
    <row r="27" spans="1:4" x14ac:dyDescent="0.2">
      <c r="A27" s="465" t="s">
        <v>107</v>
      </c>
      <c r="B27" s="460">
        <f>SUM(B23:B26)</f>
        <v>696023</v>
      </c>
      <c r="C27" s="460">
        <f>B27-D27</f>
        <v>-163503</v>
      </c>
      <c r="D27" s="460">
        <f>SUM(D23:D26)</f>
        <v>859526</v>
      </c>
    </row>
    <row r="28" spans="1:4" s="449" customFormat="1" x14ac:dyDescent="0.2">
      <c r="A28" s="451" t="s">
        <v>11</v>
      </c>
      <c r="B28" s="448">
        <f>SUM(B27,B21,B19,B17)</f>
        <v>176503598</v>
      </c>
      <c r="C28" s="448">
        <f>B28-D28</f>
        <v>-163503</v>
      </c>
      <c r="D28" s="448">
        <f>SUM(D27,D21,D19,D17)</f>
        <v>176667101</v>
      </c>
    </row>
    <row r="29" spans="1:4" x14ac:dyDescent="0.2">
      <c r="A29" s="466" t="s">
        <v>573</v>
      </c>
      <c r="D29" s="455"/>
    </row>
    <row r="30" spans="1:4" s="469" customFormat="1" x14ac:dyDescent="0.2">
      <c r="A30" s="467" t="s">
        <v>137</v>
      </c>
      <c r="B30" s="468">
        <v>2763891</v>
      </c>
      <c r="C30" s="446">
        <f t="shared" ref="C30" si="6">B30-D30</f>
        <v>0</v>
      </c>
      <c r="D30" s="457">
        <v>2763891</v>
      </c>
    </row>
    <row r="31" spans="1:4" x14ac:dyDescent="0.2">
      <c r="A31" s="470" t="s">
        <v>574</v>
      </c>
      <c r="B31" s="471"/>
      <c r="D31" s="455"/>
    </row>
    <row r="32" spans="1:4" ht="24" x14ac:dyDescent="0.2">
      <c r="A32" s="472" t="s">
        <v>138</v>
      </c>
      <c r="B32" s="471">
        <v>554619</v>
      </c>
      <c r="C32" s="446">
        <f t="shared" ref="C32:C35" si="7">B32-D32</f>
        <v>7769</v>
      </c>
      <c r="D32" s="473">
        <v>546850</v>
      </c>
    </row>
    <row r="33" spans="1:4" ht="24" x14ac:dyDescent="0.2">
      <c r="A33" s="472" t="s">
        <v>139</v>
      </c>
      <c r="B33" s="471">
        <v>4630001</v>
      </c>
      <c r="C33" s="446">
        <f t="shared" si="7"/>
        <v>10540</v>
      </c>
      <c r="D33" s="473">
        <v>4619461</v>
      </c>
    </row>
    <row r="34" spans="1:4" ht="36" x14ac:dyDescent="0.2">
      <c r="A34" s="472" t="s">
        <v>814</v>
      </c>
      <c r="B34" s="471">
        <v>419825</v>
      </c>
      <c r="C34" s="446">
        <f t="shared" si="7"/>
        <v>0</v>
      </c>
      <c r="D34" s="473">
        <v>419825</v>
      </c>
    </row>
    <row r="35" spans="1:4" ht="24" x14ac:dyDescent="0.2">
      <c r="A35" s="467" t="s">
        <v>815</v>
      </c>
      <c r="B35" s="468">
        <v>1392545</v>
      </c>
      <c r="C35" s="446">
        <f t="shared" si="7"/>
        <v>-1</v>
      </c>
      <c r="D35" s="468">
        <v>1392546</v>
      </c>
    </row>
    <row r="36" spans="1:4" x14ac:dyDescent="0.2">
      <c r="A36" s="474" t="s">
        <v>107</v>
      </c>
      <c r="B36" s="460">
        <f>SUM(B30:B35)</f>
        <v>9760881</v>
      </c>
      <c r="C36" s="460">
        <f>B36-D36</f>
        <v>18308</v>
      </c>
      <c r="D36" s="460">
        <f>SUM(D30:D35)</f>
        <v>9742573</v>
      </c>
    </row>
    <row r="37" spans="1:4" ht="24" x14ac:dyDescent="0.2">
      <c r="A37" s="466" t="s">
        <v>577</v>
      </c>
      <c r="D37" s="455"/>
    </row>
    <row r="38" spans="1:4" ht="24" x14ac:dyDescent="0.2">
      <c r="A38" s="472" t="s">
        <v>144</v>
      </c>
      <c r="B38" s="471">
        <v>7185571</v>
      </c>
      <c r="C38" s="446">
        <f t="shared" ref="C38:C46" si="8">B38-D38</f>
        <v>759273</v>
      </c>
      <c r="D38" s="455">
        <v>6426298</v>
      </c>
    </row>
    <row r="39" spans="1:4" ht="24" x14ac:dyDescent="0.2">
      <c r="A39" s="472" t="s">
        <v>145</v>
      </c>
      <c r="B39" s="471">
        <v>3357580</v>
      </c>
      <c r="C39" s="446">
        <f t="shared" si="8"/>
        <v>384024</v>
      </c>
      <c r="D39" s="455">
        <v>2973556</v>
      </c>
    </row>
    <row r="40" spans="1:4" ht="24" x14ac:dyDescent="0.2">
      <c r="A40" s="472" t="s">
        <v>146</v>
      </c>
      <c r="B40" s="471">
        <v>1796591</v>
      </c>
      <c r="C40" s="446">
        <f t="shared" si="8"/>
        <v>12926</v>
      </c>
      <c r="D40" s="455">
        <v>1783665</v>
      </c>
    </row>
    <row r="41" spans="1:4" ht="24" x14ac:dyDescent="0.2">
      <c r="A41" s="472" t="s">
        <v>147</v>
      </c>
      <c r="B41" s="471">
        <v>6086</v>
      </c>
      <c r="C41" s="446">
        <f t="shared" si="8"/>
        <v>0</v>
      </c>
      <c r="D41" s="455">
        <v>6086</v>
      </c>
    </row>
    <row r="42" spans="1:4" x14ac:dyDescent="0.2">
      <c r="A42" s="472" t="s">
        <v>148</v>
      </c>
      <c r="B42" s="471">
        <v>958910</v>
      </c>
      <c r="C42" s="446">
        <f t="shared" si="8"/>
        <v>0</v>
      </c>
      <c r="D42" s="455">
        <v>958910</v>
      </c>
    </row>
    <row r="43" spans="1:4" ht="24" x14ac:dyDescent="0.2">
      <c r="A43" s="472" t="s">
        <v>149</v>
      </c>
      <c r="B43" s="471">
        <v>23581511</v>
      </c>
      <c r="C43" s="446">
        <f t="shared" si="8"/>
        <v>3054609</v>
      </c>
      <c r="D43" s="455">
        <v>20526902</v>
      </c>
    </row>
    <row r="44" spans="1:4" ht="36" x14ac:dyDescent="0.2">
      <c r="A44" s="472" t="s">
        <v>817</v>
      </c>
      <c r="B44" s="471">
        <v>45568636</v>
      </c>
      <c r="C44" s="446">
        <f t="shared" si="8"/>
        <v>9623993</v>
      </c>
      <c r="D44" s="455">
        <v>35944643</v>
      </c>
    </row>
    <row r="45" spans="1:4" ht="36" x14ac:dyDescent="0.2">
      <c r="A45" s="472" t="s">
        <v>818</v>
      </c>
      <c r="B45" s="471">
        <v>1097281</v>
      </c>
      <c r="C45" s="446">
        <f t="shared" si="8"/>
        <v>0</v>
      </c>
      <c r="D45" s="455">
        <v>1097281</v>
      </c>
    </row>
    <row r="46" spans="1:4" ht="24" x14ac:dyDescent="0.2">
      <c r="A46" s="467" t="s">
        <v>154</v>
      </c>
      <c r="B46" s="468">
        <v>28357336</v>
      </c>
      <c r="C46" s="446">
        <f t="shared" si="8"/>
        <v>8951499</v>
      </c>
      <c r="D46" s="457">
        <v>19405837</v>
      </c>
    </row>
    <row r="47" spans="1:4" x14ac:dyDescent="0.2">
      <c r="A47" s="474" t="s">
        <v>107</v>
      </c>
      <c r="B47" s="460">
        <f>SUM(B38:B46)</f>
        <v>111909502</v>
      </c>
      <c r="C47" s="460">
        <f>B47-D47</f>
        <v>22786324</v>
      </c>
      <c r="D47" s="459">
        <f>SUM(D38:D46)</f>
        <v>89123178</v>
      </c>
    </row>
    <row r="48" spans="1:4" x14ac:dyDescent="0.2">
      <c r="A48" s="475" t="s">
        <v>78</v>
      </c>
      <c r="B48" s="448">
        <f>SUM(B36,B47)</f>
        <v>121670383</v>
      </c>
      <c r="C48" s="448">
        <f>B48-D48</f>
        <v>22804632</v>
      </c>
      <c r="D48" s="476">
        <f>SUM(D36,D47)</f>
        <v>98865751</v>
      </c>
    </row>
    <row r="49" spans="1:4" x14ac:dyDescent="0.2">
      <c r="A49" s="477" t="s">
        <v>157</v>
      </c>
      <c r="D49" s="478"/>
    </row>
    <row r="50" spans="1:4" x14ac:dyDescent="0.2">
      <c r="A50" s="472" t="s">
        <v>578</v>
      </c>
      <c r="B50" s="455">
        <v>25279643</v>
      </c>
      <c r="C50" s="446">
        <f t="shared" ref="C50:C54" si="9">B50-D50</f>
        <v>0</v>
      </c>
      <c r="D50" s="455">
        <v>25279643</v>
      </c>
    </row>
    <row r="51" spans="1:4" x14ac:dyDescent="0.2">
      <c r="A51" s="472" t="s">
        <v>579</v>
      </c>
      <c r="B51" s="455">
        <v>180000</v>
      </c>
      <c r="C51" s="446">
        <f t="shared" si="9"/>
        <v>0</v>
      </c>
      <c r="D51" s="455">
        <v>180000</v>
      </c>
    </row>
    <row r="52" spans="1:4" x14ac:dyDescent="0.2">
      <c r="A52" s="472" t="s">
        <v>580</v>
      </c>
      <c r="B52" s="455">
        <v>556427</v>
      </c>
      <c r="C52" s="446">
        <f t="shared" si="9"/>
        <v>0</v>
      </c>
      <c r="D52" s="455">
        <v>556427</v>
      </c>
    </row>
    <row r="53" spans="1:4" x14ac:dyDescent="0.2">
      <c r="A53" s="472" t="s">
        <v>581</v>
      </c>
      <c r="B53" s="455">
        <v>125174</v>
      </c>
      <c r="C53" s="446">
        <f t="shared" si="9"/>
        <v>0</v>
      </c>
      <c r="D53" s="455">
        <v>125174</v>
      </c>
    </row>
    <row r="54" spans="1:4" x14ac:dyDescent="0.2">
      <c r="A54" s="467" t="s">
        <v>582</v>
      </c>
      <c r="B54" s="455">
        <v>5643314</v>
      </c>
      <c r="C54" s="446">
        <f t="shared" si="9"/>
        <v>0</v>
      </c>
      <c r="D54" s="455">
        <v>5643314</v>
      </c>
    </row>
    <row r="55" spans="1:4" x14ac:dyDescent="0.2">
      <c r="A55" s="474" t="s">
        <v>107</v>
      </c>
      <c r="B55" s="460">
        <f>SUM(B50:B54)</f>
        <v>31784558</v>
      </c>
      <c r="C55" s="460">
        <f>B55-D55</f>
        <v>0</v>
      </c>
      <c r="D55" s="460">
        <f>SUM(D50:D54)</f>
        <v>31784558</v>
      </c>
    </row>
    <row r="56" spans="1:4" x14ac:dyDescent="0.2">
      <c r="A56" s="466" t="s">
        <v>164</v>
      </c>
      <c r="D56" s="478"/>
    </row>
    <row r="57" spans="1:4" ht="24" x14ac:dyDescent="0.2">
      <c r="A57" s="467" t="s">
        <v>583</v>
      </c>
      <c r="B57" s="479">
        <v>762394</v>
      </c>
      <c r="C57" s="446">
        <f t="shared" ref="C57" si="10">B57-D57</f>
        <v>0</v>
      </c>
      <c r="D57" s="455">
        <v>762394</v>
      </c>
    </row>
    <row r="58" spans="1:4" x14ac:dyDescent="0.2">
      <c r="A58" s="480" t="s">
        <v>12</v>
      </c>
      <c r="B58" s="448">
        <f>SUM(B55:B57)</f>
        <v>32546952</v>
      </c>
      <c r="C58" s="448">
        <f>B58-D58</f>
        <v>0</v>
      </c>
      <c r="D58" s="448">
        <f>SUM(D55:D57)</f>
        <v>32546952</v>
      </c>
    </row>
    <row r="59" spans="1:4" x14ac:dyDescent="0.2">
      <c r="A59" s="441" t="s">
        <v>13</v>
      </c>
      <c r="B59" s="481"/>
      <c r="C59" s="481"/>
      <c r="D59" s="481"/>
    </row>
    <row r="60" spans="1:4" x14ac:dyDescent="0.2">
      <c r="A60" s="482" t="s">
        <v>591</v>
      </c>
      <c r="B60" s="463">
        <v>9942796</v>
      </c>
      <c r="C60" s="463">
        <f t="shared" ref="C60:C121" si="11">B60-D60</f>
        <v>0</v>
      </c>
      <c r="D60" s="483">
        <v>9942796</v>
      </c>
    </row>
    <row r="61" spans="1:4" x14ac:dyDescent="0.2">
      <c r="A61" s="484" t="s">
        <v>596</v>
      </c>
      <c r="B61" s="468">
        <v>202468515</v>
      </c>
      <c r="C61" s="446">
        <f t="shared" si="11"/>
        <v>202468515</v>
      </c>
    </row>
    <row r="62" spans="1:4" x14ac:dyDescent="0.2">
      <c r="A62" s="485" t="s">
        <v>597</v>
      </c>
      <c r="B62" s="471">
        <v>99969047</v>
      </c>
      <c r="C62" s="446">
        <f t="shared" si="11"/>
        <v>99969047</v>
      </c>
    </row>
    <row r="63" spans="1:4" x14ac:dyDescent="0.2">
      <c r="A63" s="485" t="s">
        <v>783</v>
      </c>
      <c r="B63" s="471">
        <v>-43464803</v>
      </c>
      <c r="C63" s="446">
        <f t="shared" si="11"/>
        <v>-43464803</v>
      </c>
    </row>
    <row r="64" spans="1:4" x14ac:dyDescent="0.2">
      <c r="A64" s="485" t="s">
        <v>598</v>
      </c>
      <c r="B64" s="471">
        <v>320837532</v>
      </c>
      <c r="C64" s="446">
        <f t="shared" si="11"/>
        <v>320837532</v>
      </c>
    </row>
    <row r="65" spans="1:4" x14ac:dyDescent="0.2">
      <c r="A65" s="485" t="s">
        <v>784</v>
      </c>
      <c r="B65" s="486">
        <v>-49658876</v>
      </c>
      <c r="C65" s="446">
        <f t="shared" si="11"/>
        <v>-59146416</v>
      </c>
      <c r="D65" s="446">
        <v>9487540</v>
      </c>
    </row>
    <row r="66" spans="1:4" x14ac:dyDescent="0.2">
      <c r="A66" s="485" t="s">
        <v>782</v>
      </c>
      <c r="B66" s="471">
        <v>13716034</v>
      </c>
      <c r="C66" s="446">
        <f t="shared" si="11"/>
        <v>13716034</v>
      </c>
    </row>
    <row r="67" spans="1:4" x14ac:dyDescent="0.2">
      <c r="A67" s="485" t="s">
        <v>785</v>
      </c>
      <c r="B67" s="486">
        <v>-1971234</v>
      </c>
      <c r="C67" s="446">
        <f t="shared" si="11"/>
        <v>-1971234</v>
      </c>
    </row>
    <row r="68" spans="1:4" x14ac:dyDescent="0.2">
      <c r="A68" s="485" t="s">
        <v>600</v>
      </c>
      <c r="B68" s="471">
        <v>536682</v>
      </c>
      <c r="C68" s="446">
        <f t="shared" si="11"/>
        <v>536682</v>
      </c>
    </row>
    <row r="69" spans="1:4" x14ac:dyDescent="0.2">
      <c r="A69" s="485" t="s">
        <v>786</v>
      </c>
      <c r="B69" s="486">
        <v>-536682</v>
      </c>
      <c r="C69" s="446">
        <f t="shared" si="11"/>
        <v>-536682</v>
      </c>
    </row>
    <row r="70" spans="1:4" x14ac:dyDescent="0.2">
      <c r="A70" s="485" t="s">
        <v>601</v>
      </c>
      <c r="B70" s="471">
        <v>2006304</v>
      </c>
      <c r="C70" s="446">
        <f t="shared" si="11"/>
        <v>2006304</v>
      </c>
    </row>
    <row r="71" spans="1:4" x14ac:dyDescent="0.2">
      <c r="A71" s="485" t="s">
        <v>787</v>
      </c>
      <c r="B71" s="486">
        <v>-127900</v>
      </c>
      <c r="C71" s="446">
        <f t="shared" si="11"/>
        <v>-127900</v>
      </c>
    </row>
    <row r="72" spans="1:4" x14ac:dyDescent="0.2">
      <c r="A72" s="485" t="s">
        <v>602</v>
      </c>
      <c r="B72" s="471">
        <v>654299</v>
      </c>
      <c r="C72" s="446">
        <f t="shared" si="11"/>
        <v>654299</v>
      </c>
    </row>
    <row r="73" spans="1:4" x14ac:dyDescent="0.2">
      <c r="A73" s="485" t="s">
        <v>788</v>
      </c>
      <c r="B73" s="486">
        <v>-654299</v>
      </c>
      <c r="C73" s="446">
        <f t="shared" si="11"/>
        <v>-654299</v>
      </c>
    </row>
    <row r="74" spans="1:4" x14ac:dyDescent="0.2">
      <c r="A74" s="485" t="s">
        <v>603</v>
      </c>
      <c r="B74" s="471">
        <v>14433748</v>
      </c>
      <c r="C74" s="446">
        <f t="shared" si="11"/>
        <v>14433748</v>
      </c>
    </row>
    <row r="75" spans="1:4" x14ac:dyDescent="0.2">
      <c r="A75" s="485" t="s">
        <v>789</v>
      </c>
      <c r="B75" s="486">
        <v>-4494113</v>
      </c>
      <c r="C75" s="446">
        <f t="shared" si="11"/>
        <v>-4494113</v>
      </c>
    </row>
    <row r="76" spans="1:4" x14ac:dyDescent="0.2">
      <c r="A76" s="485" t="s">
        <v>604</v>
      </c>
      <c r="B76" s="471">
        <v>237624689</v>
      </c>
      <c r="C76" s="446">
        <f t="shared" si="11"/>
        <v>237624689</v>
      </c>
    </row>
    <row r="77" spans="1:4" x14ac:dyDescent="0.2">
      <c r="A77" s="485" t="s">
        <v>790</v>
      </c>
      <c r="B77" s="486">
        <v>-54617816</v>
      </c>
      <c r="C77" s="446">
        <f t="shared" si="11"/>
        <v>-54617816</v>
      </c>
    </row>
    <row r="78" spans="1:4" x14ac:dyDescent="0.2">
      <c r="A78" s="485" t="s">
        <v>605</v>
      </c>
      <c r="B78" s="471">
        <v>547578626</v>
      </c>
      <c r="C78" s="446">
        <f t="shared" si="11"/>
        <v>547578626</v>
      </c>
    </row>
    <row r="79" spans="1:4" x14ac:dyDescent="0.2">
      <c r="A79" s="485" t="s">
        <v>791</v>
      </c>
      <c r="B79" s="486">
        <v>-109744803</v>
      </c>
      <c r="C79" s="446">
        <f t="shared" si="11"/>
        <v>-109744803</v>
      </c>
    </row>
    <row r="80" spans="1:4" x14ac:dyDescent="0.2">
      <c r="A80" s="485" t="s">
        <v>606</v>
      </c>
      <c r="B80" s="471">
        <v>196703966</v>
      </c>
      <c r="C80" s="446">
        <f t="shared" si="11"/>
        <v>196703966</v>
      </c>
    </row>
    <row r="81" spans="1:4" x14ac:dyDescent="0.2">
      <c r="A81" s="485" t="s">
        <v>792</v>
      </c>
      <c r="B81" s="486">
        <v>-66207428</v>
      </c>
      <c r="C81" s="446">
        <f t="shared" si="11"/>
        <v>-66207428</v>
      </c>
    </row>
    <row r="82" spans="1:4" x14ac:dyDescent="0.2">
      <c r="A82" s="485" t="s">
        <v>607</v>
      </c>
      <c r="B82" s="471">
        <v>378442251</v>
      </c>
      <c r="C82" s="446">
        <f t="shared" si="11"/>
        <v>378442251</v>
      </c>
    </row>
    <row r="83" spans="1:4" x14ac:dyDescent="0.2">
      <c r="A83" s="485" t="s">
        <v>793</v>
      </c>
      <c r="B83" s="486">
        <v>-65333586</v>
      </c>
      <c r="C83" s="446">
        <f t="shared" si="11"/>
        <v>-65333586</v>
      </c>
    </row>
    <row r="84" spans="1:4" x14ac:dyDescent="0.2">
      <c r="A84" s="485" t="s">
        <v>608</v>
      </c>
      <c r="B84" s="471">
        <v>8126934</v>
      </c>
      <c r="C84" s="446">
        <f t="shared" si="11"/>
        <v>8126934</v>
      </c>
    </row>
    <row r="85" spans="1:4" x14ac:dyDescent="0.2">
      <c r="A85" s="485" t="s">
        <v>794</v>
      </c>
      <c r="B85" s="486">
        <v>-1203180</v>
      </c>
      <c r="C85" s="446">
        <f t="shared" si="11"/>
        <v>-1203180</v>
      </c>
    </row>
    <row r="86" spans="1:4" x14ac:dyDescent="0.2">
      <c r="A86" s="485" t="s">
        <v>609</v>
      </c>
      <c r="B86" s="471">
        <v>597212609</v>
      </c>
      <c r="C86" s="446">
        <f t="shared" si="11"/>
        <v>597212609</v>
      </c>
    </row>
    <row r="87" spans="1:4" x14ac:dyDescent="0.2">
      <c r="A87" s="485" t="s">
        <v>795</v>
      </c>
      <c r="B87" s="486">
        <v>-108655932</v>
      </c>
      <c r="C87" s="446">
        <f t="shared" si="11"/>
        <v>-109785347</v>
      </c>
      <c r="D87" s="446">
        <v>1129415</v>
      </c>
    </row>
    <row r="88" spans="1:4" x14ac:dyDescent="0.2">
      <c r="A88" s="485" t="s">
        <v>610</v>
      </c>
      <c r="B88" s="471">
        <v>1916013</v>
      </c>
      <c r="C88" s="446">
        <f t="shared" si="11"/>
        <v>1916013</v>
      </c>
    </row>
    <row r="89" spans="1:4" x14ac:dyDescent="0.2">
      <c r="A89" s="485" t="s">
        <v>796</v>
      </c>
      <c r="B89" s="486">
        <v>-1820213</v>
      </c>
      <c r="C89" s="446">
        <f t="shared" si="11"/>
        <v>-1820213</v>
      </c>
    </row>
    <row r="90" spans="1:4" x14ac:dyDescent="0.2">
      <c r="A90" s="485" t="s">
        <v>611</v>
      </c>
      <c r="B90" s="471">
        <v>66891003</v>
      </c>
      <c r="C90" s="446">
        <f t="shared" si="11"/>
        <v>66891003</v>
      </c>
    </row>
    <row r="91" spans="1:4" x14ac:dyDescent="0.2">
      <c r="A91" s="485" t="s">
        <v>797</v>
      </c>
      <c r="B91" s="471">
        <v>-40869425</v>
      </c>
      <c r="C91" s="446">
        <f t="shared" si="11"/>
        <v>-40920901</v>
      </c>
      <c r="D91" s="446">
        <v>51476</v>
      </c>
    </row>
    <row r="92" spans="1:4" x14ac:dyDescent="0.2">
      <c r="A92" s="485" t="s">
        <v>612</v>
      </c>
      <c r="B92" s="471">
        <v>221345835</v>
      </c>
      <c r="C92" s="446">
        <f t="shared" si="11"/>
        <v>221345835</v>
      </c>
    </row>
    <row r="93" spans="1:4" x14ac:dyDescent="0.2">
      <c r="A93" s="485" t="s">
        <v>798</v>
      </c>
      <c r="B93" s="486">
        <v>-108571469</v>
      </c>
      <c r="C93" s="446">
        <f t="shared" si="11"/>
        <v>-109722112</v>
      </c>
      <c r="D93" s="446">
        <v>1150643</v>
      </c>
    </row>
    <row r="94" spans="1:4" x14ac:dyDescent="0.2">
      <c r="A94" s="485" t="s">
        <v>613</v>
      </c>
      <c r="B94" s="471">
        <v>71644129</v>
      </c>
      <c r="C94" s="446">
        <f t="shared" si="11"/>
        <v>71644129</v>
      </c>
    </row>
    <row r="95" spans="1:4" x14ac:dyDescent="0.2">
      <c r="A95" s="485" t="s">
        <v>799</v>
      </c>
      <c r="B95" s="486">
        <v>-22049775</v>
      </c>
      <c r="C95" s="446">
        <f t="shared" si="11"/>
        <v>-22049775</v>
      </c>
    </row>
    <row r="96" spans="1:4" x14ac:dyDescent="0.2">
      <c r="A96" s="485" t="s">
        <v>614</v>
      </c>
      <c r="B96" s="471">
        <v>41453600</v>
      </c>
      <c r="C96" s="446">
        <f t="shared" si="11"/>
        <v>41453600</v>
      </c>
    </row>
    <row r="97" spans="1:4" x14ac:dyDescent="0.2">
      <c r="A97" s="485" t="s">
        <v>800</v>
      </c>
      <c r="B97" s="471">
        <v>-15878276</v>
      </c>
      <c r="C97" s="446">
        <f t="shared" si="11"/>
        <v>-15838376</v>
      </c>
      <c r="D97" s="446">
        <v>-39900</v>
      </c>
    </row>
    <row r="98" spans="1:4" x14ac:dyDescent="0.2">
      <c r="A98" s="485" t="s">
        <v>615</v>
      </c>
      <c r="B98" s="471">
        <v>18679806</v>
      </c>
      <c r="C98" s="446">
        <f t="shared" si="11"/>
        <v>18679806</v>
      </c>
    </row>
    <row r="99" spans="1:4" x14ac:dyDescent="0.2">
      <c r="A99" s="485" t="s">
        <v>801</v>
      </c>
      <c r="B99" s="486">
        <v>-8054182</v>
      </c>
      <c r="C99" s="446">
        <f t="shared" si="11"/>
        <v>-8054182</v>
      </c>
    </row>
    <row r="100" spans="1:4" x14ac:dyDescent="0.2">
      <c r="A100" s="485" t="s">
        <v>616</v>
      </c>
      <c r="B100" s="471">
        <v>28719680</v>
      </c>
      <c r="C100" s="446">
        <f t="shared" si="11"/>
        <v>28719680</v>
      </c>
    </row>
    <row r="101" spans="1:4" x14ac:dyDescent="0.2">
      <c r="A101" s="485" t="s">
        <v>802</v>
      </c>
      <c r="B101" s="486">
        <v>-20644138</v>
      </c>
      <c r="C101" s="446">
        <f t="shared" si="11"/>
        <v>-20644138</v>
      </c>
    </row>
    <row r="102" spans="1:4" x14ac:dyDescent="0.2">
      <c r="A102" s="485" t="s">
        <v>617</v>
      </c>
      <c r="B102" s="471">
        <v>134914210</v>
      </c>
      <c r="C102" s="446">
        <f t="shared" si="11"/>
        <v>134914210</v>
      </c>
    </row>
    <row r="103" spans="1:4" x14ac:dyDescent="0.2">
      <c r="A103" s="485" t="s">
        <v>803</v>
      </c>
      <c r="B103" s="486">
        <v>-37800192</v>
      </c>
      <c r="C103" s="446">
        <f t="shared" si="11"/>
        <v>-37800192</v>
      </c>
    </row>
    <row r="104" spans="1:4" x14ac:dyDescent="0.2">
      <c r="A104" s="485" t="s">
        <v>618</v>
      </c>
      <c r="B104" s="471">
        <v>40800</v>
      </c>
      <c r="C104" s="446">
        <f t="shared" si="11"/>
        <v>40800</v>
      </c>
    </row>
    <row r="105" spans="1:4" x14ac:dyDescent="0.2">
      <c r="A105" s="485" t="s">
        <v>804</v>
      </c>
      <c r="B105" s="486">
        <v>-15116</v>
      </c>
      <c r="C105" s="446">
        <f t="shared" si="11"/>
        <v>-15116</v>
      </c>
    </row>
    <row r="106" spans="1:4" x14ac:dyDescent="0.2">
      <c r="A106" s="485" t="s">
        <v>619</v>
      </c>
      <c r="B106" s="471">
        <v>3420500</v>
      </c>
      <c r="C106" s="446">
        <f t="shared" si="11"/>
        <v>3420500</v>
      </c>
    </row>
    <row r="107" spans="1:4" x14ac:dyDescent="0.2">
      <c r="A107" s="485" t="s">
        <v>805</v>
      </c>
      <c r="B107" s="486">
        <v>-1264716</v>
      </c>
      <c r="C107" s="446">
        <f t="shared" si="11"/>
        <v>-1264716</v>
      </c>
    </row>
    <row r="108" spans="1:4" x14ac:dyDescent="0.2">
      <c r="A108" s="485" t="s">
        <v>620</v>
      </c>
      <c r="B108" s="471">
        <v>61416793</v>
      </c>
      <c r="C108" s="446">
        <f t="shared" si="11"/>
        <v>61416793</v>
      </c>
    </row>
    <row r="109" spans="1:4" x14ac:dyDescent="0.2">
      <c r="A109" s="485" t="s">
        <v>806</v>
      </c>
      <c r="B109" s="486">
        <v>-28856841</v>
      </c>
      <c r="C109" s="446">
        <f t="shared" si="11"/>
        <v>-28856841</v>
      </c>
    </row>
    <row r="110" spans="1:4" x14ac:dyDescent="0.2">
      <c r="A110" s="485" t="s">
        <v>621</v>
      </c>
      <c r="B110" s="471">
        <v>108363313</v>
      </c>
      <c r="C110" s="446">
        <f t="shared" si="11"/>
        <v>108363313</v>
      </c>
    </row>
    <row r="111" spans="1:4" x14ac:dyDescent="0.2">
      <c r="A111" s="485" t="s">
        <v>807</v>
      </c>
      <c r="B111" s="486">
        <v>-70820739</v>
      </c>
      <c r="C111" s="446">
        <f t="shared" si="11"/>
        <v>-70824131</v>
      </c>
      <c r="D111" s="446">
        <v>3392</v>
      </c>
    </row>
    <row r="112" spans="1:4" x14ac:dyDescent="0.2">
      <c r="A112" s="485" t="s">
        <v>622</v>
      </c>
      <c r="B112" s="471">
        <v>2139511</v>
      </c>
      <c r="C112" s="446">
        <f t="shared" si="11"/>
        <v>2139511</v>
      </c>
    </row>
    <row r="113" spans="1:4" x14ac:dyDescent="0.2">
      <c r="A113" s="485" t="s">
        <v>808</v>
      </c>
      <c r="B113" s="486">
        <v>-874264</v>
      </c>
      <c r="C113" s="446">
        <f t="shared" si="11"/>
        <v>-874264</v>
      </c>
    </row>
    <row r="114" spans="1:4" x14ac:dyDescent="0.2">
      <c r="A114" s="485" t="s">
        <v>623</v>
      </c>
      <c r="B114" s="471">
        <v>63750692</v>
      </c>
      <c r="C114" s="446">
        <f t="shared" si="11"/>
        <v>63750692</v>
      </c>
    </row>
    <row r="115" spans="1:4" x14ac:dyDescent="0.2">
      <c r="A115" s="485" t="s">
        <v>809</v>
      </c>
      <c r="B115" s="486">
        <v>-29363344</v>
      </c>
      <c r="C115" s="446">
        <f t="shared" si="11"/>
        <v>-29363344</v>
      </c>
    </row>
    <row r="116" spans="1:4" x14ac:dyDescent="0.2">
      <c r="A116" s="485" t="s">
        <v>624</v>
      </c>
      <c r="B116" s="471">
        <v>1163880</v>
      </c>
      <c r="C116" s="446">
        <f t="shared" si="11"/>
        <v>1163880</v>
      </c>
    </row>
    <row r="117" spans="1:4" x14ac:dyDescent="0.2">
      <c r="A117" s="485" t="s">
        <v>810</v>
      </c>
      <c r="B117" s="486">
        <v>-355039</v>
      </c>
      <c r="C117" s="446">
        <f t="shared" si="11"/>
        <v>-355039</v>
      </c>
    </row>
    <row r="118" spans="1:4" x14ac:dyDescent="0.2">
      <c r="A118" s="485" t="s">
        <v>625</v>
      </c>
      <c r="B118" s="471">
        <v>0</v>
      </c>
      <c r="C118" s="446">
        <f t="shared" si="11"/>
        <v>0</v>
      </c>
    </row>
    <row r="119" spans="1:4" x14ac:dyDescent="0.2">
      <c r="A119" s="485" t="s">
        <v>626</v>
      </c>
      <c r="B119" s="471">
        <v>33038547</v>
      </c>
      <c r="C119" s="446">
        <f t="shared" si="11"/>
        <v>33038547</v>
      </c>
    </row>
    <row r="120" spans="1:4" x14ac:dyDescent="0.2">
      <c r="A120" s="484" t="s">
        <v>180</v>
      </c>
      <c r="B120" s="468">
        <v>53828984</v>
      </c>
      <c r="C120" s="446">
        <f t="shared" si="11"/>
        <v>53828984</v>
      </c>
    </row>
    <row r="121" spans="1:4" x14ac:dyDescent="0.2">
      <c r="A121" s="484" t="s">
        <v>811</v>
      </c>
      <c r="B121" s="486">
        <v>-31992975</v>
      </c>
      <c r="C121" s="446">
        <f t="shared" si="11"/>
        <v>-31992975</v>
      </c>
    </row>
    <row r="122" spans="1:4" x14ac:dyDescent="0.2">
      <c r="A122" s="480" t="s">
        <v>14</v>
      </c>
      <c r="B122" s="476">
        <f>SUM(B61:B121)</f>
        <v>2607137176</v>
      </c>
      <c r="C122" s="448">
        <f>B122-D122</f>
        <v>2595354610</v>
      </c>
      <c r="D122" s="476">
        <f>SUM(D61:D121)</f>
        <v>11782566</v>
      </c>
    </row>
    <row r="123" spans="1:4" x14ac:dyDescent="0.2">
      <c r="A123" s="487" t="s">
        <v>15</v>
      </c>
      <c r="D123" s="479"/>
    </row>
    <row r="124" spans="1:4" x14ac:dyDescent="0.2">
      <c r="A124" s="488" t="s">
        <v>186</v>
      </c>
      <c r="B124" s="489">
        <v>13553776</v>
      </c>
      <c r="C124" s="446">
        <f t="shared" ref="C124" si="12">B124-D124</f>
        <v>0</v>
      </c>
      <c r="D124" s="489">
        <v>13553776</v>
      </c>
    </row>
    <row r="125" spans="1:4" ht="12.75" thickBot="1" x14ac:dyDescent="0.25">
      <c r="A125" s="490" t="s">
        <v>76</v>
      </c>
      <c r="B125" s="491">
        <f>SUM(B7,B11,B28,B48,B58,B60,B122,B124)</f>
        <v>4214421350</v>
      </c>
      <c r="C125" s="492">
        <f>B125-D125</f>
        <v>2618130352</v>
      </c>
      <c r="D125" s="491">
        <f>SUM(D7,D11,D28,D48,D58,D60,D122,D124)</f>
        <v>1596290998</v>
      </c>
    </row>
    <row r="126" spans="1:4" ht="12.75" thickTop="1" x14ac:dyDescent="0.2">
      <c r="A126" s="493"/>
      <c r="B126" s="494"/>
      <c r="C126" s="456"/>
      <c r="D126" s="494"/>
    </row>
    <row r="127" spans="1:4" x14ac:dyDescent="0.2">
      <c r="A127" s="493" t="s">
        <v>17</v>
      </c>
      <c r="B127" s="494"/>
      <c r="C127" s="456"/>
      <c r="D127" s="494"/>
    </row>
    <row r="128" spans="1:4" x14ac:dyDescent="0.2">
      <c r="A128" s="466" t="s">
        <v>627</v>
      </c>
      <c r="D128" s="455"/>
    </row>
    <row r="129" spans="1:4" x14ac:dyDescent="0.2">
      <c r="A129" s="472" t="s">
        <v>628</v>
      </c>
      <c r="B129" s="455">
        <v>217383408</v>
      </c>
      <c r="C129" s="446">
        <f t="shared" ref="C129:C134" si="13">B129-D129</f>
        <v>458184</v>
      </c>
      <c r="D129" s="455">
        <v>216925224</v>
      </c>
    </row>
    <row r="130" spans="1:4" ht="24" x14ac:dyDescent="0.2">
      <c r="A130" s="472" t="s">
        <v>630</v>
      </c>
      <c r="B130" s="455">
        <v>11650462</v>
      </c>
      <c r="C130" s="446">
        <f t="shared" si="13"/>
        <v>-1</v>
      </c>
      <c r="D130" s="455">
        <v>11650463</v>
      </c>
    </row>
    <row r="131" spans="1:4" x14ac:dyDescent="0.2">
      <c r="A131" s="472" t="s">
        <v>631</v>
      </c>
      <c r="B131" s="455">
        <v>6958760</v>
      </c>
      <c r="C131" s="446">
        <f t="shared" si="13"/>
        <v>0</v>
      </c>
      <c r="D131" s="455">
        <v>6958760</v>
      </c>
    </row>
    <row r="132" spans="1:4" x14ac:dyDescent="0.2">
      <c r="A132" s="466" t="s">
        <v>632</v>
      </c>
      <c r="B132" s="455"/>
      <c r="C132" s="446">
        <f t="shared" si="13"/>
        <v>0</v>
      </c>
      <c r="D132" s="455"/>
    </row>
    <row r="133" spans="1:4" ht="24" x14ac:dyDescent="0.2">
      <c r="A133" s="467" t="s">
        <v>819</v>
      </c>
      <c r="B133" s="455">
        <v>60712458</v>
      </c>
      <c r="C133" s="446">
        <f t="shared" si="13"/>
        <v>0</v>
      </c>
      <c r="D133" s="455">
        <v>60712458</v>
      </c>
    </row>
    <row r="134" spans="1:4" ht="24" x14ac:dyDescent="0.2">
      <c r="A134" s="467" t="s">
        <v>820</v>
      </c>
      <c r="B134" s="479">
        <v>337213093</v>
      </c>
      <c r="C134" s="446">
        <f t="shared" si="13"/>
        <v>0</v>
      </c>
      <c r="D134" s="455">
        <v>337213093</v>
      </c>
    </row>
    <row r="135" spans="1:4" x14ac:dyDescent="0.2">
      <c r="A135" s="480" t="s">
        <v>821</v>
      </c>
      <c r="B135" s="448">
        <f>SUM(B129:B134)</f>
        <v>633918181</v>
      </c>
      <c r="C135" s="448"/>
      <c r="D135" s="448">
        <f>SUM(D129:D134)</f>
        <v>633459998</v>
      </c>
    </row>
    <row r="136" spans="1:4" x14ac:dyDescent="0.2">
      <c r="A136" s="466" t="s">
        <v>216</v>
      </c>
      <c r="B136" s="455">
        <v>8546784</v>
      </c>
      <c r="C136" s="446">
        <f t="shared" ref="C136:C142" si="14">B136-D136</f>
        <v>-2405</v>
      </c>
      <c r="D136" s="455">
        <v>8549189</v>
      </c>
    </row>
    <row r="137" spans="1:4" x14ac:dyDescent="0.2">
      <c r="A137" s="466" t="s">
        <v>217</v>
      </c>
      <c r="B137" s="455">
        <v>6133894</v>
      </c>
      <c r="C137" s="446">
        <f t="shared" si="14"/>
        <v>0</v>
      </c>
      <c r="D137" s="455">
        <v>6133894</v>
      </c>
    </row>
    <row r="138" spans="1:4" x14ac:dyDescent="0.2">
      <c r="A138" s="466" t="s">
        <v>218</v>
      </c>
      <c r="B138" s="455">
        <v>921009</v>
      </c>
      <c r="C138" s="446">
        <f t="shared" si="14"/>
        <v>0</v>
      </c>
      <c r="D138" s="455">
        <v>921009</v>
      </c>
    </row>
    <row r="139" spans="1:4" x14ac:dyDescent="0.2">
      <c r="A139" s="466" t="s">
        <v>219</v>
      </c>
      <c r="B139" s="455">
        <v>3493147</v>
      </c>
      <c r="C139" s="446">
        <f t="shared" si="14"/>
        <v>0</v>
      </c>
      <c r="D139" s="455">
        <v>3493147</v>
      </c>
    </row>
    <row r="140" spans="1:4" x14ac:dyDescent="0.2">
      <c r="A140" s="472" t="s">
        <v>673</v>
      </c>
      <c r="B140" s="455">
        <v>12936754</v>
      </c>
      <c r="C140" s="446">
        <f t="shared" si="14"/>
        <v>0</v>
      </c>
      <c r="D140" s="455">
        <v>12936754</v>
      </c>
    </row>
    <row r="141" spans="1:4" x14ac:dyDescent="0.2">
      <c r="A141" s="466" t="s">
        <v>221</v>
      </c>
      <c r="B141" s="455">
        <v>6745542</v>
      </c>
      <c r="C141" s="446">
        <f t="shared" si="14"/>
        <v>0</v>
      </c>
      <c r="D141" s="455">
        <v>6745542</v>
      </c>
    </row>
    <row r="142" spans="1:4" ht="24" x14ac:dyDescent="0.2">
      <c r="A142" s="495" t="s">
        <v>674</v>
      </c>
      <c r="B142" s="455">
        <v>24614790</v>
      </c>
      <c r="C142" s="446">
        <f t="shared" si="14"/>
        <v>0</v>
      </c>
      <c r="D142" s="455">
        <v>24614790</v>
      </c>
    </row>
    <row r="143" spans="1:4" x14ac:dyDescent="0.2">
      <c r="A143" s="475" t="s">
        <v>18</v>
      </c>
      <c r="B143" s="448">
        <f>SUM(B136:B142)</f>
        <v>63391920</v>
      </c>
      <c r="C143" s="448">
        <f>B143-D143</f>
        <v>-2405</v>
      </c>
      <c r="D143" s="448">
        <f>SUM(D136:D142)</f>
        <v>63394325</v>
      </c>
    </row>
    <row r="144" spans="1:4" x14ac:dyDescent="0.2">
      <c r="A144" s="496" t="s">
        <v>19</v>
      </c>
      <c r="B144" s="478">
        <v>1000000</v>
      </c>
      <c r="C144" s="446">
        <f t="shared" ref="C144:C147" si="15">B144-D144</f>
        <v>0</v>
      </c>
      <c r="D144" s="478">
        <v>1000000</v>
      </c>
    </row>
    <row r="145" spans="1:4" x14ac:dyDescent="0.2">
      <c r="A145" s="496" t="s">
        <v>680</v>
      </c>
      <c r="B145" s="478">
        <v>51399423</v>
      </c>
      <c r="C145" s="446">
        <f t="shared" si="15"/>
        <v>0</v>
      </c>
      <c r="D145" s="478">
        <v>51399423</v>
      </c>
    </row>
    <row r="146" spans="1:4" x14ac:dyDescent="0.2">
      <c r="A146" s="496" t="s">
        <v>226</v>
      </c>
      <c r="B146" s="478">
        <v>1752941</v>
      </c>
      <c r="C146" s="446">
        <f t="shared" si="15"/>
        <v>0</v>
      </c>
      <c r="D146" s="478">
        <v>1752941</v>
      </c>
    </row>
    <row r="147" spans="1:4" ht="24" x14ac:dyDescent="0.2">
      <c r="A147" s="497" t="s">
        <v>227</v>
      </c>
      <c r="B147" s="478">
        <v>9760851</v>
      </c>
      <c r="C147" s="446">
        <f t="shared" si="15"/>
        <v>0</v>
      </c>
      <c r="D147" s="478">
        <v>9760851</v>
      </c>
    </row>
    <row r="148" spans="1:4" x14ac:dyDescent="0.2">
      <c r="A148" s="498" t="s">
        <v>19</v>
      </c>
      <c r="B148" s="448">
        <f>SUM(B144:B147)</f>
        <v>63913215</v>
      </c>
      <c r="C148" s="448">
        <f>B148-D148</f>
        <v>0</v>
      </c>
      <c r="D148" s="448">
        <f>SUM(D144:D147)</f>
        <v>63913215</v>
      </c>
    </row>
    <row r="149" spans="1:4" x14ac:dyDescent="0.2">
      <c r="A149" s="499" t="s">
        <v>236</v>
      </c>
      <c r="B149" s="500">
        <v>100622063</v>
      </c>
      <c r="C149" s="446">
        <f t="shared" ref="C149:C151" si="16">B149-D149</f>
        <v>0</v>
      </c>
      <c r="D149" s="500">
        <v>100622063</v>
      </c>
    </row>
    <row r="150" spans="1:4" ht="24" x14ac:dyDescent="0.2">
      <c r="A150" s="477" t="s">
        <v>237</v>
      </c>
      <c r="B150" s="473">
        <v>62907135</v>
      </c>
      <c r="C150" s="446">
        <f t="shared" si="16"/>
        <v>0</v>
      </c>
      <c r="D150" s="473">
        <v>62907135</v>
      </c>
    </row>
    <row r="151" spans="1:4" x14ac:dyDescent="0.2">
      <c r="A151" s="499" t="s">
        <v>238</v>
      </c>
      <c r="B151" s="500">
        <v>13994115</v>
      </c>
      <c r="C151" s="446">
        <f t="shared" si="16"/>
        <v>0</v>
      </c>
      <c r="D151" s="500">
        <v>13994115</v>
      </c>
    </row>
    <row r="152" spans="1:4" ht="24" x14ac:dyDescent="0.2">
      <c r="A152" s="501" t="s">
        <v>822</v>
      </c>
      <c r="B152" s="448">
        <f>SUM(B149:B151)</f>
        <v>177523313</v>
      </c>
      <c r="C152" s="448">
        <f>B152-D152</f>
        <v>0</v>
      </c>
      <c r="D152" s="448">
        <f>SUM(D149:D151)</f>
        <v>177523313</v>
      </c>
    </row>
    <row r="153" spans="1:4" x14ac:dyDescent="0.2">
      <c r="A153" s="447" t="s">
        <v>21</v>
      </c>
      <c r="B153" s="448">
        <v>60398909</v>
      </c>
      <c r="C153" s="446">
        <f t="shared" ref="C153" si="17">B153-D153</f>
        <v>0</v>
      </c>
      <c r="D153" s="448">
        <v>60398909</v>
      </c>
    </row>
    <row r="154" spans="1:4" x14ac:dyDescent="0.2">
      <c r="A154" s="447" t="s">
        <v>3</v>
      </c>
      <c r="B154" s="448">
        <f>SUM(B135,B143,B148,B152,B153)</f>
        <v>999145538</v>
      </c>
      <c r="C154" s="448">
        <f>B154-D154</f>
        <v>455778</v>
      </c>
      <c r="D154" s="448">
        <f>SUM(D135,D143,D148,D152,D153)</f>
        <v>998689760</v>
      </c>
    </row>
    <row r="155" spans="1:4" x14ac:dyDescent="0.2">
      <c r="A155" s="447" t="s">
        <v>4</v>
      </c>
      <c r="B155" s="448">
        <v>3215275812</v>
      </c>
      <c r="C155" s="448">
        <f>B155-D155</f>
        <v>34102530</v>
      </c>
      <c r="D155" s="448">
        <v>3181173282</v>
      </c>
    </row>
    <row r="156" spans="1:4" ht="12.75" thickBot="1" x14ac:dyDescent="0.25">
      <c r="A156" s="502" t="s">
        <v>823</v>
      </c>
      <c r="B156" s="492">
        <f>SUM(B154,B155)</f>
        <v>4214421350</v>
      </c>
      <c r="C156" s="492">
        <f>B156-D156</f>
        <v>34558308</v>
      </c>
      <c r="D156" s="492">
        <f>SUM(D154,D155)</f>
        <v>4179863042</v>
      </c>
    </row>
    <row r="157" spans="1:4" ht="12.75" thickTop="1" x14ac:dyDescent="0.2"/>
    <row r="158" spans="1:4" x14ac:dyDescent="0.2">
      <c r="A158" s="644" t="s">
        <v>830</v>
      </c>
      <c r="B158" s="644"/>
      <c r="C158" s="644"/>
      <c r="D158" s="644"/>
    </row>
    <row r="159" spans="1:4" ht="24" x14ac:dyDescent="0.2">
      <c r="A159" s="443" t="s">
        <v>79</v>
      </c>
      <c r="B159" s="444" t="s">
        <v>769</v>
      </c>
      <c r="C159" s="445" t="s">
        <v>86</v>
      </c>
      <c r="D159" s="444" t="s">
        <v>770</v>
      </c>
    </row>
    <row r="161" spans="1:5" ht="24" x14ac:dyDescent="0.2">
      <c r="A161" s="495" t="s">
        <v>690</v>
      </c>
      <c r="B161" s="503"/>
      <c r="C161" s="456"/>
      <c r="D161" s="456"/>
      <c r="E161" s="469"/>
    </row>
    <row r="162" spans="1:5" x14ac:dyDescent="0.2">
      <c r="A162" s="467" t="s">
        <v>691</v>
      </c>
      <c r="B162" s="500">
        <v>241945</v>
      </c>
      <c r="C162" s="456">
        <f t="shared" ref="C162:C163" si="18">B162-D162</f>
        <v>0</v>
      </c>
      <c r="D162" s="500">
        <v>241945</v>
      </c>
      <c r="E162" s="469"/>
    </row>
    <row r="163" spans="1:5" x14ac:dyDescent="0.2">
      <c r="A163" s="472" t="s">
        <v>824</v>
      </c>
      <c r="B163" s="455">
        <v>7891182</v>
      </c>
      <c r="C163" s="446">
        <f t="shared" si="18"/>
        <v>0</v>
      </c>
      <c r="D163" s="455">
        <v>7891182</v>
      </c>
    </row>
    <row r="164" spans="1:5" x14ac:dyDescent="0.2">
      <c r="A164" s="466" t="s">
        <v>693</v>
      </c>
      <c r="B164" s="464"/>
      <c r="D164" s="478"/>
    </row>
    <row r="165" spans="1:5" x14ac:dyDescent="0.2">
      <c r="A165" s="472" t="s">
        <v>694</v>
      </c>
      <c r="B165" s="455">
        <v>138324115</v>
      </c>
      <c r="C165" s="446">
        <f t="shared" ref="C165:C169" si="19">B165-D165</f>
        <v>0</v>
      </c>
      <c r="D165" s="455">
        <v>138324115</v>
      </c>
    </row>
    <row r="166" spans="1:5" ht="24" x14ac:dyDescent="0.2">
      <c r="A166" s="472" t="s">
        <v>695</v>
      </c>
      <c r="B166" s="455">
        <v>-6120899</v>
      </c>
      <c r="C166" s="446">
        <f t="shared" si="19"/>
        <v>0</v>
      </c>
      <c r="D166" s="455">
        <v>-6120899</v>
      </c>
    </row>
    <row r="167" spans="1:5" x14ac:dyDescent="0.2">
      <c r="A167" s="472" t="s">
        <v>696</v>
      </c>
      <c r="B167" s="455">
        <v>94069001</v>
      </c>
      <c r="C167" s="446">
        <f t="shared" si="19"/>
        <v>0</v>
      </c>
      <c r="D167" s="455">
        <v>94069001</v>
      </c>
    </row>
    <row r="168" spans="1:5" ht="24" x14ac:dyDescent="0.2">
      <c r="A168" s="472" t="s">
        <v>697</v>
      </c>
      <c r="B168" s="455">
        <v>-2896038</v>
      </c>
      <c r="C168" s="446">
        <f t="shared" si="19"/>
        <v>0</v>
      </c>
      <c r="D168" s="455">
        <v>-2896038</v>
      </c>
    </row>
    <row r="169" spans="1:5" ht="24" x14ac:dyDescent="0.2">
      <c r="A169" s="472" t="s">
        <v>698</v>
      </c>
      <c r="B169" s="473">
        <v>10773458</v>
      </c>
      <c r="C169" s="446">
        <f t="shared" si="19"/>
        <v>0</v>
      </c>
      <c r="D169" s="473">
        <v>10773458</v>
      </c>
    </row>
    <row r="170" spans="1:5" ht="24" x14ac:dyDescent="0.2">
      <c r="A170" s="466" t="s">
        <v>699</v>
      </c>
      <c r="B170" s="464"/>
      <c r="D170" s="478"/>
    </row>
    <row r="171" spans="1:5" x14ac:dyDescent="0.2">
      <c r="A171" s="472" t="s">
        <v>700</v>
      </c>
      <c r="B171" s="473">
        <v>256827181</v>
      </c>
      <c r="C171" s="446">
        <f t="shared" ref="C171:C173" si="20">B171-D171</f>
        <v>0</v>
      </c>
      <c r="D171" s="473">
        <v>256827181</v>
      </c>
    </row>
    <row r="172" spans="1:5" ht="24" x14ac:dyDescent="0.2">
      <c r="A172" s="472" t="s">
        <v>701</v>
      </c>
      <c r="B172" s="473">
        <v>38190</v>
      </c>
      <c r="C172" s="446">
        <f t="shared" si="20"/>
        <v>0</v>
      </c>
      <c r="D172" s="473">
        <v>38190</v>
      </c>
    </row>
    <row r="173" spans="1:5" x14ac:dyDescent="0.2">
      <c r="A173" s="472" t="s">
        <v>702</v>
      </c>
      <c r="B173" s="455">
        <v>32700559</v>
      </c>
      <c r="C173" s="446">
        <f t="shared" si="20"/>
        <v>0</v>
      </c>
      <c r="D173" s="455">
        <v>32700559</v>
      </c>
    </row>
    <row r="174" spans="1:5" x14ac:dyDescent="0.2">
      <c r="A174" s="466" t="s">
        <v>260</v>
      </c>
      <c r="B174" s="464"/>
      <c r="D174" s="455"/>
    </row>
    <row r="175" spans="1:5" x14ac:dyDescent="0.2">
      <c r="A175" s="472" t="s">
        <v>703</v>
      </c>
      <c r="B175" s="455">
        <v>12032341</v>
      </c>
      <c r="C175" s="446">
        <f t="shared" ref="C175" si="21">B175-D175</f>
        <v>0</v>
      </c>
      <c r="D175" s="455">
        <v>12032341</v>
      </c>
    </row>
    <row r="176" spans="1:5" ht="24" x14ac:dyDescent="0.2">
      <c r="A176" s="466" t="s">
        <v>704</v>
      </c>
      <c r="B176" s="464"/>
      <c r="D176" s="478"/>
    </row>
    <row r="177" spans="1:4" ht="36" x14ac:dyDescent="0.2">
      <c r="A177" s="504" t="s">
        <v>705</v>
      </c>
      <c r="B177" s="473">
        <v>12586852</v>
      </c>
      <c r="C177" s="446">
        <f t="shared" ref="C177:C178" si="22">B177-D177</f>
        <v>0</v>
      </c>
      <c r="D177" s="473">
        <v>12586852</v>
      </c>
    </row>
    <row r="178" spans="1:4" x14ac:dyDescent="0.2">
      <c r="A178" s="467" t="s">
        <v>707</v>
      </c>
      <c r="B178" s="457">
        <v>6026761</v>
      </c>
      <c r="C178" s="446">
        <f t="shared" si="22"/>
        <v>0</v>
      </c>
      <c r="D178" s="457">
        <v>6026761</v>
      </c>
    </row>
    <row r="179" spans="1:4" x14ac:dyDescent="0.2">
      <c r="A179" s="475" t="s">
        <v>68</v>
      </c>
      <c r="B179" s="505">
        <f>SUM(B162:B178)</f>
        <v>562494648</v>
      </c>
      <c r="C179" s="448">
        <f>B179-D179</f>
        <v>0</v>
      </c>
      <c r="D179" s="505">
        <f>SUM(D162:D178)</f>
        <v>562494648</v>
      </c>
    </row>
    <row r="180" spans="1:4" x14ac:dyDescent="0.2">
      <c r="A180" s="495" t="s">
        <v>265</v>
      </c>
      <c r="D180" s="457"/>
    </row>
    <row r="181" spans="1:4" x14ac:dyDescent="0.2">
      <c r="A181" s="472" t="s">
        <v>266</v>
      </c>
      <c r="B181" s="473">
        <v>639222882</v>
      </c>
      <c r="C181" s="446">
        <f t="shared" ref="C181:C182" si="23">B181-D181</f>
        <v>0</v>
      </c>
      <c r="D181" s="473">
        <v>639222882</v>
      </c>
    </row>
    <row r="182" spans="1:4" ht="24" x14ac:dyDescent="0.2">
      <c r="A182" s="506" t="s">
        <v>267</v>
      </c>
      <c r="B182" s="500">
        <v>1459251</v>
      </c>
      <c r="C182" s="446">
        <f t="shared" si="23"/>
        <v>0</v>
      </c>
      <c r="D182" s="500">
        <v>1459251</v>
      </c>
    </row>
    <row r="183" spans="1:4" ht="24" x14ac:dyDescent="0.2">
      <c r="A183" s="475" t="s">
        <v>72</v>
      </c>
      <c r="B183" s="507">
        <f>SUM(B181:B182)</f>
        <v>640682133</v>
      </c>
      <c r="C183" s="448">
        <f>B183-D183</f>
        <v>0</v>
      </c>
      <c r="D183" s="507">
        <f>SUM(D181:D182)</f>
        <v>640682133</v>
      </c>
    </row>
    <row r="184" spans="1:4" x14ac:dyDescent="0.2">
      <c r="A184" s="508" t="s">
        <v>270</v>
      </c>
      <c r="D184" s="509"/>
    </row>
    <row r="185" spans="1:4" x14ac:dyDescent="0.2">
      <c r="A185" s="510" t="s">
        <v>271</v>
      </c>
      <c r="B185" s="471">
        <v>13802205</v>
      </c>
      <c r="C185" s="446">
        <f t="shared" ref="C185:C192" si="24">B185-D185</f>
        <v>0</v>
      </c>
      <c r="D185" s="473">
        <v>13802205</v>
      </c>
    </row>
    <row r="186" spans="1:4" x14ac:dyDescent="0.2">
      <c r="A186" s="472" t="s">
        <v>272</v>
      </c>
      <c r="B186" s="471">
        <v>695310</v>
      </c>
      <c r="C186" s="446">
        <f t="shared" si="24"/>
        <v>0</v>
      </c>
      <c r="D186" s="473">
        <v>695310</v>
      </c>
    </row>
    <row r="187" spans="1:4" ht="24" x14ac:dyDescent="0.2">
      <c r="A187" s="472" t="s">
        <v>273</v>
      </c>
      <c r="B187" s="471">
        <v>14803149</v>
      </c>
      <c r="C187" s="446">
        <f t="shared" si="24"/>
        <v>0</v>
      </c>
      <c r="D187" s="473">
        <v>14803149</v>
      </c>
    </row>
    <row r="188" spans="1:4" x14ac:dyDescent="0.2">
      <c r="A188" s="472" t="s">
        <v>274</v>
      </c>
      <c r="B188" s="471">
        <v>5237099</v>
      </c>
      <c r="C188" s="446">
        <f t="shared" si="24"/>
        <v>0</v>
      </c>
      <c r="D188" s="473">
        <v>5237099</v>
      </c>
    </row>
    <row r="189" spans="1:4" x14ac:dyDescent="0.2">
      <c r="A189" s="472" t="s">
        <v>275</v>
      </c>
      <c r="B189" s="471">
        <v>27300</v>
      </c>
      <c r="C189" s="446">
        <f t="shared" si="24"/>
        <v>0</v>
      </c>
      <c r="D189" s="473">
        <v>27300</v>
      </c>
    </row>
    <row r="190" spans="1:4" ht="36" x14ac:dyDescent="0.2">
      <c r="A190" s="504" t="s">
        <v>279</v>
      </c>
      <c r="B190" s="471">
        <v>133050</v>
      </c>
      <c r="C190" s="446">
        <f t="shared" si="24"/>
        <v>0</v>
      </c>
      <c r="D190" s="473">
        <v>133050</v>
      </c>
    </row>
    <row r="191" spans="1:4" ht="24" x14ac:dyDescent="0.2">
      <c r="A191" s="472" t="s">
        <v>711</v>
      </c>
      <c r="B191" s="471">
        <v>430999</v>
      </c>
      <c r="C191" s="446">
        <f t="shared" si="24"/>
        <v>0</v>
      </c>
      <c r="D191" s="473">
        <v>430999</v>
      </c>
    </row>
    <row r="192" spans="1:4" x14ac:dyDescent="0.2">
      <c r="A192" s="467" t="s">
        <v>281</v>
      </c>
      <c r="B192" s="468">
        <v>431689</v>
      </c>
      <c r="C192" s="446">
        <f t="shared" si="24"/>
        <v>0</v>
      </c>
      <c r="D192" s="473">
        <v>431689</v>
      </c>
    </row>
    <row r="193" spans="1:4" x14ac:dyDescent="0.2">
      <c r="A193" s="474" t="s">
        <v>816</v>
      </c>
      <c r="B193" s="511">
        <f>SUM(B185:B192)</f>
        <v>35560801</v>
      </c>
      <c r="C193" s="460">
        <f>B193-D193</f>
        <v>0</v>
      </c>
      <c r="D193" s="511">
        <f>SUM(D185:D192)</f>
        <v>35560801</v>
      </c>
    </row>
    <row r="194" spans="1:4" x14ac:dyDescent="0.2">
      <c r="A194" s="357" t="s">
        <v>283</v>
      </c>
      <c r="D194" s="478"/>
    </row>
    <row r="195" spans="1:4" x14ac:dyDescent="0.2">
      <c r="A195" s="512" t="s">
        <v>284</v>
      </c>
      <c r="B195" s="471">
        <v>3201500</v>
      </c>
      <c r="C195" s="446">
        <f t="shared" ref="C195:C204" si="25">B195-D195</f>
        <v>0</v>
      </c>
      <c r="D195" s="473">
        <v>3201500</v>
      </c>
    </row>
    <row r="196" spans="1:4" x14ac:dyDescent="0.2">
      <c r="A196" s="512" t="s">
        <v>712</v>
      </c>
      <c r="B196" s="471">
        <v>1159099</v>
      </c>
      <c r="C196" s="446">
        <f t="shared" si="25"/>
        <v>0</v>
      </c>
      <c r="D196" s="473">
        <v>1159099</v>
      </c>
    </row>
    <row r="197" spans="1:4" x14ac:dyDescent="0.2">
      <c r="A197" s="512" t="s">
        <v>713</v>
      </c>
      <c r="B197" s="471">
        <v>4772838</v>
      </c>
      <c r="C197" s="446">
        <f t="shared" si="25"/>
        <v>0</v>
      </c>
      <c r="D197" s="473">
        <v>4772838</v>
      </c>
    </row>
    <row r="198" spans="1:4" x14ac:dyDescent="0.2">
      <c r="A198" s="512" t="s">
        <v>287</v>
      </c>
      <c r="B198" s="471">
        <v>11468568</v>
      </c>
      <c r="C198" s="446">
        <f t="shared" si="25"/>
        <v>0</v>
      </c>
      <c r="D198" s="473">
        <v>11468568</v>
      </c>
    </row>
    <row r="199" spans="1:4" ht="24" x14ac:dyDescent="0.2">
      <c r="A199" s="512" t="s">
        <v>714</v>
      </c>
      <c r="B199" s="471">
        <v>9293875</v>
      </c>
      <c r="C199" s="446">
        <f t="shared" si="25"/>
        <v>0</v>
      </c>
      <c r="D199" s="473">
        <v>9293875</v>
      </c>
    </row>
    <row r="200" spans="1:4" ht="24" x14ac:dyDescent="0.2">
      <c r="A200" s="512" t="s">
        <v>289</v>
      </c>
      <c r="B200" s="471">
        <v>973511</v>
      </c>
      <c r="C200" s="446">
        <f t="shared" si="25"/>
        <v>0</v>
      </c>
      <c r="D200" s="473">
        <v>973511</v>
      </c>
    </row>
    <row r="201" spans="1:4" x14ac:dyDescent="0.2">
      <c r="A201" s="512" t="s">
        <v>290</v>
      </c>
      <c r="B201" s="471">
        <v>5899293</v>
      </c>
      <c r="C201" s="446">
        <f t="shared" si="25"/>
        <v>0</v>
      </c>
      <c r="D201" s="473">
        <v>5899293</v>
      </c>
    </row>
    <row r="202" spans="1:4" x14ac:dyDescent="0.2">
      <c r="A202" s="512" t="s">
        <v>291</v>
      </c>
      <c r="B202" s="471">
        <v>78369836</v>
      </c>
      <c r="C202" s="446">
        <f t="shared" si="25"/>
        <v>147200</v>
      </c>
      <c r="D202" s="473">
        <v>78222636</v>
      </c>
    </row>
    <row r="203" spans="1:4" x14ac:dyDescent="0.2">
      <c r="A203" s="512" t="s">
        <v>73</v>
      </c>
      <c r="B203" s="471">
        <v>11079094</v>
      </c>
      <c r="C203" s="446">
        <f t="shared" si="25"/>
        <v>-2815</v>
      </c>
      <c r="D203" s="473">
        <v>11081909</v>
      </c>
    </row>
    <row r="204" spans="1:4" ht="24" x14ac:dyDescent="0.2">
      <c r="A204" s="513" t="s">
        <v>292</v>
      </c>
      <c r="B204" s="471">
        <v>43859</v>
      </c>
      <c r="C204" s="446">
        <f t="shared" si="25"/>
        <v>0</v>
      </c>
      <c r="D204" s="473">
        <v>43859</v>
      </c>
    </row>
    <row r="205" spans="1:4" x14ac:dyDescent="0.2">
      <c r="A205" s="514" t="s">
        <v>816</v>
      </c>
      <c r="B205" s="511">
        <f>SUM(B195:B204)</f>
        <v>126261473</v>
      </c>
      <c r="C205" s="460">
        <f>B205-D205</f>
        <v>144385</v>
      </c>
      <c r="D205" s="511">
        <f>SUM(D195:D204)</f>
        <v>126117088</v>
      </c>
    </row>
    <row r="206" spans="1:4" ht="24" x14ac:dyDescent="0.2">
      <c r="A206" s="515" t="s">
        <v>69</v>
      </c>
      <c r="B206" s="448">
        <f>SUM(B193,B205)</f>
        <v>161822274</v>
      </c>
      <c r="C206" s="448">
        <f>B206-D206</f>
        <v>144385</v>
      </c>
      <c r="D206" s="448">
        <f>SUM(D193,D205)</f>
        <v>161677889</v>
      </c>
    </row>
    <row r="207" spans="1:4" x14ac:dyDescent="0.2">
      <c r="A207" s="516" t="s">
        <v>297</v>
      </c>
      <c r="B207" s="456">
        <v>1849258</v>
      </c>
      <c r="C207" s="456"/>
      <c r="D207" s="456">
        <v>1849258</v>
      </c>
    </row>
    <row r="208" spans="1:4" ht="24" x14ac:dyDescent="0.2">
      <c r="A208" s="516" t="s">
        <v>298</v>
      </c>
      <c r="B208" s="456">
        <v>192400</v>
      </c>
      <c r="C208" s="456"/>
      <c r="D208" s="456">
        <v>192400</v>
      </c>
    </row>
    <row r="209" spans="1:4" ht="24" x14ac:dyDescent="0.2">
      <c r="A209" s="515" t="s">
        <v>834</v>
      </c>
      <c r="B209" s="448">
        <f>SUM(B207:B208)</f>
        <v>2041658</v>
      </c>
      <c r="C209" s="448">
        <f>B209-D209</f>
        <v>0</v>
      </c>
      <c r="D209" s="448">
        <f>SUM(D207:D208)</f>
        <v>2041658</v>
      </c>
    </row>
    <row r="210" spans="1:4" x14ac:dyDescent="0.2">
      <c r="A210" s="441" t="s">
        <v>77</v>
      </c>
      <c r="D210" s="500"/>
    </row>
    <row r="211" spans="1:4" x14ac:dyDescent="0.2">
      <c r="A211" s="517" t="s">
        <v>77</v>
      </c>
      <c r="B211" s="473">
        <v>32713120</v>
      </c>
      <c r="C211" s="446">
        <f t="shared" ref="C211" si="26">B211-D211</f>
        <v>0</v>
      </c>
      <c r="D211" s="473">
        <v>32713120</v>
      </c>
    </row>
    <row r="212" spans="1:4" x14ac:dyDescent="0.2">
      <c r="A212" s="357" t="s">
        <v>301</v>
      </c>
      <c r="B212" s="473"/>
      <c r="D212" s="473"/>
    </row>
    <row r="213" spans="1:4" x14ac:dyDescent="0.2">
      <c r="A213" s="518" t="s">
        <v>302</v>
      </c>
      <c r="B213" s="473">
        <v>3850</v>
      </c>
      <c r="C213" s="446">
        <f t="shared" ref="C213" si="27">B213-D213</f>
        <v>0</v>
      </c>
      <c r="D213" s="473">
        <v>3850</v>
      </c>
    </row>
    <row r="214" spans="1:4" x14ac:dyDescent="0.2">
      <c r="A214" s="480" t="s">
        <v>305</v>
      </c>
      <c r="B214" s="507">
        <f>SUM(B211:B213)</f>
        <v>32716970</v>
      </c>
      <c r="C214" s="448">
        <f>B214-D214</f>
        <v>0</v>
      </c>
      <c r="D214" s="507">
        <f>SUM(D211:D213)</f>
        <v>32716970</v>
      </c>
    </row>
    <row r="215" spans="1:4" x14ac:dyDescent="0.2">
      <c r="A215" s="480" t="s">
        <v>831</v>
      </c>
      <c r="B215" s="507">
        <f>SUM(B179,B183,B206,B214,B209)</f>
        <v>1399757683</v>
      </c>
      <c r="C215" s="448">
        <f>B215-D215</f>
        <v>144385</v>
      </c>
      <c r="D215" s="507">
        <f>SUM(D179,D183,D206,D214,D209)</f>
        <v>1399613298</v>
      </c>
    </row>
    <row r="216" spans="1:4" x14ac:dyDescent="0.2">
      <c r="A216" s="519"/>
      <c r="B216" s="520"/>
      <c r="C216" s="481"/>
      <c r="D216" s="520"/>
    </row>
    <row r="217" spans="1:4" x14ac:dyDescent="0.2">
      <c r="A217" s="521" t="s">
        <v>723</v>
      </c>
      <c r="B217" s="473"/>
      <c r="D217" s="509"/>
    </row>
    <row r="218" spans="1:4" ht="24" x14ac:dyDescent="0.2">
      <c r="A218" s="472" t="s">
        <v>724</v>
      </c>
      <c r="B218" s="473">
        <v>189772708</v>
      </c>
      <c r="C218" s="446">
        <f t="shared" ref="C218:C219" si="28">B218-D218</f>
        <v>0</v>
      </c>
      <c r="D218" s="473">
        <v>189772708</v>
      </c>
    </row>
    <row r="219" spans="1:4" ht="24" x14ac:dyDescent="0.2">
      <c r="A219" s="472" t="s">
        <v>725</v>
      </c>
      <c r="B219" s="473">
        <v>1765346</v>
      </c>
      <c r="C219" s="446">
        <f t="shared" si="28"/>
        <v>0</v>
      </c>
      <c r="D219" s="473">
        <v>1765346</v>
      </c>
    </row>
    <row r="220" spans="1:4" x14ac:dyDescent="0.2">
      <c r="A220" s="522" t="s">
        <v>309</v>
      </c>
      <c r="B220" s="473"/>
      <c r="D220" s="473"/>
    </row>
    <row r="221" spans="1:4" ht="24" x14ac:dyDescent="0.2">
      <c r="A221" s="472" t="s">
        <v>310</v>
      </c>
      <c r="B221" s="473">
        <v>12991551</v>
      </c>
      <c r="C221" s="446">
        <f t="shared" ref="C221:C232" si="29">B221-D221</f>
        <v>0</v>
      </c>
      <c r="D221" s="473">
        <v>12991551</v>
      </c>
    </row>
    <row r="222" spans="1:4" ht="24" x14ac:dyDescent="0.2">
      <c r="A222" s="472" t="s">
        <v>311</v>
      </c>
      <c r="B222" s="473">
        <v>4337200</v>
      </c>
      <c r="C222" s="446">
        <f t="shared" si="29"/>
        <v>0</v>
      </c>
      <c r="D222" s="473">
        <v>4337200</v>
      </c>
    </row>
    <row r="223" spans="1:4" ht="24" x14ac:dyDescent="0.2">
      <c r="A223" s="472" t="s">
        <v>312</v>
      </c>
      <c r="B223" s="473">
        <v>4269200</v>
      </c>
      <c r="C223" s="446">
        <f t="shared" si="29"/>
        <v>0</v>
      </c>
      <c r="D223" s="473">
        <v>4269200</v>
      </c>
    </row>
    <row r="224" spans="1:4" ht="24" x14ac:dyDescent="0.2">
      <c r="A224" s="472" t="s">
        <v>313</v>
      </c>
      <c r="B224" s="455">
        <v>3258000</v>
      </c>
      <c r="C224" s="446">
        <f t="shared" si="29"/>
        <v>0</v>
      </c>
      <c r="D224" s="455">
        <v>3258000</v>
      </c>
    </row>
    <row r="225" spans="1:4" x14ac:dyDescent="0.2">
      <c r="A225" s="472" t="s">
        <v>314</v>
      </c>
      <c r="B225" s="473">
        <v>2205830</v>
      </c>
      <c r="C225" s="446">
        <f t="shared" si="29"/>
        <v>0</v>
      </c>
      <c r="D225" s="473">
        <v>2205830</v>
      </c>
    </row>
    <row r="226" spans="1:4" ht="24" x14ac:dyDescent="0.2">
      <c r="A226" s="472" t="s">
        <v>315</v>
      </c>
      <c r="B226" s="473">
        <v>2704500</v>
      </c>
      <c r="C226" s="446">
        <f t="shared" si="29"/>
        <v>0</v>
      </c>
      <c r="D226" s="473">
        <v>2704500</v>
      </c>
    </row>
    <row r="227" spans="1:4" x14ac:dyDescent="0.2">
      <c r="A227" s="472" t="s">
        <v>316</v>
      </c>
      <c r="B227" s="473">
        <v>1945032</v>
      </c>
      <c r="C227" s="446">
        <f t="shared" si="29"/>
        <v>0</v>
      </c>
      <c r="D227" s="473">
        <v>1945032</v>
      </c>
    </row>
    <row r="228" spans="1:4" x14ac:dyDescent="0.2">
      <c r="A228" s="472" t="s">
        <v>317</v>
      </c>
      <c r="B228" s="473">
        <v>1876174</v>
      </c>
      <c r="C228" s="446">
        <f t="shared" si="29"/>
        <v>0</v>
      </c>
      <c r="D228" s="473">
        <v>1876174</v>
      </c>
    </row>
    <row r="229" spans="1:4" x14ac:dyDescent="0.2">
      <c r="A229" s="472" t="s">
        <v>318</v>
      </c>
      <c r="B229" s="473">
        <v>9716047</v>
      </c>
      <c r="C229" s="446">
        <f t="shared" si="29"/>
        <v>0</v>
      </c>
      <c r="D229" s="473">
        <v>9716047</v>
      </c>
    </row>
    <row r="230" spans="1:4" x14ac:dyDescent="0.2">
      <c r="A230" s="472" t="s">
        <v>319</v>
      </c>
      <c r="B230" s="473">
        <v>32270674</v>
      </c>
      <c r="C230" s="446">
        <f t="shared" si="29"/>
        <v>0</v>
      </c>
      <c r="D230" s="473">
        <v>32270674</v>
      </c>
    </row>
    <row r="231" spans="1:4" x14ac:dyDescent="0.2">
      <c r="A231" s="472" t="s">
        <v>320</v>
      </c>
      <c r="B231" s="473">
        <v>2806000</v>
      </c>
      <c r="C231" s="446">
        <f t="shared" si="29"/>
        <v>0</v>
      </c>
      <c r="D231" s="473">
        <v>2806000</v>
      </c>
    </row>
    <row r="232" spans="1:4" ht="24" x14ac:dyDescent="0.2">
      <c r="A232" s="472" t="s">
        <v>321</v>
      </c>
      <c r="B232" s="473">
        <v>5397000</v>
      </c>
      <c r="C232" s="446">
        <f t="shared" si="29"/>
        <v>0</v>
      </c>
      <c r="D232" s="473">
        <v>5397000</v>
      </c>
    </row>
    <row r="233" spans="1:4" ht="24" x14ac:dyDescent="0.2">
      <c r="A233" s="522" t="s">
        <v>726</v>
      </c>
      <c r="B233" s="473"/>
      <c r="D233" s="473"/>
    </row>
    <row r="234" spans="1:4" ht="24" x14ac:dyDescent="0.2">
      <c r="A234" s="472" t="s">
        <v>323</v>
      </c>
      <c r="B234" s="473">
        <v>22935557</v>
      </c>
      <c r="C234" s="446">
        <f t="shared" ref="C234:C236" si="30">B234-D234</f>
        <v>0</v>
      </c>
      <c r="D234" s="473">
        <v>22935557</v>
      </c>
    </row>
    <row r="235" spans="1:4" x14ac:dyDescent="0.2">
      <c r="A235" s="472" t="s">
        <v>324</v>
      </c>
      <c r="B235" s="473">
        <v>1716900</v>
      </c>
      <c r="C235" s="446">
        <f t="shared" si="30"/>
        <v>0</v>
      </c>
      <c r="D235" s="473">
        <v>1716900</v>
      </c>
    </row>
    <row r="236" spans="1:4" x14ac:dyDescent="0.2">
      <c r="A236" s="472" t="s">
        <v>325</v>
      </c>
      <c r="B236" s="473">
        <v>1985984</v>
      </c>
      <c r="C236" s="446">
        <f t="shared" si="30"/>
        <v>0</v>
      </c>
      <c r="D236" s="473">
        <v>1985984</v>
      </c>
    </row>
    <row r="237" spans="1:4" ht="36" x14ac:dyDescent="0.2">
      <c r="A237" s="472" t="s">
        <v>326</v>
      </c>
      <c r="B237" s="473">
        <v>644100</v>
      </c>
      <c r="C237" s="446">
        <f t="shared" ref="C237" si="31">B237-D237</f>
        <v>0</v>
      </c>
      <c r="D237" s="473">
        <v>644100</v>
      </c>
    </row>
    <row r="238" spans="1:4" x14ac:dyDescent="0.2">
      <c r="A238" s="521" t="s">
        <v>328</v>
      </c>
      <c r="B238" s="500">
        <v>24997769</v>
      </c>
      <c r="C238" s="446">
        <f t="shared" ref="C238" si="32">B238-D238</f>
        <v>0</v>
      </c>
      <c r="D238" s="500">
        <v>24997769</v>
      </c>
    </row>
    <row r="239" spans="1:4" x14ac:dyDescent="0.2">
      <c r="A239" s="515" t="s">
        <v>41</v>
      </c>
      <c r="B239" s="523">
        <f>SUM(B218:B238)</f>
        <v>327595572</v>
      </c>
      <c r="C239" s="448">
        <f>B239-D239</f>
        <v>0</v>
      </c>
      <c r="D239" s="523">
        <f>SUM(D218:D238)</f>
        <v>327595572</v>
      </c>
    </row>
    <row r="240" spans="1:4" x14ac:dyDescent="0.2">
      <c r="A240" s="516" t="s">
        <v>331</v>
      </c>
      <c r="B240" s="500"/>
      <c r="D240" s="509"/>
    </row>
    <row r="241" spans="1:4" ht="24" x14ac:dyDescent="0.2">
      <c r="A241" s="512" t="s">
        <v>332</v>
      </c>
      <c r="B241" s="500">
        <v>131071</v>
      </c>
      <c r="C241" s="446">
        <f t="shared" ref="C241" si="33">B241-D241</f>
        <v>0</v>
      </c>
      <c r="D241" s="473">
        <v>131071</v>
      </c>
    </row>
    <row r="242" spans="1:4" s="469" customFormat="1" ht="24" x14ac:dyDescent="0.2">
      <c r="A242" s="516" t="s">
        <v>333</v>
      </c>
      <c r="B242" s="524"/>
      <c r="C242" s="456"/>
      <c r="D242" s="509"/>
    </row>
    <row r="243" spans="1:4" s="469" customFormat="1" x14ac:dyDescent="0.2">
      <c r="A243" s="513" t="s">
        <v>334</v>
      </c>
      <c r="B243" s="500">
        <v>22919896</v>
      </c>
      <c r="C243" s="456">
        <f t="shared" ref="C243" si="34">B243-D243</f>
        <v>6001</v>
      </c>
      <c r="D243" s="500">
        <v>22913895</v>
      </c>
    </row>
    <row r="244" spans="1:4" s="469" customFormat="1" ht="24" x14ac:dyDescent="0.2">
      <c r="A244" s="516" t="s">
        <v>335</v>
      </c>
      <c r="B244" s="524"/>
      <c r="C244" s="456"/>
      <c r="D244" s="509"/>
    </row>
    <row r="245" spans="1:4" s="469" customFormat="1" x14ac:dyDescent="0.2">
      <c r="A245" s="513" t="s">
        <v>336</v>
      </c>
      <c r="B245" s="500">
        <v>3178192</v>
      </c>
      <c r="C245" s="456">
        <f t="shared" ref="C245:C255" si="35">B245-D245</f>
        <v>-561790</v>
      </c>
      <c r="D245" s="500">
        <v>3739982</v>
      </c>
    </row>
    <row r="246" spans="1:4" s="469" customFormat="1" ht="24" x14ac:dyDescent="0.2">
      <c r="A246" s="513" t="s">
        <v>337</v>
      </c>
      <c r="B246" s="500">
        <v>1295321</v>
      </c>
      <c r="C246" s="456">
        <f t="shared" si="35"/>
        <v>-2176</v>
      </c>
      <c r="D246" s="500">
        <v>1297497</v>
      </c>
    </row>
    <row r="247" spans="1:4" s="469" customFormat="1" ht="24" x14ac:dyDescent="0.2">
      <c r="A247" s="513" t="s">
        <v>338</v>
      </c>
      <c r="B247" s="500">
        <v>50411</v>
      </c>
      <c r="C247" s="456">
        <f t="shared" si="35"/>
        <v>-9544</v>
      </c>
      <c r="D247" s="500">
        <v>59955</v>
      </c>
    </row>
    <row r="248" spans="1:4" s="469" customFormat="1" ht="24" x14ac:dyDescent="0.2">
      <c r="A248" s="513" t="s">
        <v>339</v>
      </c>
      <c r="B248" s="500">
        <v>332104</v>
      </c>
      <c r="C248" s="456">
        <f t="shared" si="35"/>
        <v>-250</v>
      </c>
      <c r="D248" s="500">
        <v>332354</v>
      </c>
    </row>
    <row r="249" spans="1:4" s="469" customFormat="1" x14ac:dyDescent="0.2">
      <c r="A249" s="513" t="s">
        <v>340</v>
      </c>
      <c r="B249" s="500">
        <v>8844285</v>
      </c>
      <c r="C249" s="456">
        <f t="shared" si="35"/>
        <v>0</v>
      </c>
      <c r="D249" s="500">
        <v>8844285</v>
      </c>
    </row>
    <row r="250" spans="1:4" s="469" customFormat="1" x14ac:dyDescent="0.2">
      <c r="A250" s="513" t="s">
        <v>341</v>
      </c>
      <c r="B250" s="500">
        <v>990200</v>
      </c>
      <c r="C250" s="456">
        <f t="shared" si="35"/>
        <v>-5700</v>
      </c>
      <c r="D250" s="500">
        <v>995900</v>
      </c>
    </row>
    <row r="251" spans="1:4" s="469" customFormat="1" ht="36" x14ac:dyDescent="0.2">
      <c r="A251" s="513" t="s">
        <v>342</v>
      </c>
      <c r="B251" s="500">
        <v>13260229</v>
      </c>
      <c r="C251" s="456">
        <f t="shared" si="35"/>
        <v>-7469826</v>
      </c>
      <c r="D251" s="500">
        <v>20730055</v>
      </c>
    </row>
    <row r="252" spans="1:4" s="469" customFormat="1" ht="24" x14ac:dyDescent="0.2">
      <c r="A252" s="513" t="s">
        <v>343</v>
      </c>
      <c r="B252" s="500">
        <v>12788797</v>
      </c>
      <c r="C252" s="456">
        <f t="shared" si="35"/>
        <v>-7017</v>
      </c>
      <c r="D252" s="500">
        <v>12795814</v>
      </c>
    </row>
    <row r="253" spans="1:4" s="469" customFormat="1" ht="24" x14ac:dyDescent="0.2">
      <c r="A253" s="513" t="s">
        <v>344</v>
      </c>
      <c r="B253" s="500">
        <v>46781844</v>
      </c>
      <c r="C253" s="456">
        <f t="shared" si="35"/>
        <v>-8898033</v>
      </c>
      <c r="D253" s="525">
        <v>55679877</v>
      </c>
    </row>
    <row r="254" spans="1:4" s="469" customFormat="1" ht="24" x14ac:dyDescent="0.2">
      <c r="A254" s="513" t="s">
        <v>345</v>
      </c>
      <c r="B254" s="500">
        <v>7535667</v>
      </c>
      <c r="C254" s="456">
        <f t="shared" si="35"/>
        <v>-2695796</v>
      </c>
      <c r="D254" s="500">
        <v>10231463</v>
      </c>
    </row>
    <row r="255" spans="1:4" s="469" customFormat="1" ht="36" x14ac:dyDescent="0.2">
      <c r="A255" s="513" t="s">
        <v>346</v>
      </c>
      <c r="B255" s="500">
        <v>3444701</v>
      </c>
      <c r="C255" s="456">
        <f t="shared" si="35"/>
        <v>0</v>
      </c>
      <c r="D255" s="500">
        <v>3444701</v>
      </c>
    </row>
    <row r="256" spans="1:4" s="469" customFormat="1" x14ac:dyDescent="0.2">
      <c r="A256" s="516" t="s">
        <v>347</v>
      </c>
      <c r="B256" s="500" t="s">
        <v>706</v>
      </c>
      <c r="C256" s="456"/>
      <c r="D256" s="509"/>
    </row>
    <row r="257" spans="1:4" s="469" customFormat="1" x14ac:dyDescent="0.2">
      <c r="A257" s="513" t="s">
        <v>348</v>
      </c>
      <c r="B257" s="500">
        <v>15822473</v>
      </c>
      <c r="C257" s="456">
        <f t="shared" ref="C257:C258" si="36">B257-D257</f>
        <v>53390</v>
      </c>
      <c r="D257" s="500">
        <v>15769083</v>
      </c>
    </row>
    <row r="258" spans="1:4" s="469" customFormat="1" x14ac:dyDescent="0.2">
      <c r="A258" s="513" t="s">
        <v>349</v>
      </c>
      <c r="B258" s="500">
        <v>45830839</v>
      </c>
      <c r="C258" s="456">
        <f t="shared" si="36"/>
        <v>117130</v>
      </c>
      <c r="D258" s="500">
        <v>45713709</v>
      </c>
    </row>
    <row r="259" spans="1:4" s="469" customFormat="1" x14ac:dyDescent="0.2">
      <c r="A259" s="516" t="s">
        <v>350</v>
      </c>
      <c r="B259" s="500"/>
      <c r="C259" s="456"/>
      <c r="D259" s="509"/>
    </row>
    <row r="260" spans="1:4" s="469" customFormat="1" ht="24" x14ac:dyDescent="0.2">
      <c r="A260" s="513" t="s">
        <v>351</v>
      </c>
      <c r="B260" s="500">
        <v>0</v>
      </c>
      <c r="C260" s="456">
        <f t="shared" ref="C260:C262" si="37">B260-D260</f>
        <v>0</v>
      </c>
      <c r="D260" s="500">
        <v>0</v>
      </c>
    </row>
    <row r="261" spans="1:4" s="469" customFormat="1" x14ac:dyDescent="0.2">
      <c r="A261" s="513" t="s">
        <v>352</v>
      </c>
      <c r="B261" s="500">
        <v>4270972</v>
      </c>
      <c r="C261" s="456">
        <f t="shared" si="37"/>
        <v>0</v>
      </c>
      <c r="D261" s="500">
        <v>4270972</v>
      </c>
    </row>
    <row r="262" spans="1:4" s="469" customFormat="1" ht="24" x14ac:dyDescent="0.2">
      <c r="A262" s="513" t="s">
        <v>353</v>
      </c>
      <c r="B262" s="500">
        <v>4485335</v>
      </c>
      <c r="C262" s="456">
        <f t="shared" si="37"/>
        <v>0</v>
      </c>
      <c r="D262" s="500">
        <v>4485335</v>
      </c>
    </row>
    <row r="263" spans="1:4" s="469" customFormat="1" ht="24" x14ac:dyDescent="0.2">
      <c r="A263" s="516" t="s">
        <v>730</v>
      </c>
      <c r="B263" s="500"/>
      <c r="C263" s="456"/>
      <c r="D263" s="509"/>
    </row>
    <row r="264" spans="1:4" s="469" customFormat="1" ht="24" x14ac:dyDescent="0.2">
      <c r="A264" s="513" t="s">
        <v>355</v>
      </c>
      <c r="B264" s="500">
        <v>998400</v>
      </c>
      <c r="C264" s="456">
        <f t="shared" ref="C264" si="38">B264-D264</f>
        <v>0</v>
      </c>
      <c r="D264" s="500">
        <v>998400</v>
      </c>
    </row>
    <row r="265" spans="1:4" s="469" customFormat="1" ht="24" x14ac:dyDescent="0.2">
      <c r="A265" s="516" t="s">
        <v>356</v>
      </c>
      <c r="B265" s="500"/>
      <c r="C265" s="456"/>
      <c r="D265" s="500" t="s">
        <v>151</v>
      </c>
    </row>
    <row r="266" spans="1:4" s="469" customFormat="1" ht="24" x14ac:dyDescent="0.2">
      <c r="A266" s="513" t="s">
        <v>357</v>
      </c>
      <c r="B266" s="500">
        <v>1096207</v>
      </c>
      <c r="C266" s="456">
        <f t="shared" ref="C266" si="39">B266-D266</f>
        <v>0</v>
      </c>
      <c r="D266" s="500">
        <v>1096207</v>
      </c>
    </row>
    <row r="267" spans="1:4" s="469" customFormat="1" x14ac:dyDescent="0.2">
      <c r="A267" s="516" t="s">
        <v>360</v>
      </c>
      <c r="B267" s="500"/>
      <c r="C267" s="456"/>
      <c r="D267" s="509"/>
    </row>
    <row r="268" spans="1:4" s="469" customFormat="1" x14ac:dyDescent="0.2">
      <c r="A268" s="513" t="s">
        <v>361</v>
      </c>
      <c r="B268" s="500">
        <v>0</v>
      </c>
      <c r="C268" s="456">
        <f t="shared" ref="C268:C269" si="40">B268-D268</f>
        <v>0</v>
      </c>
      <c r="D268" s="500">
        <v>0</v>
      </c>
    </row>
    <row r="269" spans="1:4" s="469" customFormat="1" x14ac:dyDescent="0.2">
      <c r="A269" s="513" t="s">
        <v>362</v>
      </c>
      <c r="B269" s="500">
        <v>49488</v>
      </c>
      <c r="C269" s="456">
        <f t="shared" si="40"/>
        <v>0</v>
      </c>
      <c r="D269" s="500">
        <v>49488</v>
      </c>
    </row>
    <row r="270" spans="1:4" s="469" customFormat="1" x14ac:dyDescent="0.2">
      <c r="A270" s="513" t="s">
        <v>732</v>
      </c>
      <c r="B270" s="500"/>
      <c r="C270" s="456"/>
      <c r="D270" s="500"/>
    </row>
    <row r="271" spans="1:4" s="469" customFormat="1" ht="24" x14ac:dyDescent="0.2">
      <c r="A271" s="513" t="s">
        <v>363</v>
      </c>
      <c r="B271" s="500">
        <v>12815816</v>
      </c>
      <c r="C271" s="456">
        <f t="shared" ref="C271" si="41">B271-D271</f>
        <v>0</v>
      </c>
      <c r="D271" s="500">
        <v>12815816</v>
      </c>
    </row>
    <row r="272" spans="1:4" s="469" customFormat="1" x14ac:dyDescent="0.2">
      <c r="A272" s="516" t="s">
        <v>364</v>
      </c>
      <c r="B272" s="500"/>
      <c r="C272" s="456"/>
      <c r="D272" s="500"/>
    </row>
    <row r="273" spans="1:4" s="469" customFormat="1" ht="24" x14ac:dyDescent="0.2">
      <c r="A273" s="513" t="s">
        <v>365</v>
      </c>
      <c r="B273" s="500">
        <v>55897393</v>
      </c>
      <c r="C273" s="456">
        <f t="shared" ref="C273:C276" si="42">B273-D273</f>
        <v>0</v>
      </c>
      <c r="D273" s="500">
        <v>55897393</v>
      </c>
    </row>
    <row r="274" spans="1:4" s="469" customFormat="1" x14ac:dyDescent="0.2">
      <c r="A274" s="513" t="s">
        <v>366</v>
      </c>
      <c r="B274" s="500">
        <v>5184243</v>
      </c>
      <c r="C274" s="456">
        <f t="shared" si="42"/>
        <v>0</v>
      </c>
      <c r="D274" s="500">
        <v>5184243</v>
      </c>
    </row>
    <row r="275" spans="1:4" s="469" customFormat="1" x14ac:dyDescent="0.2">
      <c r="A275" s="513" t="s">
        <v>367</v>
      </c>
      <c r="B275" s="500">
        <v>39228997</v>
      </c>
      <c r="C275" s="456">
        <f t="shared" si="42"/>
        <v>0</v>
      </c>
      <c r="D275" s="500">
        <v>39228997</v>
      </c>
    </row>
    <row r="276" spans="1:4" s="469" customFormat="1" x14ac:dyDescent="0.2">
      <c r="A276" s="513" t="s">
        <v>368</v>
      </c>
      <c r="B276" s="500">
        <v>166744152</v>
      </c>
      <c r="C276" s="456">
        <f t="shared" si="42"/>
        <v>1368</v>
      </c>
      <c r="D276" s="500">
        <v>166742784</v>
      </c>
    </row>
    <row r="277" spans="1:4" s="469" customFormat="1" x14ac:dyDescent="0.2">
      <c r="A277" s="526" t="s">
        <v>825</v>
      </c>
      <c r="B277" s="500"/>
      <c r="C277" s="456"/>
      <c r="D277" s="500"/>
    </row>
    <row r="278" spans="1:4" s="469" customFormat="1" ht="24" x14ac:dyDescent="0.2">
      <c r="A278" s="513" t="s">
        <v>733</v>
      </c>
      <c r="B278" s="500">
        <v>0</v>
      </c>
      <c r="C278" s="456">
        <f t="shared" ref="C278:C295" si="43">B278-D278</f>
        <v>0</v>
      </c>
      <c r="D278" s="500">
        <v>0</v>
      </c>
    </row>
    <row r="279" spans="1:4" s="469" customFormat="1" ht="36" x14ac:dyDescent="0.2">
      <c r="A279" s="513" t="s">
        <v>371</v>
      </c>
      <c r="B279" s="500">
        <v>1292957</v>
      </c>
      <c r="C279" s="456">
        <f t="shared" si="43"/>
        <v>0</v>
      </c>
      <c r="D279" s="500">
        <v>1292957</v>
      </c>
    </row>
    <row r="280" spans="1:4" s="469" customFormat="1" ht="36" x14ac:dyDescent="0.2">
      <c r="A280" s="513" t="s">
        <v>736</v>
      </c>
      <c r="B280" s="500">
        <v>10227079</v>
      </c>
      <c r="C280" s="456">
        <f t="shared" si="43"/>
        <v>0</v>
      </c>
      <c r="D280" s="500">
        <v>10227079</v>
      </c>
    </row>
    <row r="281" spans="1:4" s="469" customFormat="1" ht="36" x14ac:dyDescent="0.2">
      <c r="A281" s="513" t="s">
        <v>737</v>
      </c>
      <c r="B281" s="500">
        <v>2985374</v>
      </c>
      <c r="C281" s="456">
        <f t="shared" si="43"/>
        <v>0</v>
      </c>
      <c r="D281" s="500">
        <v>2985374</v>
      </c>
    </row>
    <row r="282" spans="1:4" s="469" customFormat="1" ht="24" x14ac:dyDescent="0.2">
      <c r="A282" s="513" t="s">
        <v>738</v>
      </c>
      <c r="B282" s="500">
        <v>59800</v>
      </c>
      <c r="C282" s="456">
        <f t="shared" si="43"/>
        <v>0</v>
      </c>
      <c r="D282" s="500">
        <v>59800</v>
      </c>
    </row>
    <row r="283" spans="1:4" s="469" customFormat="1" x14ac:dyDescent="0.2">
      <c r="A283" s="527" t="s">
        <v>393</v>
      </c>
      <c r="B283" s="528">
        <v>26278582</v>
      </c>
      <c r="C283" s="456">
        <f t="shared" si="43"/>
        <v>0</v>
      </c>
      <c r="D283" s="528">
        <v>26278582</v>
      </c>
    </row>
    <row r="284" spans="1:4" s="469" customFormat="1" x14ac:dyDescent="0.2">
      <c r="A284" s="527" t="s">
        <v>826</v>
      </c>
      <c r="B284" s="528"/>
      <c r="C284" s="456"/>
      <c r="D284" s="528"/>
    </row>
    <row r="285" spans="1:4" s="469" customFormat="1" ht="24" x14ac:dyDescent="0.2">
      <c r="A285" s="513" t="s">
        <v>376</v>
      </c>
      <c r="B285" s="500">
        <v>110104</v>
      </c>
      <c r="C285" s="456">
        <f t="shared" si="43"/>
        <v>0</v>
      </c>
      <c r="D285" s="500">
        <v>110104</v>
      </c>
    </row>
    <row r="286" spans="1:4" s="469" customFormat="1" x14ac:dyDescent="0.2">
      <c r="A286" s="513" t="s">
        <v>377</v>
      </c>
      <c r="B286" s="500">
        <v>141649</v>
      </c>
      <c r="C286" s="456">
        <f t="shared" si="43"/>
        <v>0</v>
      </c>
      <c r="D286" s="500">
        <v>141649</v>
      </c>
    </row>
    <row r="287" spans="1:4" s="469" customFormat="1" x14ac:dyDescent="0.2">
      <c r="A287" s="513" t="s">
        <v>378</v>
      </c>
      <c r="B287" s="500">
        <v>3467982</v>
      </c>
      <c r="C287" s="456">
        <f t="shared" si="43"/>
        <v>0</v>
      </c>
      <c r="D287" s="500">
        <v>3467982</v>
      </c>
    </row>
    <row r="288" spans="1:4" s="469" customFormat="1" ht="24" x14ac:dyDescent="0.2">
      <c r="A288" s="526" t="s">
        <v>388</v>
      </c>
      <c r="B288" s="500"/>
      <c r="C288" s="456"/>
      <c r="D288" s="500"/>
    </row>
    <row r="289" spans="1:4" s="469" customFormat="1" x14ac:dyDescent="0.2">
      <c r="A289" s="513" t="s">
        <v>381</v>
      </c>
      <c r="B289" s="500">
        <v>2176032</v>
      </c>
      <c r="C289" s="456">
        <f t="shared" si="43"/>
        <v>0</v>
      </c>
      <c r="D289" s="500">
        <v>2176032</v>
      </c>
    </row>
    <row r="290" spans="1:4" s="469" customFormat="1" ht="24" x14ac:dyDescent="0.2">
      <c r="A290" s="513" t="s">
        <v>382</v>
      </c>
      <c r="B290" s="500">
        <v>2563365</v>
      </c>
      <c r="C290" s="456">
        <f t="shared" si="43"/>
        <v>-176400</v>
      </c>
      <c r="D290" s="500">
        <v>2739765</v>
      </c>
    </row>
    <row r="291" spans="1:4" s="469" customFormat="1" x14ac:dyDescent="0.2">
      <c r="A291" s="513" t="s">
        <v>383</v>
      </c>
      <c r="B291" s="500">
        <v>1282239</v>
      </c>
      <c r="C291" s="456">
        <f t="shared" si="43"/>
        <v>0</v>
      </c>
      <c r="D291" s="500">
        <v>1282239</v>
      </c>
    </row>
    <row r="292" spans="1:4" s="469" customFormat="1" x14ac:dyDescent="0.2">
      <c r="A292" s="513" t="s">
        <v>384</v>
      </c>
      <c r="B292" s="500">
        <v>6137607</v>
      </c>
      <c r="C292" s="456">
        <f t="shared" si="43"/>
        <v>-60000</v>
      </c>
      <c r="D292" s="500">
        <v>6197607</v>
      </c>
    </row>
    <row r="293" spans="1:4" s="469" customFormat="1" ht="36" x14ac:dyDescent="0.2">
      <c r="A293" s="513" t="s">
        <v>385</v>
      </c>
      <c r="B293" s="500">
        <v>455000</v>
      </c>
      <c r="C293" s="456">
        <f t="shared" si="43"/>
        <v>0</v>
      </c>
      <c r="D293" s="500">
        <v>455000</v>
      </c>
    </row>
    <row r="294" spans="1:4" x14ac:dyDescent="0.2">
      <c r="A294" s="512" t="s">
        <v>387</v>
      </c>
      <c r="B294" s="473">
        <v>35246072</v>
      </c>
      <c r="C294" s="446">
        <f t="shared" si="43"/>
        <v>0</v>
      </c>
      <c r="D294" s="473">
        <v>35246072</v>
      </c>
    </row>
    <row r="295" spans="1:4" ht="24" x14ac:dyDescent="0.2">
      <c r="A295" s="513" t="s">
        <v>388</v>
      </c>
      <c r="B295" s="473">
        <v>53762922</v>
      </c>
      <c r="C295" s="446">
        <f t="shared" si="43"/>
        <v>0</v>
      </c>
      <c r="D295" s="473">
        <v>53762922</v>
      </c>
    </row>
    <row r="296" spans="1:4" ht="24" x14ac:dyDescent="0.2">
      <c r="A296" s="515" t="s">
        <v>42</v>
      </c>
      <c r="B296" s="448">
        <f>SUM(B241:B295)</f>
        <v>620163797</v>
      </c>
      <c r="C296" s="448">
        <f>B296-D296</f>
        <v>-19708643</v>
      </c>
      <c r="D296" s="448">
        <f>SUM(D241:D295)</f>
        <v>639872440</v>
      </c>
    </row>
    <row r="297" spans="1:4" x14ac:dyDescent="0.2">
      <c r="A297" s="529" t="s">
        <v>397</v>
      </c>
      <c r="D297" s="473"/>
    </row>
    <row r="298" spans="1:4" ht="24" x14ac:dyDescent="0.2">
      <c r="A298" s="512" t="s">
        <v>740</v>
      </c>
      <c r="B298" s="473"/>
      <c r="D298" s="473"/>
    </row>
    <row r="299" spans="1:4" ht="24" x14ac:dyDescent="0.2">
      <c r="A299" s="512" t="s">
        <v>398</v>
      </c>
      <c r="B299" s="473">
        <v>1760350</v>
      </c>
      <c r="C299" s="446">
        <f t="shared" ref="C299:C305" si="44">B299-D299</f>
        <v>0</v>
      </c>
      <c r="D299" s="473">
        <v>1760350</v>
      </c>
    </row>
    <row r="300" spans="1:4" ht="24" x14ac:dyDescent="0.2">
      <c r="A300" s="512" t="s">
        <v>399</v>
      </c>
      <c r="B300" s="473">
        <v>50096954</v>
      </c>
      <c r="C300" s="446">
        <f t="shared" si="44"/>
        <v>-8757130</v>
      </c>
      <c r="D300" s="473">
        <v>58854084</v>
      </c>
    </row>
    <row r="301" spans="1:4" ht="24" x14ac:dyDescent="0.2">
      <c r="A301" s="512" t="s">
        <v>400</v>
      </c>
      <c r="B301" s="473">
        <v>51960414</v>
      </c>
      <c r="C301" s="446">
        <f t="shared" si="44"/>
        <v>-501847</v>
      </c>
      <c r="D301" s="473">
        <v>52462261</v>
      </c>
    </row>
    <row r="302" spans="1:4" ht="24" x14ac:dyDescent="0.2">
      <c r="A302" s="512" t="s">
        <v>401</v>
      </c>
      <c r="B302" s="473">
        <v>63154157</v>
      </c>
      <c r="C302" s="446">
        <f t="shared" si="44"/>
        <v>-1162219</v>
      </c>
      <c r="D302" s="473">
        <v>64316376</v>
      </c>
    </row>
    <row r="303" spans="1:4" ht="36" x14ac:dyDescent="0.2">
      <c r="A303" s="512" t="s">
        <v>402</v>
      </c>
      <c r="B303" s="473">
        <v>7435032</v>
      </c>
      <c r="C303" s="446">
        <f t="shared" si="44"/>
        <v>0</v>
      </c>
      <c r="D303" s="473">
        <v>7435032</v>
      </c>
    </row>
    <row r="304" spans="1:4" ht="24" x14ac:dyDescent="0.2">
      <c r="A304" s="512" t="s">
        <v>403</v>
      </c>
      <c r="B304" s="473">
        <v>4596638</v>
      </c>
      <c r="C304" s="446">
        <f t="shared" si="44"/>
        <v>0</v>
      </c>
      <c r="D304" s="473">
        <v>4596638</v>
      </c>
    </row>
    <row r="305" spans="1:4" ht="36" x14ac:dyDescent="0.2">
      <c r="A305" s="512" t="s">
        <v>827</v>
      </c>
      <c r="B305" s="473">
        <v>5472457</v>
      </c>
      <c r="C305" s="446">
        <f t="shared" si="44"/>
        <v>-1</v>
      </c>
      <c r="D305" s="473">
        <v>5472458</v>
      </c>
    </row>
    <row r="306" spans="1:4" x14ac:dyDescent="0.2">
      <c r="A306" s="530" t="s">
        <v>50</v>
      </c>
      <c r="B306" s="473"/>
      <c r="D306" s="473"/>
    </row>
    <row r="307" spans="1:4" ht="24" x14ac:dyDescent="0.2">
      <c r="A307" s="512" t="s">
        <v>405</v>
      </c>
      <c r="B307" s="473">
        <v>1200000</v>
      </c>
      <c r="C307" s="446">
        <f t="shared" ref="C307" si="45">B307-D307</f>
        <v>0</v>
      </c>
      <c r="D307" s="473">
        <v>1200000</v>
      </c>
    </row>
    <row r="308" spans="1:4" x14ac:dyDescent="0.2">
      <c r="A308" s="515" t="s">
        <v>70</v>
      </c>
      <c r="B308" s="507">
        <f>SUM(B299:B307)</f>
        <v>185676002</v>
      </c>
      <c r="C308" s="448">
        <f>B308-D308</f>
        <v>-10421197</v>
      </c>
      <c r="D308" s="507">
        <f>SUM(D299:D307)</f>
        <v>196097199</v>
      </c>
    </row>
    <row r="309" spans="1:4" x14ac:dyDescent="0.2">
      <c r="A309" s="441" t="s">
        <v>742</v>
      </c>
      <c r="B309" s="468">
        <v>21128359</v>
      </c>
      <c r="C309" s="446">
        <f t="shared" ref="C309:C311" si="46">B309-D309</f>
        <v>0</v>
      </c>
      <c r="D309" s="468">
        <v>21128359</v>
      </c>
    </row>
    <row r="310" spans="1:4" x14ac:dyDescent="0.2">
      <c r="A310" s="357" t="s">
        <v>743</v>
      </c>
      <c r="B310" s="471">
        <v>28200</v>
      </c>
      <c r="C310" s="446">
        <f t="shared" si="46"/>
        <v>0</v>
      </c>
      <c r="D310" s="471">
        <v>28200</v>
      </c>
    </row>
    <row r="311" spans="1:4" x14ac:dyDescent="0.2">
      <c r="A311" s="441" t="s">
        <v>744</v>
      </c>
      <c r="B311" s="471">
        <v>1035755</v>
      </c>
      <c r="C311" s="446">
        <f t="shared" si="46"/>
        <v>0</v>
      </c>
      <c r="D311" s="471">
        <v>1035755</v>
      </c>
    </row>
    <row r="312" spans="1:4" x14ac:dyDescent="0.2">
      <c r="A312" s="480" t="s">
        <v>49</v>
      </c>
      <c r="B312" s="448">
        <f>SUM(B309:B311)</f>
        <v>22192314</v>
      </c>
      <c r="C312" s="448">
        <f>B312-D312</f>
        <v>0</v>
      </c>
      <c r="D312" s="448">
        <f>SUM(D309:D311)</f>
        <v>22192314</v>
      </c>
    </row>
    <row r="313" spans="1:4" x14ac:dyDescent="0.2">
      <c r="A313" s="480" t="s">
        <v>832</v>
      </c>
      <c r="B313" s="448">
        <f>SUM(B239,B296,B308,B312)</f>
        <v>1155627685</v>
      </c>
      <c r="C313" s="448">
        <f>B313-D313</f>
        <v>-30129840</v>
      </c>
      <c r="D313" s="448">
        <f>SUM(D239,D296,D308,D312)</f>
        <v>1185757525</v>
      </c>
    </row>
    <row r="314" spans="1:4" x14ac:dyDescent="0.2">
      <c r="A314" s="519"/>
      <c r="B314" s="481"/>
      <c r="C314" s="481"/>
      <c r="D314" s="481"/>
    </row>
    <row r="315" spans="1:4" x14ac:dyDescent="0.2">
      <c r="A315" s="512" t="s">
        <v>745</v>
      </c>
      <c r="B315" s="473">
        <v>72847935</v>
      </c>
      <c r="C315" s="446">
        <f t="shared" ref="C315:C317" si="47">B315-D315</f>
        <v>0</v>
      </c>
      <c r="D315" s="473">
        <v>72847935</v>
      </c>
    </row>
    <row r="316" spans="1:4" ht="48" x14ac:dyDescent="0.2">
      <c r="A316" s="512" t="s">
        <v>746</v>
      </c>
      <c r="B316" s="473">
        <v>1077400</v>
      </c>
      <c r="C316" s="446">
        <f t="shared" si="47"/>
        <v>0</v>
      </c>
      <c r="D316" s="473">
        <v>1077400</v>
      </c>
    </row>
    <row r="317" spans="1:4" ht="24" x14ac:dyDescent="0.2">
      <c r="A317" s="513" t="s">
        <v>411</v>
      </c>
      <c r="B317" s="473">
        <v>210796841</v>
      </c>
      <c r="C317" s="446">
        <f t="shared" si="47"/>
        <v>0</v>
      </c>
      <c r="D317" s="473">
        <v>210796841</v>
      </c>
    </row>
    <row r="318" spans="1:4" ht="24" x14ac:dyDescent="0.2">
      <c r="A318" s="515" t="s">
        <v>828</v>
      </c>
      <c r="B318" s="507">
        <f>SUM(B315:B317)</f>
        <v>284722176</v>
      </c>
      <c r="C318" s="448">
        <f>B318-D318</f>
        <v>0</v>
      </c>
      <c r="D318" s="507">
        <f>SUM(D315:D317)</f>
        <v>284722176</v>
      </c>
    </row>
    <row r="319" spans="1:4" x14ac:dyDescent="0.2">
      <c r="A319" s="513" t="s">
        <v>812</v>
      </c>
      <c r="B319" s="500">
        <v>64128385</v>
      </c>
      <c r="C319" s="446">
        <f t="shared" ref="C319:C322" si="48">B319-D319</f>
        <v>0</v>
      </c>
      <c r="D319" s="500">
        <v>64128385</v>
      </c>
    </row>
    <row r="320" spans="1:4" x14ac:dyDescent="0.2">
      <c r="A320" s="512" t="s">
        <v>414</v>
      </c>
      <c r="B320" s="473">
        <v>0</v>
      </c>
      <c r="C320" s="446">
        <f t="shared" si="48"/>
        <v>0</v>
      </c>
      <c r="D320" s="473">
        <v>0</v>
      </c>
    </row>
    <row r="321" spans="1:4" x14ac:dyDescent="0.2">
      <c r="A321" s="512" t="s">
        <v>416</v>
      </c>
      <c r="B321" s="473">
        <v>187413720</v>
      </c>
      <c r="C321" s="446">
        <f t="shared" si="48"/>
        <v>0</v>
      </c>
      <c r="D321" s="473">
        <v>187413720</v>
      </c>
    </row>
    <row r="322" spans="1:4" x14ac:dyDescent="0.2">
      <c r="A322" s="513" t="s">
        <v>813</v>
      </c>
      <c r="B322" s="473">
        <v>756000</v>
      </c>
      <c r="C322" s="446">
        <f t="shared" si="48"/>
        <v>0</v>
      </c>
      <c r="D322" s="473">
        <v>756000</v>
      </c>
    </row>
    <row r="323" spans="1:4" ht="24" x14ac:dyDescent="0.2">
      <c r="A323" s="515" t="s">
        <v>829</v>
      </c>
      <c r="B323" s="448">
        <f>SUM(B319:B322)</f>
        <v>252298105</v>
      </c>
      <c r="C323" s="448">
        <f>B323-D323</f>
        <v>0</v>
      </c>
      <c r="D323" s="448">
        <f>SUM(D319:D322)</f>
        <v>252298105</v>
      </c>
    </row>
    <row r="324" spans="1:4" ht="12.75" thickBot="1" x14ac:dyDescent="0.25">
      <c r="A324" s="502" t="s">
        <v>833</v>
      </c>
      <c r="B324" s="492">
        <f>B215-B313+B318-B323</f>
        <v>276554069</v>
      </c>
      <c r="C324" s="492">
        <f>B324-D324</f>
        <v>30274225</v>
      </c>
      <c r="D324" s="492">
        <f>D215-D313+D318-D323</f>
        <v>246279844</v>
      </c>
    </row>
    <row r="325" spans="1:4" ht="12.75" thickTop="1" x14ac:dyDescent="0.2"/>
    <row r="327" spans="1:4" x14ac:dyDescent="0.2">
      <c r="A327" s="644" t="s">
        <v>479</v>
      </c>
      <c r="B327" s="644"/>
      <c r="C327" s="644"/>
      <c r="D327" s="644"/>
    </row>
    <row r="328" spans="1:4" ht="24" x14ac:dyDescent="0.2">
      <c r="A328" s="443" t="s">
        <v>79</v>
      </c>
      <c r="B328" s="444" t="s">
        <v>769</v>
      </c>
      <c r="C328" s="445" t="s">
        <v>86</v>
      </c>
      <c r="D328" s="444" t="s">
        <v>770</v>
      </c>
    </row>
    <row r="329" spans="1:4" x14ac:dyDescent="0.2">
      <c r="A329" s="443"/>
      <c r="B329" s="444"/>
      <c r="C329" s="445"/>
      <c r="D329" s="444"/>
    </row>
    <row r="330" spans="1:4" x14ac:dyDescent="0.2">
      <c r="A330" s="531" t="s">
        <v>75</v>
      </c>
      <c r="B330" s="533">
        <v>2915582670</v>
      </c>
      <c r="C330" s="446">
        <f>B330-D330</f>
        <v>-23139072</v>
      </c>
      <c r="D330" s="446">
        <v>2938721742</v>
      </c>
    </row>
    <row r="331" spans="1:4" x14ac:dyDescent="0.2">
      <c r="A331" s="531" t="s">
        <v>480</v>
      </c>
      <c r="B331" s="533"/>
    </row>
    <row r="332" spans="1:4" x14ac:dyDescent="0.2">
      <c r="A332" s="454" t="s">
        <v>496</v>
      </c>
      <c r="B332" s="533">
        <v>23139073</v>
      </c>
      <c r="C332" s="446">
        <f t="shared" ref="C332:C333" si="49">B332-D332</f>
        <v>26967377</v>
      </c>
      <c r="D332" s="446">
        <v>-3828304</v>
      </c>
    </row>
    <row r="333" spans="1:4" x14ac:dyDescent="0.2">
      <c r="A333" s="454" t="s">
        <v>7</v>
      </c>
      <c r="B333" s="533">
        <v>276554069</v>
      </c>
      <c r="C333" s="446">
        <f t="shared" si="49"/>
        <v>30274225</v>
      </c>
      <c r="D333" s="446">
        <v>246279844</v>
      </c>
    </row>
    <row r="334" spans="1:4" x14ac:dyDescent="0.2">
      <c r="A334" s="451" t="s">
        <v>481</v>
      </c>
      <c r="B334" s="534">
        <f>SUM(B332:B333)</f>
        <v>299693142</v>
      </c>
      <c r="C334" s="460">
        <f>B334-D334</f>
        <v>57241602</v>
      </c>
      <c r="D334" s="460">
        <v>242451540</v>
      </c>
    </row>
    <row r="335" spans="1:4" x14ac:dyDescent="0.2">
      <c r="A335" s="531"/>
      <c r="B335" s="533"/>
    </row>
    <row r="336" spans="1:4" ht="12.75" thickBot="1" x14ac:dyDescent="0.25">
      <c r="A336" s="532" t="s">
        <v>8</v>
      </c>
      <c r="B336" s="535">
        <f>B330+B334</f>
        <v>3215275812</v>
      </c>
      <c r="C336" s="536">
        <f>B336-D336</f>
        <v>34102530</v>
      </c>
      <c r="D336" s="536">
        <v>3181173282</v>
      </c>
    </row>
    <row r="337" ht="12.75" thickTop="1" x14ac:dyDescent="0.2"/>
  </sheetData>
  <mergeCells count="3">
    <mergeCell ref="A1:D1"/>
    <mergeCell ref="A158:D158"/>
    <mergeCell ref="A327:D32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5"/>
  <sheetViews>
    <sheetView topLeftCell="Y1" workbookViewId="0">
      <selection activeCell="A83" sqref="A83"/>
    </sheetView>
  </sheetViews>
  <sheetFormatPr defaultRowHeight="15" x14ac:dyDescent="0.25"/>
  <cols>
    <col min="1" max="1" width="19.140625" style="9" customWidth="1"/>
    <col min="2" max="3" width="12.42578125" bestFit="1" customWidth="1"/>
    <col min="5" max="5" width="9.7109375" style="9" bestFit="1" customWidth="1"/>
    <col min="6" max="6" width="14.28515625" bestFit="1" customWidth="1"/>
    <col min="7" max="7" width="12.42578125" bestFit="1" customWidth="1"/>
    <col min="9" max="10" width="9.140625" style="247"/>
    <col min="11" max="11" width="14.28515625" bestFit="1" customWidth="1"/>
    <col min="13" max="13" width="9.140625" style="247"/>
    <col min="14" max="15" width="12.42578125" bestFit="1" customWidth="1"/>
    <col min="17" max="17" width="9.140625" style="9"/>
    <col min="18" max="19" width="12.42578125" bestFit="1" customWidth="1"/>
    <col min="21" max="21" width="9.140625" style="9"/>
    <col min="23" max="23" width="11.140625" bestFit="1" customWidth="1"/>
    <col min="28" max="28" width="9.140625" style="9"/>
    <col min="29" max="29" width="11.140625" bestFit="1" customWidth="1"/>
    <col min="32" max="32" width="9.140625" style="9"/>
    <col min="33" max="33" width="10.140625" bestFit="1" customWidth="1"/>
  </cols>
  <sheetData>
    <row r="1" spans="1:34" ht="16.5" thickBot="1" x14ac:dyDescent="0.3">
      <c r="A1" s="268" t="s">
        <v>79</v>
      </c>
      <c r="B1" s="25">
        <v>2020</v>
      </c>
      <c r="C1" s="25">
        <v>2019</v>
      </c>
      <c r="E1" s="554" t="s">
        <v>79</v>
      </c>
      <c r="F1" s="554">
        <v>2020</v>
      </c>
      <c r="G1" s="554">
        <v>2019</v>
      </c>
      <c r="I1" s="278" t="s">
        <v>96</v>
      </c>
      <c r="J1" s="430" t="s">
        <v>849</v>
      </c>
      <c r="K1" s="551" t="s">
        <v>90</v>
      </c>
      <c r="M1" s="430" t="s">
        <v>79</v>
      </c>
      <c r="N1" s="554">
        <v>2020</v>
      </c>
      <c r="O1" s="554">
        <v>2019</v>
      </c>
      <c r="Q1" s="268" t="s">
        <v>79</v>
      </c>
      <c r="R1" s="551">
        <v>2020</v>
      </c>
      <c r="S1" s="551">
        <v>2019</v>
      </c>
      <c r="U1" s="649" t="s">
        <v>156</v>
      </c>
      <c r="V1" s="645" t="s">
        <v>83</v>
      </c>
      <c r="W1" s="645" t="s">
        <v>557</v>
      </c>
      <c r="X1" s="656" t="s">
        <v>558</v>
      </c>
      <c r="Y1" s="656"/>
      <c r="Z1" s="656"/>
      <c r="AB1" s="572" t="s">
        <v>79</v>
      </c>
      <c r="AC1" s="570">
        <v>2020</v>
      </c>
      <c r="AD1" s="571">
        <v>2019</v>
      </c>
      <c r="AF1" s="268" t="s">
        <v>79</v>
      </c>
      <c r="AG1" s="551">
        <v>2020</v>
      </c>
      <c r="AH1" s="551">
        <v>2019</v>
      </c>
    </row>
    <row r="2" spans="1:34" ht="26.25" thickBot="1" x14ac:dyDescent="0.3">
      <c r="A2" s="269" t="s">
        <v>16</v>
      </c>
      <c r="B2" s="553"/>
      <c r="C2" s="550"/>
      <c r="E2" s="555" t="s">
        <v>523</v>
      </c>
      <c r="F2" s="3">
        <v>7444860</v>
      </c>
      <c r="G2" s="552">
        <v>3910850</v>
      </c>
      <c r="I2" s="78" t="s">
        <v>0</v>
      </c>
      <c r="J2" s="78"/>
      <c r="K2" s="549"/>
      <c r="M2" s="78" t="s">
        <v>115</v>
      </c>
      <c r="N2" s="48"/>
      <c r="O2" s="549"/>
      <c r="Q2" s="269" t="s">
        <v>122</v>
      </c>
      <c r="R2" s="553"/>
      <c r="S2" s="550"/>
      <c r="U2" s="650"/>
      <c r="V2" s="646"/>
      <c r="W2" s="646"/>
      <c r="X2" s="562" t="s">
        <v>559</v>
      </c>
      <c r="Y2" s="561" t="s">
        <v>560</v>
      </c>
      <c r="Z2" s="561" t="s">
        <v>561</v>
      </c>
      <c r="AB2" s="573" t="s">
        <v>573</v>
      </c>
      <c r="AC2" s="321"/>
      <c r="AD2" s="322"/>
      <c r="AF2" s="120" t="s">
        <v>157</v>
      </c>
      <c r="AG2" s="576"/>
      <c r="AH2" s="550"/>
    </row>
    <row r="3" spans="1:34" ht="16.5" thickBot="1" x14ac:dyDescent="0.3">
      <c r="A3" s="269" t="s">
        <v>627</v>
      </c>
      <c r="B3" s="49"/>
      <c r="C3" s="49"/>
      <c r="E3" s="555" t="s">
        <v>524</v>
      </c>
      <c r="F3" s="647">
        <v>1166377630</v>
      </c>
      <c r="G3" s="622">
        <v>980341226</v>
      </c>
      <c r="I3" s="559" t="s">
        <v>99</v>
      </c>
      <c r="J3" s="558" t="s">
        <v>532</v>
      </c>
      <c r="K3" s="3">
        <v>386369358</v>
      </c>
      <c r="M3" s="105" t="s">
        <v>116</v>
      </c>
      <c r="N3" s="3">
        <v>247106103</v>
      </c>
      <c r="O3" s="3">
        <v>241559872</v>
      </c>
      <c r="Q3" s="105" t="s">
        <v>123</v>
      </c>
      <c r="R3" s="3">
        <v>90367361</v>
      </c>
      <c r="S3" s="3">
        <v>100622063</v>
      </c>
      <c r="U3" s="312" t="s">
        <v>562</v>
      </c>
      <c r="V3" s="303"/>
      <c r="W3" s="563">
        <v>90367361</v>
      </c>
      <c r="X3" s="303" t="s">
        <v>563</v>
      </c>
      <c r="Y3" s="303" t="s">
        <v>563</v>
      </c>
      <c r="Z3" s="563">
        <v>90367361</v>
      </c>
      <c r="AB3" s="334" t="s">
        <v>137</v>
      </c>
      <c r="AC3" s="323">
        <v>2763891</v>
      </c>
      <c r="AD3" s="324">
        <v>2763891</v>
      </c>
      <c r="AF3" s="105" t="s">
        <v>578</v>
      </c>
      <c r="AG3" s="3">
        <v>24241736</v>
      </c>
      <c r="AH3" s="3">
        <v>25279643</v>
      </c>
    </row>
    <row r="4" spans="1:34" ht="15.75" x14ac:dyDescent="0.25">
      <c r="A4" s="105" t="s">
        <v>628</v>
      </c>
      <c r="B4" s="3">
        <v>276345766</v>
      </c>
      <c r="C4" s="3">
        <v>216925224</v>
      </c>
      <c r="E4" s="555" t="s">
        <v>525</v>
      </c>
      <c r="F4" s="647"/>
      <c r="G4" s="622"/>
      <c r="I4" s="105" t="s">
        <v>533</v>
      </c>
      <c r="J4" s="105" t="s">
        <v>100</v>
      </c>
      <c r="K4" s="259">
        <v>121356052</v>
      </c>
      <c r="M4" s="78" t="s">
        <v>547</v>
      </c>
      <c r="N4" s="553"/>
      <c r="O4" s="550"/>
      <c r="Q4" s="105" t="s">
        <v>124</v>
      </c>
      <c r="R4" s="3">
        <v>59208284</v>
      </c>
      <c r="S4" s="3">
        <v>62907135</v>
      </c>
      <c r="U4" s="312" t="s">
        <v>564</v>
      </c>
      <c r="V4" s="303"/>
      <c r="W4" s="563">
        <v>59208284</v>
      </c>
      <c r="X4" s="303" t="s">
        <v>563</v>
      </c>
      <c r="Y4" s="303" t="s">
        <v>563</v>
      </c>
      <c r="Z4" s="563">
        <v>59208284</v>
      </c>
      <c r="AB4" s="335" t="s">
        <v>574</v>
      </c>
      <c r="AC4" s="321"/>
      <c r="AD4" s="322"/>
      <c r="AF4" s="105" t="s">
        <v>579</v>
      </c>
      <c r="AG4" s="3">
        <v>180000</v>
      </c>
      <c r="AH4" s="3">
        <v>180000</v>
      </c>
    </row>
    <row r="5" spans="1:34" ht="15.75" x14ac:dyDescent="0.25">
      <c r="A5" s="105" t="s">
        <v>630</v>
      </c>
      <c r="B5" s="3">
        <v>3760251</v>
      </c>
      <c r="C5" s="3">
        <v>11650463</v>
      </c>
      <c r="E5" s="555" t="s">
        <v>526</v>
      </c>
      <c r="F5" s="647">
        <v>6889808</v>
      </c>
      <c r="G5" s="622">
        <v>6885362</v>
      </c>
      <c r="I5" s="559" t="s">
        <v>102</v>
      </c>
      <c r="J5" s="105" t="s">
        <v>100</v>
      </c>
      <c r="K5" s="259">
        <v>67638422</v>
      </c>
      <c r="M5" s="105" t="s">
        <v>118</v>
      </c>
      <c r="N5" s="3">
        <v>165600</v>
      </c>
      <c r="O5" s="3">
        <v>165600</v>
      </c>
      <c r="Q5" s="105" t="s">
        <v>125</v>
      </c>
      <c r="R5" s="3">
        <v>102961</v>
      </c>
      <c r="S5" s="3">
        <v>1256111</v>
      </c>
      <c r="U5" s="312" t="s">
        <v>565</v>
      </c>
      <c r="V5" s="303"/>
      <c r="W5" s="563">
        <v>102961</v>
      </c>
      <c r="X5" s="303" t="s">
        <v>563</v>
      </c>
      <c r="Y5" s="303" t="s">
        <v>563</v>
      </c>
      <c r="Z5" s="563">
        <v>102961</v>
      </c>
      <c r="AB5" s="336" t="s">
        <v>138</v>
      </c>
      <c r="AC5" s="325">
        <v>546850</v>
      </c>
      <c r="AD5" s="326">
        <v>546850</v>
      </c>
      <c r="AF5" s="105" t="s">
        <v>580</v>
      </c>
      <c r="AG5" s="49" t="s">
        <v>563</v>
      </c>
      <c r="AH5" s="3">
        <v>556427</v>
      </c>
    </row>
    <row r="6" spans="1:34" ht="16.5" thickBot="1" x14ac:dyDescent="0.3">
      <c r="A6" s="105" t="s">
        <v>631</v>
      </c>
      <c r="B6" s="3">
        <v>3035453</v>
      </c>
      <c r="C6" s="3">
        <v>6958760</v>
      </c>
      <c r="E6" s="254" t="s">
        <v>525</v>
      </c>
      <c r="F6" s="648"/>
      <c r="G6" s="623"/>
      <c r="I6" s="559" t="s">
        <v>534</v>
      </c>
      <c r="J6" s="105" t="s">
        <v>100</v>
      </c>
      <c r="K6" s="259">
        <v>8143580</v>
      </c>
      <c r="M6" s="78" t="s">
        <v>119</v>
      </c>
      <c r="N6" s="553"/>
      <c r="O6" s="550"/>
      <c r="Q6" s="279" t="s">
        <v>126</v>
      </c>
      <c r="R6" s="32">
        <v>2144017</v>
      </c>
      <c r="S6" s="3">
        <v>2192752</v>
      </c>
      <c r="U6" s="312" t="s">
        <v>566</v>
      </c>
      <c r="V6" s="303"/>
      <c r="W6" s="563">
        <v>2144017</v>
      </c>
      <c r="X6" s="303" t="s">
        <v>563</v>
      </c>
      <c r="Y6" s="303" t="s">
        <v>563</v>
      </c>
      <c r="Z6" s="563">
        <v>2144017</v>
      </c>
      <c r="AB6" s="336" t="s">
        <v>139</v>
      </c>
      <c r="AC6" s="325">
        <v>15570311</v>
      </c>
      <c r="AD6" s="326">
        <v>4619461</v>
      </c>
      <c r="AF6" s="105" t="s">
        <v>581</v>
      </c>
      <c r="AG6" s="3">
        <v>1166834</v>
      </c>
      <c r="AH6" s="3">
        <v>125174</v>
      </c>
    </row>
    <row r="7" spans="1:34" ht="16.5" thickBot="1" x14ac:dyDescent="0.3">
      <c r="A7" s="269" t="s">
        <v>632</v>
      </c>
      <c r="B7" s="49"/>
      <c r="C7" s="49"/>
      <c r="E7" s="255" t="s">
        <v>83</v>
      </c>
      <c r="F7" s="5">
        <v>1180712298</v>
      </c>
      <c r="G7" s="5">
        <v>991137438</v>
      </c>
      <c r="I7" s="559" t="s">
        <v>103</v>
      </c>
      <c r="J7" s="105" t="s">
        <v>100</v>
      </c>
      <c r="K7" s="259">
        <v>30603490</v>
      </c>
      <c r="M7" s="279" t="s">
        <v>120</v>
      </c>
      <c r="N7" s="32">
        <v>20143098</v>
      </c>
      <c r="O7" s="32">
        <v>20069146</v>
      </c>
      <c r="Q7" s="273" t="s">
        <v>107</v>
      </c>
      <c r="R7" s="35">
        <v>151822623</v>
      </c>
      <c r="S7" s="5">
        <v>166978061</v>
      </c>
      <c r="U7" s="312" t="s">
        <v>567</v>
      </c>
      <c r="V7" s="303"/>
      <c r="W7" s="563">
        <v>14299543</v>
      </c>
      <c r="X7" s="303" t="s">
        <v>563</v>
      </c>
      <c r="Y7" s="303" t="s">
        <v>563</v>
      </c>
      <c r="Z7" s="563">
        <v>14299543</v>
      </c>
      <c r="AB7" s="336" t="s">
        <v>575</v>
      </c>
      <c r="AC7" s="325">
        <v>419825</v>
      </c>
      <c r="AD7" s="326">
        <v>419825</v>
      </c>
      <c r="AF7" s="279" t="s">
        <v>582</v>
      </c>
      <c r="AG7" s="3">
        <v>5643313</v>
      </c>
      <c r="AH7" s="3">
        <v>5643314</v>
      </c>
    </row>
    <row r="8" spans="1:34" ht="16.5" thickBot="1" x14ac:dyDescent="0.3">
      <c r="A8" s="279" t="s">
        <v>633</v>
      </c>
      <c r="B8" s="3">
        <v>63082450</v>
      </c>
      <c r="C8" s="3">
        <v>60712458</v>
      </c>
      <c r="F8" s="242">
        <f>SUM(F2:F6)</f>
        <v>1180712298</v>
      </c>
      <c r="G8" s="242">
        <f>SUM(G2:G6)</f>
        <v>991137438</v>
      </c>
      <c r="I8" s="559" t="s">
        <v>535</v>
      </c>
      <c r="J8" s="105" t="s">
        <v>100</v>
      </c>
      <c r="K8" s="259">
        <v>83501533</v>
      </c>
      <c r="M8" s="280" t="s">
        <v>83</v>
      </c>
      <c r="N8" s="35">
        <v>267414801</v>
      </c>
      <c r="O8" s="35">
        <v>261794618</v>
      </c>
      <c r="Q8" s="269" t="s">
        <v>548</v>
      </c>
      <c r="R8" s="553"/>
      <c r="S8" s="550"/>
      <c r="U8" s="312" t="s">
        <v>568</v>
      </c>
      <c r="V8" s="303"/>
      <c r="W8" s="303" t="s">
        <v>563</v>
      </c>
      <c r="X8" s="303" t="s">
        <v>563</v>
      </c>
      <c r="Y8" s="303" t="s">
        <v>563</v>
      </c>
      <c r="Z8" s="303" t="s">
        <v>563</v>
      </c>
      <c r="AB8" s="334" t="s">
        <v>576</v>
      </c>
      <c r="AC8" s="323">
        <v>2748279</v>
      </c>
      <c r="AD8" s="323">
        <v>1392546</v>
      </c>
      <c r="AF8" s="273" t="s">
        <v>107</v>
      </c>
      <c r="AG8" s="5">
        <v>31231883</v>
      </c>
      <c r="AH8" s="5">
        <v>31784558</v>
      </c>
    </row>
    <row r="9" spans="1:34" ht="16.5" thickBot="1" x14ac:dyDescent="0.3">
      <c r="A9" s="273" t="s">
        <v>107</v>
      </c>
      <c r="B9" s="5">
        <v>344319059</v>
      </c>
      <c r="C9" s="5">
        <v>296246905</v>
      </c>
      <c r="F9" s="242">
        <f>F7-F8</f>
        <v>0</v>
      </c>
      <c r="G9" s="242">
        <f>G7-G8</f>
        <v>0</v>
      </c>
      <c r="I9" s="559" t="s">
        <v>105</v>
      </c>
      <c r="J9" s="105" t="s">
        <v>100</v>
      </c>
      <c r="K9" s="259">
        <v>203881117</v>
      </c>
      <c r="N9">
        <f>SUM(N2:N7)</f>
        <v>267414801</v>
      </c>
      <c r="O9">
        <f>SUM(O2:O7)</f>
        <v>261794618</v>
      </c>
      <c r="Q9" s="279" t="s">
        <v>549</v>
      </c>
      <c r="R9" s="32">
        <v>14299543</v>
      </c>
      <c r="S9" s="32">
        <v>8682314</v>
      </c>
      <c r="U9" s="312" t="s">
        <v>569</v>
      </c>
      <c r="V9" s="303"/>
      <c r="W9" s="563">
        <v>66244726</v>
      </c>
      <c r="X9" s="303" t="s">
        <v>563</v>
      </c>
      <c r="Y9" s="303" t="s">
        <v>563</v>
      </c>
      <c r="Z9" s="563">
        <v>66244726</v>
      </c>
      <c r="AB9" s="574" t="s">
        <v>107</v>
      </c>
      <c r="AC9" s="327">
        <v>22049156</v>
      </c>
      <c r="AD9" s="328">
        <v>9742573</v>
      </c>
      <c r="AF9" s="269" t="s">
        <v>164</v>
      </c>
      <c r="AG9" s="553"/>
      <c r="AH9" s="550"/>
    </row>
    <row r="10" spans="1:34" ht="16.5" thickBot="1" x14ac:dyDescent="0.3">
      <c r="A10" s="557"/>
      <c r="B10" s="347">
        <f>SUM(B4:B8)</f>
        <v>346223920</v>
      </c>
      <c r="C10" s="347">
        <f>SUM(C4:C8)</f>
        <v>296246905</v>
      </c>
      <c r="I10" s="279" t="s">
        <v>106</v>
      </c>
      <c r="J10" s="279" t="s">
        <v>100</v>
      </c>
      <c r="K10" s="261">
        <v>10832764</v>
      </c>
      <c r="N10" s="242">
        <f>N8-N9</f>
        <v>0</v>
      </c>
      <c r="O10" s="242">
        <f>O8-O9</f>
        <v>0</v>
      </c>
      <c r="Q10" s="269" t="s">
        <v>551</v>
      </c>
      <c r="R10" s="49"/>
      <c r="S10" s="550"/>
      <c r="U10" s="312" t="s">
        <v>132</v>
      </c>
      <c r="V10" s="303"/>
      <c r="W10" s="303" t="s">
        <v>563</v>
      </c>
      <c r="X10" s="303" t="s">
        <v>563</v>
      </c>
      <c r="Y10" s="303" t="s">
        <v>563</v>
      </c>
      <c r="Z10" s="303" t="s">
        <v>563</v>
      </c>
      <c r="AB10" s="573" t="s">
        <v>577</v>
      </c>
      <c r="AC10" s="321"/>
      <c r="AD10" s="322"/>
      <c r="AF10" s="279" t="s">
        <v>583</v>
      </c>
      <c r="AG10" s="3">
        <v>2240584</v>
      </c>
      <c r="AH10" s="3">
        <v>762394</v>
      </c>
    </row>
    <row r="11" spans="1:34" ht="16.5" thickBot="1" x14ac:dyDescent="0.3">
      <c r="A11" s="557"/>
      <c r="B11" s="347">
        <f>B9-B10</f>
        <v>-1904861</v>
      </c>
      <c r="C11" s="347">
        <f>C9-C10</f>
        <v>0</v>
      </c>
      <c r="I11" s="287" t="s">
        <v>107</v>
      </c>
      <c r="J11" s="287"/>
      <c r="K11" s="35">
        <v>912326316</v>
      </c>
      <c r="Q11" s="279" t="s">
        <v>552</v>
      </c>
      <c r="R11" s="32">
        <v>66244726</v>
      </c>
      <c r="S11" s="32">
        <v>147200</v>
      </c>
      <c r="U11" s="312" t="s">
        <v>570</v>
      </c>
      <c r="V11" s="303"/>
      <c r="W11" s="303" t="s">
        <v>563</v>
      </c>
      <c r="X11" s="303" t="s">
        <v>563</v>
      </c>
      <c r="Y11" s="303" t="s">
        <v>563</v>
      </c>
      <c r="Z11" s="303" t="s">
        <v>563</v>
      </c>
      <c r="AB11" s="336" t="s">
        <v>144</v>
      </c>
      <c r="AC11" s="325">
        <v>6892684</v>
      </c>
      <c r="AD11" s="329">
        <v>6426298</v>
      </c>
      <c r="AF11" s="19" t="s">
        <v>83</v>
      </c>
      <c r="AG11" s="342">
        <v>33472467</v>
      </c>
      <c r="AH11" s="342">
        <v>32546952</v>
      </c>
    </row>
    <row r="12" spans="1:34" ht="16.5" thickBot="1" x14ac:dyDescent="0.3">
      <c r="A12" s="269" t="s">
        <v>20</v>
      </c>
      <c r="B12" s="553"/>
      <c r="C12" s="550"/>
      <c r="I12" s="280" t="s">
        <v>1</v>
      </c>
      <c r="J12" s="280" t="s">
        <v>536</v>
      </c>
      <c r="K12" s="262">
        <v>117189043</v>
      </c>
      <c r="Q12" s="269" t="s">
        <v>131</v>
      </c>
      <c r="R12" s="49"/>
      <c r="S12" s="550"/>
      <c r="U12" s="312" t="s">
        <v>135</v>
      </c>
      <c r="V12" s="303"/>
      <c r="W12" s="563">
        <v>473312</v>
      </c>
      <c r="X12" s="303" t="s">
        <v>563</v>
      </c>
      <c r="Y12" s="303" t="s">
        <v>563</v>
      </c>
      <c r="Z12" s="563">
        <v>473312</v>
      </c>
      <c r="AB12" s="336" t="s">
        <v>145</v>
      </c>
      <c r="AC12" s="325">
        <v>4804861</v>
      </c>
      <c r="AD12" s="329">
        <v>2973556</v>
      </c>
      <c r="AG12" s="242">
        <f>SUM(AG3:AG7,AG10)</f>
        <v>33472467</v>
      </c>
      <c r="AH12" s="242">
        <f>SUM(AH3:AH7,AH10)</f>
        <v>32546952</v>
      </c>
    </row>
    <row r="13" spans="1:34" ht="40.5" customHeight="1" thickBot="1" x14ac:dyDescent="0.3">
      <c r="A13" s="269" t="s">
        <v>632</v>
      </c>
      <c r="B13" s="49"/>
      <c r="C13" s="49"/>
      <c r="I13" s="78" t="s">
        <v>537</v>
      </c>
      <c r="J13" s="78"/>
      <c r="K13" s="263"/>
      <c r="Q13" s="279" t="s">
        <v>132</v>
      </c>
      <c r="R13" s="560" t="s">
        <v>553</v>
      </c>
      <c r="S13" s="560" t="s">
        <v>554</v>
      </c>
      <c r="U13" s="651" t="s">
        <v>571</v>
      </c>
      <c r="V13" s="652"/>
      <c r="W13" s="563">
        <v>313646</v>
      </c>
      <c r="X13" s="652"/>
      <c r="Y13" s="652" t="s">
        <v>563</v>
      </c>
      <c r="Z13" s="653">
        <v>313646</v>
      </c>
      <c r="AB13" s="336" t="s">
        <v>146</v>
      </c>
      <c r="AC13" s="325">
        <v>1783665</v>
      </c>
      <c r="AD13" s="329">
        <v>1783665</v>
      </c>
      <c r="AG13" s="242">
        <f>AG11-AG12</f>
        <v>0</v>
      </c>
      <c r="AH13" s="242">
        <f>AH11-AH12</f>
        <v>0</v>
      </c>
    </row>
    <row r="14" spans="1:34" ht="16.5" thickBot="1" x14ac:dyDescent="0.3">
      <c r="A14" s="279" t="s">
        <v>633</v>
      </c>
      <c r="B14" s="3">
        <v>304608403</v>
      </c>
      <c r="C14" s="3">
        <v>337213093</v>
      </c>
      <c r="I14" s="559" t="s">
        <v>99</v>
      </c>
      <c r="J14" s="105" t="s">
        <v>100</v>
      </c>
      <c r="K14" s="259">
        <v>116199146</v>
      </c>
      <c r="Q14" s="269" t="s">
        <v>133</v>
      </c>
      <c r="R14" s="553"/>
      <c r="S14" s="550"/>
      <c r="U14" s="651"/>
      <c r="V14" s="652"/>
      <c r="W14" s="302"/>
      <c r="X14" s="652"/>
      <c r="Y14" s="652"/>
      <c r="Z14" s="653"/>
      <c r="AB14" s="336" t="s">
        <v>147</v>
      </c>
      <c r="AC14" s="325">
        <v>40924</v>
      </c>
      <c r="AD14" s="329">
        <v>6086</v>
      </c>
    </row>
    <row r="15" spans="1:34" ht="32.25" customHeight="1" thickBot="1" x14ac:dyDescent="0.3">
      <c r="A15" s="19" t="s">
        <v>83</v>
      </c>
      <c r="B15" s="342">
        <v>650832323</v>
      </c>
      <c r="C15" s="342">
        <v>633459998</v>
      </c>
      <c r="I15" s="559" t="s">
        <v>109</v>
      </c>
      <c r="J15" s="105" t="s">
        <v>100</v>
      </c>
      <c r="K15" s="259">
        <v>12188877</v>
      </c>
      <c r="Q15" s="105" t="s">
        <v>134</v>
      </c>
      <c r="R15" s="49" t="s">
        <v>415</v>
      </c>
      <c r="S15" s="49" t="s">
        <v>555</v>
      </c>
      <c r="U15" s="651"/>
      <c r="V15" s="652"/>
      <c r="W15" s="303" t="s">
        <v>853</v>
      </c>
      <c r="X15" s="652"/>
      <c r="Y15" s="652"/>
      <c r="Z15" s="653"/>
      <c r="AB15" s="336" t="s">
        <v>148</v>
      </c>
      <c r="AC15" s="325">
        <v>958910</v>
      </c>
      <c r="AD15" s="329">
        <v>958910</v>
      </c>
    </row>
    <row r="16" spans="1:34" ht="16.5" thickBot="1" x14ac:dyDescent="0.3">
      <c r="I16" s="105" t="s">
        <v>110</v>
      </c>
      <c r="J16" s="105" t="s">
        <v>100</v>
      </c>
      <c r="K16" s="259">
        <v>2066072</v>
      </c>
      <c r="Q16" s="105" t="s">
        <v>135</v>
      </c>
      <c r="R16" s="3">
        <v>473312</v>
      </c>
      <c r="S16" s="3">
        <v>119490</v>
      </c>
      <c r="U16" s="569" t="s">
        <v>572</v>
      </c>
      <c r="V16" s="564"/>
      <c r="W16" s="565">
        <v>834323</v>
      </c>
      <c r="X16" s="564"/>
      <c r="Y16" s="564"/>
      <c r="Z16" s="566">
        <v>834323</v>
      </c>
      <c r="AB16" s="336" t="s">
        <v>149</v>
      </c>
      <c r="AC16" s="325">
        <v>24107583</v>
      </c>
      <c r="AD16" s="329">
        <v>20526902</v>
      </c>
    </row>
    <row r="17" spans="9:30" ht="16.5" thickBot="1" x14ac:dyDescent="0.3">
      <c r="I17" s="105" t="s">
        <v>538</v>
      </c>
      <c r="J17" s="105" t="s">
        <v>100</v>
      </c>
      <c r="K17" s="259">
        <v>1141487</v>
      </c>
      <c r="Q17" s="105" t="s">
        <v>556</v>
      </c>
      <c r="R17" s="3">
        <v>313646</v>
      </c>
      <c r="S17" s="49" t="s">
        <v>708</v>
      </c>
      <c r="U17" s="311" t="s">
        <v>83</v>
      </c>
      <c r="V17" s="567"/>
      <c r="W17" s="568">
        <v>233988173</v>
      </c>
      <c r="X17" s="567" t="s">
        <v>563</v>
      </c>
      <c r="Y17" s="567" t="s">
        <v>563</v>
      </c>
      <c r="Z17" s="568">
        <v>233988173</v>
      </c>
      <c r="AB17" s="336" t="s">
        <v>140</v>
      </c>
      <c r="AC17" s="654">
        <v>54481532</v>
      </c>
      <c r="AD17" s="655">
        <v>35944643</v>
      </c>
    </row>
    <row r="18" spans="9:30" ht="16.5" thickBot="1" x14ac:dyDescent="0.3">
      <c r="I18" s="105" t="s">
        <v>539</v>
      </c>
      <c r="J18" s="105" t="s">
        <v>100</v>
      </c>
      <c r="K18" s="259">
        <v>1316049</v>
      </c>
      <c r="Q18" s="254" t="s">
        <v>133</v>
      </c>
      <c r="R18" s="3">
        <v>834323</v>
      </c>
      <c r="S18" s="3">
        <v>740036</v>
      </c>
      <c r="W18" s="242">
        <f>SUM(W3:W16)</f>
        <v>233988173</v>
      </c>
      <c r="X18" s="242">
        <f t="shared" ref="X18:Z18" si="0">SUM(X3:X16)</f>
        <v>0</v>
      </c>
      <c r="Y18" s="242">
        <f t="shared" si="0"/>
        <v>0</v>
      </c>
      <c r="Z18" s="242">
        <f t="shared" si="0"/>
        <v>233988173</v>
      </c>
      <c r="AB18" s="336" t="s">
        <v>153</v>
      </c>
      <c r="AC18" s="654"/>
      <c r="AD18" s="655"/>
    </row>
    <row r="19" spans="9:30" ht="16.5" thickBot="1" x14ac:dyDescent="0.3">
      <c r="I19" s="279" t="s">
        <v>540</v>
      </c>
      <c r="J19" s="279" t="s">
        <v>100</v>
      </c>
      <c r="K19" s="261">
        <v>3950640</v>
      </c>
      <c r="Q19" s="273" t="s">
        <v>107</v>
      </c>
      <c r="R19" s="5">
        <v>1621281</v>
      </c>
      <c r="S19" s="5">
        <v>859526</v>
      </c>
      <c r="W19" s="242">
        <f>W17-W18</f>
        <v>0</v>
      </c>
      <c r="X19" s="242" t="e">
        <f t="shared" ref="X19:Z19" si="1">X17-X18</f>
        <v>#VALUE!</v>
      </c>
      <c r="Y19" s="242" t="e">
        <f t="shared" si="1"/>
        <v>#VALUE!</v>
      </c>
      <c r="Z19" s="242">
        <f t="shared" si="1"/>
        <v>0</v>
      </c>
      <c r="AB19" s="336" t="s">
        <v>152</v>
      </c>
      <c r="AC19" s="654">
        <v>333000</v>
      </c>
      <c r="AD19" s="655">
        <v>1097281</v>
      </c>
    </row>
    <row r="20" spans="9:30" ht="16.5" thickBot="1" x14ac:dyDescent="0.3">
      <c r="I20" s="287" t="s">
        <v>107</v>
      </c>
      <c r="J20" s="287"/>
      <c r="K20" s="262">
        <v>136862271</v>
      </c>
      <c r="Q20" s="255" t="s">
        <v>83</v>
      </c>
      <c r="R20" s="35">
        <v>233988173</v>
      </c>
      <c r="S20" s="35">
        <v>176667101</v>
      </c>
      <c r="AB20" s="336" t="s">
        <v>153</v>
      </c>
      <c r="AC20" s="654"/>
      <c r="AD20" s="655"/>
    </row>
    <row r="21" spans="9:30" ht="16.5" thickBot="1" x14ac:dyDescent="0.3">
      <c r="I21" s="280" t="s">
        <v>83</v>
      </c>
      <c r="J21" s="279"/>
      <c r="K21" s="262">
        <v>1166377630</v>
      </c>
      <c r="Q21" s="282" t="s">
        <v>850</v>
      </c>
      <c r="R21" s="242">
        <f>SUM(R3:R6,R9,R11,R16:R18)</f>
        <v>233988173</v>
      </c>
      <c r="S21" s="242">
        <f>SUM(S3:S6,S9,S11,S16:S18)</f>
        <v>176667101</v>
      </c>
      <c r="AB21" s="334" t="s">
        <v>154</v>
      </c>
      <c r="AC21" s="323">
        <v>38344563</v>
      </c>
      <c r="AD21" s="324">
        <v>19405837</v>
      </c>
    </row>
    <row r="22" spans="9:30" ht="15.75" thickBot="1" x14ac:dyDescent="0.3">
      <c r="K22" s="242">
        <f>SUM(K3:K10,K14:K19,K12)</f>
        <v>1166377630</v>
      </c>
      <c r="Q22" s="283" t="s">
        <v>851</v>
      </c>
      <c r="R22" s="242">
        <f>R20-R21</f>
        <v>0</v>
      </c>
      <c r="S22" s="242">
        <f>S20-S21</f>
        <v>0</v>
      </c>
      <c r="AB22" s="574" t="s">
        <v>107</v>
      </c>
      <c r="AC22" s="327">
        <v>131747722</v>
      </c>
      <c r="AD22" s="330">
        <v>89123178</v>
      </c>
    </row>
    <row r="23" spans="9:30" ht="15.75" thickBot="1" x14ac:dyDescent="0.3">
      <c r="K23" s="242">
        <f>K21-K22</f>
        <v>0</v>
      </c>
      <c r="Q23" s="283"/>
      <c r="AB23" s="575" t="s">
        <v>83</v>
      </c>
      <c r="AC23" s="331">
        <v>153796878</v>
      </c>
      <c r="AD23" s="331">
        <v>98865751</v>
      </c>
    </row>
    <row r="24" spans="9:30" x14ac:dyDescent="0.25">
      <c r="Q24" s="283" t="s">
        <v>852</v>
      </c>
      <c r="AC24" s="242">
        <f>SUM(AC3,AC5:AC8,AC11:AC21)</f>
        <v>153796878</v>
      </c>
      <c r="AD24" s="242">
        <f>SUM(AD3,AD5:AD8,AD11:AD21)</f>
        <v>98865751</v>
      </c>
    </row>
    <row r="25" spans="9:30" x14ac:dyDescent="0.25">
      <c r="AC25" s="242">
        <f>AC23-AC24</f>
        <v>0</v>
      </c>
      <c r="AD25" s="242">
        <f>AD23-AD24</f>
        <v>0</v>
      </c>
    </row>
  </sheetData>
  <mergeCells count="17">
    <mergeCell ref="AC17:AC18"/>
    <mergeCell ref="AD17:AD18"/>
    <mergeCell ref="AC19:AC20"/>
    <mergeCell ref="AD19:AD20"/>
    <mergeCell ref="W1:W2"/>
    <mergeCell ref="X1:Z1"/>
    <mergeCell ref="U13:U15"/>
    <mergeCell ref="V13:V15"/>
    <mergeCell ref="X13:X15"/>
    <mergeCell ref="Y13:Y15"/>
    <mergeCell ref="Z13:Z15"/>
    <mergeCell ref="V1:V2"/>
    <mergeCell ref="F3:F4"/>
    <mergeCell ref="G3:G4"/>
    <mergeCell ref="F5:F6"/>
    <mergeCell ref="G5:G6"/>
    <mergeCell ref="U1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Sheet6</vt:lpstr>
      <vt:lpstr>SCBAA 2020</vt:lpstr>
      <vt:lpstr>SCBAA</vt:lpstr>
      <vt:lpstr>Sheet1</vt:lpstr>
      <vt:lpstr>Sheet2</vt:lpstr>
      <vt:lpstr>Sheet3</vt:lpstr>
      <vt:lpstr>Sheet4</vt:lpstr>
      <vt:lpstr>Sheet5</vt:lpstr>
      <vt:lpstr>Sheet7</vt:lpstr>
      <vt:lpstr>Sheet3!OLE_LINK19</vt:lpstr>
      <vt:lpstr>SCBAA!Print_Area</vt:lpstr>
      <vt:lpstr>'SCBAA 2020'!Print_Area</vt:lpstr>
      <vt:lpstr>SCBAA!Print_Titles</vt:lpstr>
      <vt:lpstr>'SCBAA 2020'!Print_Titles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</dc:title>
  <dc:creator>COA - City of Navotas</dc:creator>
  <cp:lastModifiedBy>Mngx</cp:lastModifiedBy>
  <cp:lastPrinted>2021-08-04T02:31:18Z</cp:lastPrinted>
  <dcterms:created xsi:type="dcterms:W3CDTF">2020-08-12T06:48:51Z</dcterms:created>
  <dcterms:modified xsi:type="dcterms:W3CDTF">2021-09-04T09:17:12Z</dcterms:modified>
</cp:coreProperties>
</file>