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Mngx\thesis\SCBA\2020\Cities\temp\"/>
    </mc:Choice>
  </mc:AlternateContent>
  <xr:revisionPtr revIDLastSave="0" documentId="13_ncr:1_{0ED67AA8-04F3-4642-8475-7555500F8A9D}" xr6:coauthVersionLast="47" xr6:coauthVersionMax="47" xr10:uidLastSave="{00000000-0000-0000-0000-000000000000}"/>
  <bookViews>
    <workbookView xWindow="975" yWindow="930" windowWidth="22230" windowHeight="11400" tabRatio="839" xr2:uid="{00000000-000D-0000-FFFF-FFFF00000000}"/>
  </bookViews>
  <sheets>
    <sheet name="SCBAA" sheetId="33" r:id="rId1"/>
    <sheet name="CE" sheetId="30" state="hidden" r:id="rId2"/>
    <sheet name="Notes" sheetId="17" state="hidden" r:id="rId3"/>
    <sheet name="Loans" sheetId="37" state="hidden" r:id="rId4"/>
    <sheet name="Budget" sheetId="36" state="hidden" r:id="rId5"/>
    <sheet name="Notes-CF" sheetId="25" state="hidden" r:id="rId6"/>
    <sheet name="Amort-IA" sheetId="28" state="hidden" r:id="rId7"/>
    <sheet name="Cash&amp;CE" sheetId="39" state="hidden" r:id="rId8"/>
    <sheet name="WTB-orig" sheetId="15" state="hidden" r:id="rId9"/>
  </sheets>
  <externalReferences>
    <externalReference r:id="rId10"/>
  </externalReferences>
  <definedNames>
    <definedName name="_xlnm._FilterDatabase" localSheetId="7" hidden="1">'Cash&amp;CE'!$A$17:$G$83</definedName>
    <definedName name="_xlnm._FilterDatabase" localSheetId="0" hidden="1">SCBAA!$A$1:$A$110</definedName>
    <definedName name="_xlnm.Print_Area" localSheetId="2">Notes!$A$310:$G$530</definedName>
    <definedName name="_xlnm.Print_Area" localSheetId="0">SCBAA!$A$1:$G$96</definedName>
    <definedName name="_xlnm.Print_Area" localSheetId="8">'WTB-orig'!$A$157:$C$175</definedName>
    <definedName name="_xlnm.Print_Titles" localSheetId="2">Notes!$311:$311</definedName>
    <definedName name="_xlnm.Print_Titles" localSheetId="0">SCBAA!$1:$7</definedName>
    <definedName name="_xlnm.Print_Titles" localSheetId="8">'WTB-orig'!$5:$5</definedName>
  </definedNames>
  <calcPr calcId="181029"/>
</workbook>
</file>

<file path=xl/calcChain.xml><?xml version="1.0" encoding="utf-8"?>
<calcChain xmlns="http://schemas.openxmlformats.org/spreadsheetml/2006/main">
  <c r="I5" i="25" l="1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G20" i="25"/>
  <c r="H20" i="25"/>
  <c r="F20" i="25"/>
  <c r="I4" i="25"/>
  <c r="I20" i="25" l="1"/>
  <c r="C55" i="17" l="1"/>
  <c r="C58" i="17"/>
  <c r="C150" i="17"/>
  <c r="C151" i="17" s="1"/>
  <c r="F13" i="39" l="1"/>
  <c r="G13" i="39"/>
  <c r="G14" i="39"/>
  <c r="F63" i="39"/>
  <c r="G63" i="39"/>
  <c r="F70" i="39"/>
  <c r="G70" i="39"/>
  <c r="F81" i="39"/>
  <c r="G81" i="39"/>
  <c r="H16" i="39" l="1"/>
  <c r="F82" i="39"/>
  <c r="G82" i="39"/>
  <c r="G83" i="39" s="1"/>
  <c r="G15" i="39"/>
  <c r="C376" i="17"/>
  <c r="E86" i="17" l="1"/>
  <c r="C86" i="17"/>
  <c r="H2" i="37" l="1"/>
  <c r="H9" i="37" l="1"/>
  <c r="H10" i="37" l="1"/>
  <c r="C375" i="17" l="1"/>
  <c r="G235" i="17" l="1"/>
  <c r="G236" i="17" s="1"/>
  <c r="I12" i="37" l="1"/>
  <c r="I14" i="37" s="1"/>
  <c r="E23" i="37" l="1"/>
  <c r="E28" i="37"/>
  <c r="E75" i="33" l="1"/>
  <c r="E74" i="33"/>
  <c r="E73" i="33"/>
  <c r="G73" i="33"/>
  <c r="E29" i="37"/>
  <c r="E72" i="33" l="1"/>
  <c r="C307" i="17"/>
  <c r="C272" i="17"/>
  <c r="C289" i="17"/>
  <c r="E289" i="17"/>
  <c r="E272" i="17"/>
  <c r="C290" i="17" l="1"/>
  <c r="E290" i="17"/>
  <c r="C261" i="17"/>
  <c r="C253" i="17"/>
  <c r="G222" i="17"/>
  <c r="G221" i="17"/>
  <c r="G206" i="17"/>
  <c r="G207" i="17"/>
  <c r="G208" i="17"/>
  <c r="G209" i="17"/>
  <c r="G210" i="17"/>
  <c r="G205" i="17"/>
  <c r="G225" i="17"/>
  <c r="G224" i="17"/>
  <c r="G223" i="17"/>
  <c r="C211" i="17"/>
  <c r="H3" i="37"/>
  <c r="H4" i="37"/>
  <c r="H5" i="37"/>
  <c r="H6" i="37"/>
  <c r="H7" i="37"/>
  <c r="H8" i="37"/>
  <c r="E12" i="37"/>
  <c r="G12" i="37"/>
  <c r="D12" i="37"/>
  <c r="F12" i="37"/>
  <c r="C69" i="17"/>
  <c r="C65" i="17"/>
  <c r="H12" i="37" l="1"/>
  <c r="E30" i="37"/>
  <c r="C71" i="17" l="1"/>
  <c r="W10" i="37"/>
  <c r="V10" i="37"/>
  <c r="W9" i="37"/>
  <c r="V9" i="37"/>
  <c r="W8" i="37"/>
  <c r="V8" i="37"/>
  <c r="W7" i="37"/>
  <c r="V7" i="37"/>
  <c r="W6" i="37"/>
  <c r="V6" i="37"/>
  <c r="W5" i="37"/>
  <c r="V5" i="37"/>
  <c r="W4" i="37"/>
  <c r="V4" i="37"/>
  <c r="W3" i="37"/>
  <c r="V3" i="37"/>
  <c r="W11" i="37"/>
  <c r="V11" i="37"/>
  <c r="U13" i="37"/>
  <c r="S13" i="37"/>
  <c r="O14" i="37"/>
  <c r="M14" i="37"/>
  <c r="C45" i="17"/>
  <c r="C46" i="17"/>
  <c r="C137" i="17" l="1"/>
  <c r="J93" i="17" l="1"/>
  <c r="E50" i="30" l="1"/>
  <c r="E49" i="30"/>
  <c r="E48" i="30"/>
  <c r="D47" i="30"/>
  <c r="D46" i="30"/>
  <c r="D45" i="30"/>
  <c r="E39" i="30"/>
  <c r="D39" i="30"/>
  <c r="D51" i="30" l="1"/>
  <c r="E51" i="30"/>
  <c r="F14" i="37"/>
  <c r="G14" i="37"/>
  <c r="E14" i="37"/>
  <c r="B7" i="36"/>
  <c r="B9" i="36" s="1"/>
  <c r="C7" i="36"/>
  <c r="C9" i="36" s="1"/>
  <c r="I15" i="37" l="1"/>
  <c r="F51" i="30"/>
  <c r="D3" i="36"/>
  <c r="D4" i="36"/>
  <c r="D5" i="36"/>
  <c r="D6" i="36"/>
  <c r="D2" i="36"/>
  <c r="G460" i="17"/>
  <c r="G219" i="17"/>
  <c r="G218" i="17"/>
  <c r="G216" i="17"/>
  <c r="G450" i="17"/>
  <c r="G448" i="17"/>
  <c r="G445" i="17"/>
  <c r="G440" i="17"/>
  <c r="G437" i="17"/>
  <c r="G424" i="17"/>
  <c r="G421" i="17"/>
  <c r="E370" i="17"/>
  <c r="E371" i="17" s="1"/>
  <c r="G410" i="17"/>
  <c r="G405" i="17"/>
  <c r="G391" i="17"/>
  <c r="G321" i="17"/>
  <c r="E383" i="17"/>
  <c r="E384" i="17" s="1"/>
  <c r="E307" i="17"/>
  <c r="E308" i="17" s="1"/>
  <c r="E265" i="17"/>
  <c r="E140" i="17"/>
  <c r="E141" i="17" s="1"/>
  <c r="E71" i="17"/>
  <c r="E72" i="17" s="1"/>
  <c r="E35" i="17"/>
  <c r="E24" i="17"/>
  <c r="E19" i="17"/>
  <c r="E30" i="17"/>
  <c r="H218" i="17" l="1"/>
  <c r="E266" i="17"/>
  <c r="E267" i="17" s="1"/>
  <c r="E291" i="17"/>
  <c r="H14" i="37"/>
  <c r="D7" i="36"/>
  <c r="F7" i="36" s="1"/>
  <c r="C381" i="17" l="1"/>
  <c r="G381" i="17" s="1"/>
  <c r="C131" i="17"/>
  <c r="C139" i="17"/>
  <c r="C140" i="17" s="1"/>
  <c r="G138" i="17"/>
  <c r="E413" i="17" l="1"/>
  <c r="C258" i="17" l="1"/>
  <c r="C259" i="17"/>
  <c r="C257" i="17"/>
  <c r="C41" i="17" l="1"/>
  <c r="C42" i="17"/>
  <c r="C47" i="17"/>
  <c r="C48" i="17"/>
  <c r="C49" i="17"/>
  <c r="C50" i="17"/>
  <c r="C40" i="17"/>
  <c r="C242" i="17"/>
  <c r="C51" i="17" l="1"/>
  <c r="E118" i="17" l="1"/>
  <c r="E119" i="17" s="1"/>
  <c r="G23" i="33" l="1"/>
  <c r="G25" i="33" l="1"/>
  <c r="G22" i="33"/>
  <c r="G24" i="33"/>
  <c r="G26" i="33"/>
  <c r="G90" i="33" l="1"/>
  <c r="E90" i="33"/>
  <c r="G75" i="33"/>
  <c r="F28" i="33"/>
  <c r="G28" i="33" s="1"/>
  <c r="E60" i="33" l="1"/>
  <c r="E68" i="33"/>
  <c r="E71" i="33"/>
  <c r="E56" i="33"/>
  <c r="G79" i="33"/>
  <c r="E70" i="33"/>
  <c r="E61" i="33"/>
  <c r="E67" i="33"/>
  <c r="G56" i="33"/>
  <c r="G60" i="33"/>
  <c r="G67" i="33"/>
  <c r="E12" i="33"/>
  <c r="G47" i="33"/>
  <c r="E55" i="33"/>
  <c r="G38" i="33"/>
  <c r="E87" i="33"/>
  <c r="C92" i="33"/>
  <c r="F27" i="33"/>
  <c r="E42" i="33"/>
  <c r="G71" i="33"/>
  <c r="E89" i="33"/>
  <c r="E35" i="33"/>
  <c r="E49" i="33"/>
  <c r="E79" i="33"/>
  <c r="G35" i="33"/>
  <c r="C19" i="33"/>
  <c r="E84" i="33"/>
  <c r="E88" i="33"/>
  <c r="C81" i="33"/>
  <c r="E85" i="33"/>
  <c r="E34" i="33"/>
  <c r="G43" i="33"/>
  <c r="G61" i="33"/>
  <c r="G86" i="33"/>
  <c r="G89" i="33"/>
  <c r="G12" i="33"/>
  <c r="E16" i="33"/>
  <c r="E28" i="33"/>
  <c r="E38" i="33"/>
  <c r="G39" i="33"/>
  <c r="G57" i="33"/>
  <c r="E64" i="33"/>
  <c r="G83" i="33"/>
  <c r="G85" i="33"/>
  <c r="G91" i="33"/>
  <c r="E17" i="33"/>
  <c r="G51" i="33"/>
  <c r="G18" i="33"/>
  <c r="E46" i="33"/>
  <c r="E50" i="33"/>
  <c r="G77" i="33"/>
  <c r="G84" i="33"/>
  <c r="G88" i="33"/>
  <c r="D32" i="33"/>
  <c r="G87" i="33"/>
  <c r="G13" i="33"/>
  <c r="E13" i="33"/>
  <c r="F19" i="33"/>
  <c r="G49" i="33"/>
  <c r="G55" i="33"/>
  <c r="G68" i="33"/>
  <c r="E86" i="33"/>
  <c r="E83" i="33"/>
  <c r="E47" i="33"/>
  <c r="E91" i="33"/>
  <c r="C27" i="33" l="1"/>
  <c r="E66" i="33"/>
  <c r="E69" i="33"/>
  <c r="C32" i="33"/>
  <c r="E57" i="33"/>
  <c r="E54" i="33" s="1"/>
  <c r="E59" i="33"/>
  <c r="E58" i="33" s="1"/>
  <c r="E41" i="33"/>
  <c r="E65" i="33"/>
  <c r="E63" i="33" s="1"/>
  <c r="E77" i="33"/>
  <c r="G45" i="33"/>
  <c r="G78" i="33"/>
  <c r="G42" i="33"/>
  <c r="G70" i="33"/>
  <c r="G69" i="33" s="1"/>
  <c r="E43" i="33"/>
  <c r="G74" i="33"/>
  <c r="G72" i="33" s="1"/>
  <c r="G66" i="33"/>
  <c r="F81" i="33"/>
  <c r="G64" i="33"/>
  <c r="E39" i="33"/>
  <c r="F14" i="33"/>
  <c r="E37" i="33"/>
  <c r="G59" i="33"/>
  <c r="G58" i="33" s="1"/>
  <c r="G16" i="33"/>
  <c r="E45" i="33"/>
  <c r="E78" i="33"/>
  <c r="G41" i="33"/>
  <c r="G11" i="33"/>
  <c r="E51" i="33"/>
  <c r="E48" i="33" s="1"/>
  <c r="G46" i="33"/>
  <c r="G17" i="33"/>
  <c r="G37" i="33"/>
  <c r="G36" i="33" s="1"/>
  <c r="G50" i="33"/>
  <c r="G48" i="33" s="1"/>
  <c r="G33" i="33"/>
  <c r="G54" i="33"/>
  <c r="F92" i="33"/>
  <c r="G65" i="33"/>
  <c r="E18" i="33"/>
  <c r="D19" i="33"/>
  <c r="E19" i="33" s="1"/>
  <c r="E22" i="33" l="1"/>
  <c r="E33" i="33"/>
  <c r="E32" i="33" s="1"/>
  <c r="E36" i="33"/>
  <c r="G44" i="33"/>
  <c r="C80" i="33"/>
  <c r="C93" i="33" s="1"/>
  <c r="G76" i="33"/>
  <c r="E40" i="33"/>
  <c r="E44" i="33" s="1"/>
  <c r="E76" i="33"/>
  <c r="F29" i="33"/>
  <c r="G40" i="33"/>
  <c r="G63" i="33"/>
  <c r="G19" i="33"/>
  <c r="D80" i="33"/>
  <c r="G34" i="33"/>
  <c r="G32" i="33" s="1"/>
  <c r="F32" i="33"/>
  <c r="F80" i="33" s="1"/>
  <c r="F93" i="33" s="1"/>
  <c r="D14" i="33"/>
  <c r="G14" i="33"/>
  <c r="D92" i="33"/>
  <c r="E82" i="33"/>
  <c r="E81" i="33" s="1"/>
  <c r="G82" i="33"/>
  <c r="D81" i="33"/>
  <c r="G21" i="33"/>
  <c r="G27" i="33" s="1"/>
  <c r="D27" i="33"/>
  <c r="E27" i="33" s="1"/>
  <c r="E21" i="33"/>
  <c r="C14" i="33"/>
  <c r="E11" i="33"/>
  <c r="G29" i="33" l="1"/>
  <c r="E80" i="33"/>
  <c r="F94" i="33"/>
  <c r="G80" i="33"/>
  <c r="D93" i="33"/>
  <c r="E92" i="33"/>
  <c r="G92" i="33"/>
  <c r="G81" i="33"/>
  <c r="C29" i="33"/>
  <c r="C94" i="33" s="1"/>
  <c r="E14" i="33"/>
  <c r="D29" i="33"/>
  <c r="E93" i="33" l="1"/>
  <c r="D94" i="33"/>
  <c r="G93" i="33"/>
  <c r="G94" i="33" s="1"/>
  <c r="E29" i="33"/>
  <c r="E94" i="33" l="1"/>
  <c r="E111" i="17" l="1"/>
  <c r="G51" i="17" l="1"/>
  <c r="E51" i="17"/>
  <c r="F39" i="30" l="1"/>
  <c r="G226" i="17"/>
  <c r="G237" i="17" s="1"/>
  <c r="C226" i="17"/>
  <c r="E226" i="17"/>
  <c r="C260" i="17" l="1"/>
  <c r="C252" i="17"/>
  <c r="E260" i="17"/>
  <c r="E252" i="17"/>
  <c r="E243" i="17" s="1"/>
  <c r="E245" i="17" s="1"/>
  <c r="E246" i="17" s="1"/>
  <c r="E476" i="17" l="1"/>
  <c r="C241" i="17" l="1"/>
  <c r="C243" i="17" s="1"/>
  <c r="E58" i="17"/>
  <c r="E6" i="17"/>
  <c r="C106" i="17" l="1"/>
  <c r="C441" i="17"/>
  <c r="C451" i="17"/>
  <c r="G451" i="17" s="1"/>
  <c r="C117" i="17"/>
  <c r="C344" i="17"/>
  <c r="C348" i="17"/>
  <c r="C107" i="17"/>
  <c r="C108" i="17"/>
  <c r="C110" i="17"/>
  <c r="C116" i="17"/>
  <c r="C369" i="17"/>
  <c r="C443" i="17"/>
  <c r="C480" i="17"/>
  <c r="G480" i="17" s="1"/>
  <c r="C316" i="17"/>
  <c r="C187" i="17" l="1"/>
  <c r="C185" i="17"/>
  <c r="C128" i="17"/>
  <c r="C435" i="17"/>
  <c r="G435" i="17" s="1"/>
  <c r="C109" i="17"/>
  <c r="C431" i="17"/>
  <c r="C527" i="17"/>
  <c r="C370" i="17"/>
  <c r="G369" i="17"/>
  <c r="C104" i="17"/>
  <c r="C430" i="17"/>
  <c r="G430" i="17" s="1"/>
  <c r="C318" i="17"/>
  <c r="C118" i="17"/>
  <c r="C111" i="17" l="1"/>
  <c r="E161" i="17"/>
  <c r="E21" i="28" l="1"/>
  <c r="F18" i="28"/>
  <c r="F21" i="28" s="1"/>
  <c r="C2" i="28"/>
  <c r="E2" i="28" s="1"/>
  <c r="F2" i="28" s="1"/>
  <c r="C3" i="28"/>
  <c r="C4" i="28"/>
  <c r="E4" i="28" s="1"/>
  <c r="F4" i="28" s="1"/>
  <c r="C5" i="28"/>
  <c r="E5" i="28" s="1"/>
  <c r="F5" i="28" s="1"/>
  <c r="C6" i="28"/>
  <c r="E6" i="28" s="1"/>
  <c r="F6" i="28" s="1"/>
  <c r="F28" i="28"/>
  <c r="F29" i="28"/>
  <c r="F30" i="28"/>
  <c r="E27" i="28"/>
  <c r="F27" i="28" s="1"/>
  <c r="E26" i="28"/>
  <c r="B7" i="28"/>
  <c r="E31" i="28" l="1"/>
  <c r="C7" i="28"/>
  <c r="G21" i="28"/>
  <c r="E3" i="28"/>
  <c r="F3" i="28" s="1"/>
  <c r="F7" i="28" s="1"/>
  <c r="F26" i="28"/>
  <c r="F31" i="28" s="1"/>
  <c r="E7" i="28" l="1"/>
  <c r="E59" i="17" l="1"/>
  <c r="A173" i="17" l="1"/>
  <c r="C178" i="17" l="1"/>
  <c r="E530" i="17" l="1"/>
  <c r="E531" i="17" s="1"/>
  <c r="D20" i="25" l="1"/>
  <c r="B8" i="28" l="1"/>
  <c r="C129" i="17" l="1"/>
  <c r="E10" i="28"/>
  <c r="E11" i="28" s="1"/>
  <c r="E8" i="28"/>
  <c r="C10" i="28"/>
  <c r="C11" i="28" s="1"/>
  <c r="C8" i="28"/>
  <c r="C196" i="17"/>
  <c r="C198" i="17"/>
  <c r="G198" i="17" s="1"/>
  <c r="C197" i="17"/>
  <c r="G197" i="17" s="1"/>
  <c r="C199" i="17"/>
  <c r="G199" i="17" s="1"/>
  <c r="C124" i="17"/>
  <c r="C189" i="17"/>
  <c r="G196" i="17" l="1"/>
  <c r="I237" i="17"/>
  <c r="J237" i="17" s="1"/>
  <c r="C123" i="17"/>
  <c r="C130" i="17"/>
  <c r="E170" i="17" l="1"/>
  <c r="E171" i="17" s="1"/>
  <c r="E163" i="17" l="1"/>
  <c r="E164" i="17" s="1"/>
  <c r="C244" i="17" l="1"/>
  <c r="C245" i="17" s="1"/>
  <c r="E495" i="17"/>
  <c r="E483" i="17"/>
  <c r="E503" i="17"/>
  <c r="E504" i="17" s="1"/>
  <c r="E519" i="17"/>
  <c r="E520" i="17" s="1"/>
  <c r="E465" i="17"/>
  <c r="E453" i="17"/>
  <c r="E363" i="17"/>
  <c r="E364" i="17" s="1"/>
  <c r="E336" i="17"/>
  <c r="E337" i="17" s="1"/>
  <c r="E496" i="17" l="1"/>
  <c r="E497" i="17" s="1"/>
  <c r="E211" i="17"/>
  <c r="E212" i="17" s="1"/>
  <c r="A203" i="17"/>
  <c r="E201" i="17"/>
  <c r="C158" i="17" l="1"/>
  <c r="C183" i="17"/>
  <c r="C184" i="17"/>
  <c r="C186" i="17"/>
  <c r="C179" i="17" l="1"/>
  <c r="E190" i="17"/>
  <c r="E191" i="17" s="1"/>
  <c r="C160" i="17"/>
  <c r="C169" i="17" s="1"/>
  <c r="C159" i="17"/>
  <c r="C125" i="17"/>
  <c r="E125" i="17"/>
  <c r="E130" i="17" s="1"/>
  <c r="C161" i="17" l="1"/>
  <c r="C168" i="17"/>
  <c r="C170" i="17" s="1"/>
  <c r="C335" i="17"/>
  <c r="G335" i="17" s="1"/>
  <c r="C328" i="17" l="1"/>
  <c r="G328" i="17" s="1"/>
  <c r="C325" i="17"/>
  <c r="G325" i="17" s="1"/>
  <c r="C323" i="17"/>
  <c r="G323" i="17" s="1"/>
  <c r="C330" i="17"/>
  <c r="G330" i="17" s="1"/>
  <c r="E102" i="17" l="1"/>
  <c r="E16" i="17"/>
  <c r="E36" i="17" l="1"/>
  <c r="E37" i="17" s="1"/>
  <c r="E7" i="17"/>
  <c r="D21" i="25" l="1"/>
  <c r="C511" i="17"/>
  <c r="C529" i="17"/>
  <c r="G529" i="17" s="1"/>
  <c r="C382" i="17"/>
  <c r="G316" i="17"/>
  <c r="C100" i="17"/>
  <c r="C98" i="17"/>
  <c r="C99" i="17"/>
  <c r="C97" i="17"/>
  <c r="C96" i="17"/>
  <c r="C94" i="17"/>
  <c r="C93" i="17"/>
  <c r="C34" i="17"/>
  <c r="C33" i="17"/>
  <c r="C32" i="17"/>
  <c r="H48" i="17" s="1"/>
  <c r="C29" i="17"/>
  <c r="C28" i="17"/>
  <c r="C23" i="17"/>
  <c r="H46" i="17" s="1"/>
  <c r="J46" i="17" s="1"/>
  <c r="C22" i="17"/>
  <c r="H45" i="17" s="1"/>
  <c r="J45" i="17" s="1"/>
  <c r="C21" i="17"/>
  <c r="C18" i="17"/>
  <c r="H43" i="17" s="1"/>
  <c r="C15" i="17"/>
  <c r="C14" i="17"/>
  <c r="C13" i="17"/>
  <c r="H40" i="17" s="1"/>
  <c r="J40" i="17" s="1"/>
  <c r="C5" i="17"/>
  <c r="F83" i="39" s="1"/>
  <c r="C4" i="17"/>
  <c r="F14" i="39" s="1"/>
  <c r="C3" i="17"/>
  <c r="C24" i="17" l="1"/>
  <c r="G16" i="39"/>
  <c r="F15" i="39"/>
  <c r="E87" i="17"/>
  <c r="C262" i="17"/>
  <c r="G382" i="17"/>
  <c r="C87" i="17"/>
  <c r="C254" i="17"/>
  <c r="C19" i="17"/>
  <c r="C59" i="17"/>
  <c r="C6" i="25"/>
  <c r="E31" i="37"/>
  <c r="E33" i="37" s="1"/>
  <c r="H47" i="17"/>
  <c r="J47" i="17" s="1"/>
  <c r="C72" i="17"/>
  <c r="H49" i="17"/>
  <c r="J49" i="17" s="1"/>
  <c r="H50" i="17"/>
  <c r="J50" i="17" s="1"/>
  <c r="C35" i="17"/>
  <c r="C16" i="17"/>
  <c r="C30" i="17"/>
  <c r="H42" i="17"/>
  <c r="J42" i="17" s="1"/>
  <c r="J48" i="17"/>
  <c r="H44" i="17"/>
  <c r="H41" i="17"/>
  <c r="J41" i="17" s="1"/>
  <c r="J15" i="17"/>
  <c r="J43" i="17"/>
  <c r="G527" i="17"/>
  <c r="C475" i="17"/>
  <c r="G475" i="17" s="1"/>
  <c r="C481" i="17"/>
  <c r="G481" i="17" s="1"/>
  <c r="C489" i="17"/>
  <c r="G489" i="17" s="1"/>
  <c r="C493" i="17"/>
  <c r="G493" i="17" s="1"/>
  <c r="C510" i="17"/>
  <c r="C515" i="17"/>
  <c r="C518" i="17"/>
  <c r="C389" i="17"/>
  <c r="C394" i="17"/>
  <c r="G394" i="17" s="1"/>
  <c r="C398" i="17"/>
  <c r="G398" i="17" s="1"/>
  <c r="C402" i="17"/>
  <c r="G402" i="17" s="1"/>
  <c r="C407" i="17"/>
  <c r="G407" i="17" s="1"/>
  <c r="C412" i="17"/>
  <c r="C423" i="17"/>
  <c r="G423" i="17" s="1"/>
  <c r="C428" i="17"/>
  <c r="G428" i="17" s="1"/>
  <c r="C432" i="17"/>
  <c r="G432" i="17" s="1"/>
  <c r="C438" i="17"/>
  <c r="G438" i="17" s="1"/>
  <c r="G443" i="17"/>
  <c r="C449" i="17"/>
  <c r="G449" i="17" s="1"/>
  <c r="C461" i="17"/>
  <c r="G461" i="17" s="1"/>
  <c r="C469" i="17"/>
  <c r="C512" i="17"/>
  <c r="C526" i="17"/>
  <c r="G526" i="17" s="1"/>
  <c r="C487" i="17"/>
  <c r="G487" i="17" s="1"/>
  <c r="C491" i="17"/>
  <c r="G491" i="17" s="1"/>
  <c r="C501" i="17"/>
  <c r="G501" i="17" s="1"/>
  <c r="C514" i="17"/>
  <c r="C525" i="17"/>
  <c r="G525" i="17" s="1"/>
  <c r="C482" i="17"/>
  <c r="G482" i="17" s="1"/>
  <c r="C490" i="17"/>
  <c r="G490" i="17" s="1"/>
  <c r="C494" i="17"/>
  <c r="G494" i="17" s="1"/>
  <c r="C509" i="17"/>
  <c r="C132" i="17" s="1"/>
  <c r="C516" i="17"/>
  <c r="C392" i="17"/>
  <c r="G392" i="17" s="1"/>
  <c r="C396" i="17"/>
  <c r="G396" i="17" s="1"/>
  <c r="C400" i="17"/>
  <c r="G400" i="17" s="1"/>
  <c r="C404" i="17"/>
  <c r="G404" i="17" s="1"/>
  <c r="C409" i="17"/>
  <c r="G409" i="17" s="1"/>
  <c r="C420" i="17"/>
  <c r="G420" i="17" s="1"/>
  <c r="C426" i="17"/>
  <c r="G426" i="17" s="1"/>
  <c r="C434" i="17"/>
  <c r="G434" i="17" s="1"/>
  <c r="G441" i="17"/>
  <c r="C446" i="17"/>
  <c r="G446" i="17" s="1"/>
  <c r="C458" i="17"/>
  <c r="G458" i="17" s="1"/>
  <c r="C463" i="17"/>
  <c r="G463" i="17" s="1"/>
  <c r="C471" i="17"/>
  <c r="G471" i="17" s="1"/>
  <c r="C393" i="17"/>
  <c r="G393" i="17" s="1"/>
  <c r="C397" i="17"/>
  <c r="G397" i="17" s="1"/>
  <c r="C401" i="17"/>
  <c r="G401" i="17" s="1"/>
  <c r="C406" i="17"/>
  <c r="G406" i="17" s="1"/>
  <c r="C411" i="17"/>
  <c r="G411" i="17" s="1"/>
  <c r="C422" i="17"/>
  <c r="G422" i="17" s="1"/>
  <c r="C427" i="17"/>
  <c r="G427" i="17" s="1"/>
  <c r="G431" i="17"/>
  <c r="C436" i="17"/>
  <c r="G436" i="17" s="1"/>
  <c r="C442" i="17"/>
  <c r="G442" i="17" s="1"/>
  <c r="C447" i="17"/>
  <c r="G447" i="17" s="1"/>
  <c r="C459" i="17"/>
  <c r="G459" i="17" s="1"/>
  <c r="C464" i="17"/>
  <c r="G464" i="17" s="1"/>
  <c r="C472" i="17"/>
  <c r="G472" i="17" s="1"/>
  <c r="C474" i="17"/>
  <c r="G474" i="17" s="1"/>
  <c r="C488" i="17"/>
  <c r="G488" i="17" s="1"/>
  <c r="C492" i="17"/>
  <c r="G492" i="17" s="1"/>
  <c r="C502" i="17"/>
  <c r="G502" i="17" s="1"/>
  <c r="C473" i="17"/>
  <c r="G473" i="17" s="1"/>
  <c r="C390" i="17"/>
  <c r="G390" i="17" s="1"/>
  <c r="C395" i="17"/>
  <c r="G395" i="17" s="1"/>
  <c r="C399" i="17"/>
  <c r="G399" i="17" s="1"/>
  <c r="C403" i="17"/>
  <c r="G403" i="17" s="1"/>
  <c r="C408" i="17"/>
  <c r="G408" i="17" s="1"/>
  <c r="C419" i="17"/>
  <c r="G419" i="17" s="1"/>
  <c r="C425" i="17"/>
  <c r="G425" i="17" s="1"/>
  <c r="C429" i="17"/>
  <c r="G429" i="17" s="1"/>
  <c r="C433" i="17"/>
  <c r="G433" i="17" s="1"/>
  <c r="C439" i="17"/>
  <c r="G439" i="17" s="1"/>
  <c r="C444" i="17"/>
  <c r="G444" i="17" s="1"/>
  <c r="C452" i="17"/>
  <c r="G452" i="17" s="1"/>
  <c r="C462" i="17"/>
  <c r="G462" i="17" s="1"/>
  <c r="C470" i="17"/>
  <c r="G470" i="17" s="1"/>
  <c r="C513" i="17"/>
  <c r="C195" i="17"/>
  <c r="G195" i="17" s="1"/>
  <c r="C188" i="17"/>
  <c r="C190" i="17" s="1"/>
  <c r="C317" i="17"/>
  <c r="G317" i="17" s="1"/>
  <c r="C319" i="17"/>
  <c r="G319" i="17" s="1"/>
  <c r="C326" i="17"/>
  <c r="G326" i="17" s="1"/>
  <c r="C353" i="17"/>
  <c r="G353" i="17" s="1"/>
  <c r="C355" i="17"/>
  <c r="G355" i="17" s="1"/>
  <c r="C314" i="17"/>
  <c r="G314" i="17" s="1"/>
  <c r="G318" i="17"/>
  <c r="C320" i="17"/>
  <c r="G320" i="17" s="1"/>
  <c r="C324" i="17"/>
  <c r="G324" i="17" s="1"/>
  <c r="C329" i="17"/>
  <c r="G329" i="17" s="1"/>
  <c r="C322" i="17"/>
  <c r="G322" i="17" s="1"/>
  <c r="C350" i="17"/>
  <c r="G350" i="17" s="1"/>
  <c r="C357" i="17"/>
  <c r="G357" i="17" s="1"/>
  <c r="C359" i="17"/>
  <c r="G359" i="17" s="1"/>
  <c r="C346" i="17"/>
  <c r="G346" i="17" s="1"/>
  <c r="G348" i="17"/>
  <c r="C331" i="17"/>
  <c r="G331" i="17" s="1"/>
  <c r="C380" i="17"/>
  <c r="C362" i="17"/>
  <c r="G362" i="17" s="1"/>
  <c r="C334" i="17"/>
  <c r="G334" i="17" s="1"/>
  <c r="C342" i="17"/>
  <c r="G342" i="17" s="1"/>
  <c r="G344" i="17"/>
  <c r="C360" i="17"/>
  <c r="G360" i="17" s="1"/>
  <c r="C333" i="17"/>
  <c r="G333" i="17" s="1"/>
  <c r="C343" i="17"/>
  <c r="G343" i="17" s="1"/>
  <c r="C345" i="17"/>
  <c r="G345" i="17" s="1"/>
  <c r="C347" i="17"/>
  <c r="G347" i="17" s="1"/>
  <c r="C349" i="17"/>
  <c r="G349" i="17" s="1"/>
  <c r="C352" i="17"/>
  <c r="G352" i="17" s="1"/>
  <c r="C354" i="17"/>
  <c r="G354" i="17" s="1"/>
  <c r="C356" i="17"/>
  <c r="G356" i="17" s="1"/>
  <c r="C358" i="17"/>
  <c r="G358" i="17" s="1"/>
  <c r="C361" i="17"/>
  <c r="G361" i="17" s="1"/>
  <c r="C101" i="17"/>
  <c r="C7" i="25" l="1"/>
  <c r="J44" i="17"/>
  <c r="L44" i="17"/>
  <c r="C8" i="25"/>
  <c r="G389" i="17"/>
  <c r="C413" i="17"/>
  <c r="C383" i="17"/>
  <c r="G380" i="17"/>
  <c r="C212" i="17"/>
  <c r="C36" i="17"/>
  <c r="C52" i="17" s="1"/>
  <c r="C453" i="17"/>
  <c r="C476" i="17"/>
  <c r="C313" i="17"/>
  <c r="C519" i="17"/>
  <c r="C530" i="17"/>
  <c r="C503" i="17"/>
  <c r="C483" i="17"/>
  <c r="C495" i="17"/>
  <c r="C465" i="17"/>
  <c r="C363" i="17"/>
  <c r="C200" i="17"/>
  <c r="C531" i="17" l="1"/>
  <c r="C496" i="17"/>
  <c r="C336" i="17"/>
  <c r="G313" i="17"/>
  <c r="C337" i="17" l="1"/>
  <c r="C384" i="17" l="1"/>
  <c r="A10" i="17" l="1"/>
  <c r="A5" i="17"/>
  <c r="A4" i="17"/>
  <c r="A3" i="17"/>
  <c r="C15" i="25" l="1"/>
  <c r="C171" i="17"/>
  <c r="C162" i="17"/>
  <c r="C163" i="17" s="1"/>
  <c r="C164" i="17" s="1"/>
  <c r="C141" i="17" l="1"/>
  <c r="F8" i="28"/>
  <c r="F10" i="28"/>
  <c r="C6" i="17" l="1"/>
  <c r="C308" i="17" l="1"/>
  <c r="C371" i="17"/>
  <c r="H218" i="15" l="1"/>
  <c r="G218" i="15"/>
  <c r="J217" i="15"/>
  <c r="N217" i="15" s="1"/>
  <c r="I217" i="15"/>
  <c r="M217" i="15" s="1"/>
  <c r="J216" i="15"/>
  <c r="N216" i="15" s="1"/>
  <c r="I216" i="15"/>
  <c r="M216" i="15" s="1"/>
  <c r="J215" i="15"/>
  <c r="N215" i="15" s="1"/>
  <c r="I215" i="15"/>
  <c r="M215" i="15" s="1"/>
  <c r="J214" i="15"/>
  <c r="N214" i="15" s="1"/>
  <c r="E214" i="15"/>
  <c r="I214" i="15" s="1"/>
  <c r="M214" i="15" s="1"/>
  <c r="J213" i="15"/>
  <c r="N213" i="15" s="1"/>
  <c r="E213" i="15"/>
  <c r="I213" i="15" s="1"/>
  <c r="M213" i="15" s="1"/>
  <c r="J212" i="15"/>
  <c r="N212" i="15" s="1"/>
  <c r="I212" i="15"/>
  <c r="M212" i="15" s="1"/>
  <c r="J211" i="15"/>
  <c r="N211" i="15" s="1"/>
  <c r="I211" i="15"/>
  <c r="M211" i="15" s="1"/>
  <c r="J210" i="15"/>
  <c r="N210" i="15" s="1"/>
  <c r="I210" i="15"/>
  <c r="M210" i="15" s="1"/>
  <c r="J209" i="15"/>
  <c r="N209" i="15" s="1"/>
  <c r="I209" i="15"/>
  <c r="M209" i="15" s="1"/>
  <c r="J208" i="15"/>
  <c r="N208" i="15" s="1"/>
  <c r="I208" i="15"/>
  <c r="M208" i="15" s="1"/>
  <c r="J207" i="15"/>
  <c r="N207" i="15" s="1"/>
  <c r="C207" i="15"/>
  <c r="I207" i="15" s="1"/>
  <c r="M207" i="15" s="1"/>
  <c r="J206" i="15"/>
  <c r="N206" i="15" s="1"/>
  <c r="I206" i="15"/>
  <c r="M206" i="15" s="1"/>
  <c r="J205" i="15"/>
  <c r="N205" i="15" s="1"/>
  <c r="I205" i="15"/>
  <c r="M205" i="15" s="1"/>
  <c r="J204" i="15"/>
  <c r="N204" i="15" s="1"/>
  <c r="I204" i="15"/>
  <c r="M204" i="15" s="1"/>
  <c r="J203" i="15"/>
  <c r="N203" i="15" s="1"/>
  <c r="I203" i="15"/>
  <c r="M203" i="15" s="1"/>
  <c r="J202" i="15"/>
  <c r="N202" i="15" s="1"/>
  <c r="I202" i="15"/>
  <c r="M202" i="15" s="1"/>
  <c r="J201" i="15"/>
  <c r="N201" i="15" s="1"/>
  <c r="I201" i="15"/>
  <c r="M201" i="15" s="1"/>
  <c r="J200" i="15"/>
  <c r="N200" i="15" s="1"/>
  <c r="I200" i="15"/>
  <c r="M200" i="15" s="1"/>
  <c r="J199" i="15"/>
  <c r="N199" i="15" s="1"/>
  <c r="I199" i="15"/>
  <c r="M199" i="15" s="1"/>
  <c r="J198" i="15"/>
  <c r="N198" i="15" s="1"/>
  <c r="I198" i="15"/>
  <c r="M198" i="15" s="1"/>
  <c r="J197" i="15"/>
  <c r="N197" i="15" s="1"/>
  <c r="I197" i="15"/>
  <c r="M197" i="15" s="1"/>
  <c r="J196" i="15"/>
  <c r="N196" i="15" s="1"/>
  <c r="I196" i="15"/>
  <c r="M196" i="15" s="1"/>
  <c r="J195" i="15"/>
  <c r="N195" i="15" s="1"/>
  <c r="I195" i="15"/>
  <c r="M195" i="15" s="1"/>
  <c r="J194" i="15"/>
  <c r="N194" i="15" s="1"/>
  <c r="I194" i="15"/>
  <c r="M194" i="15" s="1"/>
  <c r="J193" i="15"/>
  <c r="N193" i="15" s="1"/>
  <c r="I193" i="15"/>
  <c r="M193" i="15" s="1"/>
  <c r="J192" i="15"/>
  <c r="N192" i="15" s="1"/>
  <c r="I192" i="15"/>
  <c r="M192" i="15" s="1"/>
  <c r="J191" i="15"/>
  <c r="N191" i="15" s="1"/>
  <c r="I191" i="15"/>
  <c r="M191" i="15" s="1"/>
  <c r="J190" i="15"/>
  <c r="N190" i="15" s="1"/>
  <c r="E190" i="15"/>
  <c r="I190" i="15" s="1"/>
  <c r="M190" i="15" s="1"/>
  <c r="J189" i="15"/>
  <c r="N189" i="15" s="1"/>
  <c r="E189" i="15"/>
  <c r="C189" i="15"/>
  <c r="J188" i="15"/>
  <c r="N188" i="15" s="1"/>
  <c r="C188" i="15"/>
  <c r="I188" i="15" s="1"/>
  <c r="M188" i="15" s="1"/>
  <c r="J187" i="15"/>
  <c r="N187" i="15" s="1"/>
  <c r="I187" i="15"/>
  <c r="M187" i="15" s="1"/>
  <c r="J186" i="15"/>
  <c r="N186" i="15" s="1"/>
  <c r="I186" i="15"/>
  <c r="M186" i="15" s="1"/>
  <c r="J185" i="15"/>
  <c r="N185" i="15" s="1"/>
  <c r="I185" i="15"/>
  <c r="M185" i="15" s="1"/>
  <c r="J184" i="15"/>
  <c r="N184" i="15" s="1"/>
  <c r="I184" i="15"/>
  <c r="M184" i="15" s="1"/>
  <c r="J183" i="15"/>
  <c r="N183" i="15" s="1"/>
  <c r="I183" i="15"/>
  <c r="M183" i="15" s="1"/>
  <c r="J182" i="15"/>
  <c r="N182" i="15" s="1"/>
  <c r="I182" i="15"/>
  <c r="M182" i="15" s="1"/>
  <c r="J181" i="15"/>
  <c r="N181" i="15" s="1"/>
  <c r="I181" i="15"/>
  <c r="M181" i="15" s="1"/>
  <c r="J180" i="15"/>
  <c r="N180" i="15" s="1"/>
  <c r="I180" i="15"/>
  <c r="M180" i="15" s="1"/>
  <c r="J179" i="15"/>
  <c r="N179" i="15" s="1"/>
  <c r="I179" i="15"/>
  <c r="M179" i="15" s="1"/>
  <c r="J178" i="15"/>
  <c r="N178" i="15" s="1"/>
  <c r="I178" i="15"/>
  <c r="M178" i="15" s="1"/>
  <c r="J177" i="15"/>
  <c r="N177" i="15" s="1"/>
  <c r="I177" i="15"/>
  <c r="M177" i="15" s="1"/>
  <c r="J176" i="15"/>
  <c r="N176" i="15" s="1"/>
  <c r="I176" i="15"/>
  <c r="M176" i="15" s="1"/>
  <c r="J175" i="15"/>
  <c r="N175" i="15" s="1"/>
  <c r="I175" i="15"/>
  <c r="M175" i="15" s="1"/>
  <c r="J174" i="15"/>
  <c r="N174" i="15" s="1"/>
  <c r="E174" i="15"/>
  <c r="I174" i="15" s="1"/>
  <c r="M174" i="15" s="1"/>
  <c r="J173" i="15"/>
  <c r="N173" i="15" s="1"/>
  <c r="I173" i="15"/>
  <c r="M173" i="15" s="1"/>
  <c r="J172" i="15"/>
  <c r="N172" i="15" s="1"/>
  <c r="I172" i="15"/>
  <c r="M172" i="15" s="1"/>
  <c r="J171" i="15"/>
  <c r="N171" i="15" s="1"/>
  <c r="I171" i="15"/>
  <c r="M171" i="15" s="1"/>
  <c r="J170" i="15"/>
  <c r="N170" i="15" s="1"/>
  <c r="I170" i="15"/>
  <c r="M170" i="15" s="1"/>
  <c r="J169" i="15"/>
  <c r="N169" i="15" s="1"/>
  <c r="I169" i="15"/>
  <c r="M169" i="15" s="1"/>
  <c r="J168" i="15"/>
  <c r="N168" i="15" s="1"/>
  <c r="I168" i="15"/>
  <c r="M168" i="15" s="1"/>
  <c r="J167" i="15"/>
  <c r="N167" i="15" s="1"/>
  <c r="I167" i="15"/>
  <c r="M167" i="15" s="1"/>
  <c r="J166" i="15"/>
  <c r="N166" i="15" s="1"/>
  <c r="I166" i="15"/>
  <c r="M166" i="15" s="1"/>
  <c r="J165" i="15"/>
  <c r="N165" i="15" s="1"/>
  <c r="I165" i="15"/>
  <c r="M165" i="15" s="1"/>
  <c r="J164" i="15"/>
  <c r="N164" i="15" s="1"/>
  <c r="I164" i="15"/>
  <c r="M164" i="15" s="1"/>
  <c r="J163" i="15"/>
  <c r="N163" i="15" s="1"/>
  <c r="I163" i="15"/>
  <c r="M163" i="15" s="1"/>
  <c r="J162" i="15"/>
  <c r="N162" i="15" s="1"/>
  <c r="I162" i="15"/>
  <c r="M162" i="15" s="1"/>
  <c r="J161" i="15"/>
  <c r="N161" i="15" s="1"/>
  <c r="I161" i="15"/>
  <c r="M161" i="15" s="1"/>
  <c r="J160" i="15"/>
  <c r="N160" i="15" s="1"/>
  <c r="I160" i="15"/>
  <c r="M160" i="15" s="1"/>
  <c r="J159" i="15"/>
  <c r="N159" i="15" s="1"/>
  <c r="I159" i="15"/>
  <c r="M159" i="15" s="1"/>
  <c r="J158" i="15"/>
  <c r="N158" i="15" s="1"/>
  <c r="I158" i="15"/>
  <c r="M158" i="15" s="1"/>
  <c r="J157" i="15"/>
  <c r="N157" i="15" s="1"/>
  <c r="I157" i="15"/>
  <c r="M157" i="15" s="1"/>
  <c r="J156" i="15"/>
  <c r="N156" i="15" s="1"/>
  <c r="I156" i="15"/>
  <c r="M156" i="15" s="1"/>
  <c r="J155" i="15"/>
  <c r="N155" i="15" s="1"/>
  <c r="I155" i="15"/>
  <c r="M155" i="15" s="1"/>
  <c r="J154" i="15"/>
  <c r="N154" i="15" s="1"/>
  <c r="I154" i="15"/>
  <c r="M154" i="15" s="1"/>
  <c r="J153" i="15"/>
  <c r="N153" i="15" s="1"/>
  <c r="I153" i="15"/>
  <c r="M153" i="15" s="1"/>
  <c r="J152" i="15"/>
  <c r="N152" i="15" s="1"/>
  <c r="I152" i="15"/>
  <c r="M152" i="15" s="1"/>
  <c r="J151" i="15"/>
  <c r="N151" i="15" s="1"/>
  <c r="I151" i="15"/>
  <c r="M151" i="15" s="1"/>
  <c r="J150" i="15"/>
  <c r="N150" i="15" s="1"/>
  <c r="I150" i="15"/>
  <c r="M150" i="15" s="1"/>
  <c r="J149" i="15"/>
  <c r="N149" i="15" s="1"/>
  <c r="I149" i="15"/>
  <c r="M149" i="15" s="1"/>
  <c r="J148" i="15"/>
  <c r="N148" i="15" s="1"/>
  <c r="I148" i="15"/>
  <c r="M148" i="15" s="1"/>
  <c r="J147" i="15"/>
  <c r="N147" i="15" s="1"/>
  <c r="I147" i="15"/>
  <c r="M147" i="15" s="1"/>
  <c r="J146" i="15"/>
  <c r="N146" i="15" s="1"/>
  <c r="I146" i="15"/>
  <c r="M146" i="15" s="1"/>
  <c r="J145" i="15"/>
  <c r="N145" i="15" s="1"/>
  <c r="I145" i="15"/>
  <c r="M145" i="15" s="1"/>
  <c r="J144" i="15"/>
  <c r="N144" i="15" s="1"/>
  <c r="I144" i="15"/>
  <c r="M144" i="15" s="1"/>
  <c r="J143" i="15"/>
  <c r="N143" i="15" s="1"/>
  <c r="I143" i="15"/>
  <c r="M143" i="15" s="1"/>
  <c r="J142" i="15"/>
  <c r="N142" i="15" s="1"/>
  <c r="I142" i="15"/>
  <c r="M142" i="15" s="1"/>
  <c r="J141" i="15"/>
  <c r="N141" i="15" s="1"/>
  <c r="I141" i="15"/>
  <c r="M141" i="15" s="1"/>
  <c r="J140" i="15"/>
  <c r="N140" i="15" s="1"/>
  <c r="C140" i="15"/>
  <c r="I140" i="15" s="1"/>
  <c r="M140" i="15" s="1"/>
  <c r="J139" i="15"/>
  <c r="N139" i="15" s="1"/>
  <c r="I139" i="15"/>
  <c r="M139" i="15" s="1"/>
  <c r="J138" i="15"/>
  <c r="N138" i="15" s="1"/>
  <c r="I138" i="15"/>
  <c r="M138" i="15" s="1"/>
  <c r="J137" i="15"/>
  <c r="N137" i="15" s="1"/>
  <c r="I137" i="15"/>
  <c r="M137" i="15" s="1"/>
  <c r="J136" i="15"/>
  <c r="N136" i="15" s="1"/>
  <c r="I136" i="15"/>
  <c r="M136" i="15" s="1"/>
  <c r="J135" i="15"/>
  <c r="N135" i="15" s="1"/>
  <c r="I135" i="15"/>
  <c r="M135" i="15" s="1"/>
  <c r="J134" i="15"/>
  <c r="N134" i="15" s="1"/>
  <c r="I134" i="15"/>
  <c r="M134" i="15" s="1"/>
  <c r="J133" i="15"/>
  <c r="N133" i="15" s="1"/>
  <c r="I133" i="15"/>
  <c r="M133" i="15" s="1"/>
  <c r="J132" i="15"/>
  <c r="N132" i="15" s="1"/>
  <c r="I132" i="15"/>
  <c r="M132" i="15" s="1"/>
  <c r="J131" i="15"/>
  <c r="N131" i="15" s="1"/>
  <c r="I131" i="15"/>
  <c r="M131" i="15" s="1"/>
  <c r="J130" i="15"/>
  <c r="N130" i="15" s="1"/>
  <c r="I130" i="15"/>
  <c r="M130" i="15" s="1"/>
  <c r="J129" i="15"/>
  <c r="N129" i="15" s="1"/>
  <c r="I129" i="15"/>
  <c r="M129" i="15" s="1"/>
  <c r="J128" i="15"/>
  <c r="N128" i="15" s="1"/>
  <c r="I128" i="15"/>
  <c r="M128" i="15" s="1"/>
  <c r="I127" i="15"/>
  <c r="M127" i="15" s="1"/>
  <c r="D127" i="15"/>
  <c r="J127" i="15" s="1"/>
  <c r="N127" i="15" s="1"/>
  <c r="J126" i="15"/>
  <c r="N126" i="15" s="1"/>
  <c r="I126" i="15"/>
  <c r="M126" i="15" s="1"/>
  <c r="J125" i="15"/>
  <c r="N125" i="15" s="1"/>
  <c r="I125" i="15"/>
  <c r="M125" i="15" s="1"/>
  <c r="J124" i="15"/>
  <c r="N124" i="15" s="1"/>
  <c r="I124" i="15"/>
  <c r="M124" i="15" s="1"/>
  <c r="J123" i="15"/>
  <c r="N123" i="15" s="1"/>
  <c r="I123" i="15"/>
  <c r="M123" i="15" s="1"/>
  <c r="J122" i="15"/>
  <c r="N122" i="15" s="1"/>
  <c r="I122" i="15"/>
  <c r="M122" i="15" s="1"/>
  <c r="J121" i="15"/>
  <c r="N121" i="15" s="1"/>
  <c r="I121" i="15"/>
  <c r="M121" i="15" s="1"/>
  <c r="J120" i="15"/>
  <c r="N120" i="15" s="1"/>
  <c r="I120" i="15"/>
  <c r="M120" i="15" s="1"/>
  <c r="J119" i="15"/>
  <c r="N119" i="15" s="1"/>
  <c r="I119" i="15"/>
  <c r="M119" i="15" s="1"/>
  <c r="J118" i="15"/>
  <c r="N118" i="15" s="1"/>
  <c r="I118" i="15"/>
  <c r="M118" i="15" s="1"/>
  <c r="J117" i="15"/>
  <c r="N117" i="15" s="1"/>
  <c r="I117" i="15"/>
  <c r="M117" i="15" s="1"/>
  <c r="J116" i="15"/>
  <c r="N116" i="15" s="1"/>
  <c r="I116" i="15"/>
  <c r="M116" i="15" s="1"/>
  <c r="J115" i="15"/>
  <c r="N115" i="15" s="1"/>
  <c r="I115" i="15"/>
  <c r="M115" i="15" s="1"/>
  <c r="J114" i="15"/>
  <c r="N114" i="15" s="1"/>
  <c r="I114" i="15"/>
  <c r="M114" i="15" s="1"/>
  <c r="J113" i="15"/>
  <c r="N113" i="15" s="1"/>
  <c r="I113" i="15"/>
  <c r="M113" i="15" s="1"/>
  <c r="J112" i="15"/>
  <c r="N112" i="15" s="1"/>
  <c r="I112" i="15"/>
  <c r="M112" i="15" s="1"/>
  <c r="J111" i="15"/>
  <c r="N111" i="15" s="1"/>
  <c r="I111" i="15"/>
  <c r="M111" i="15" s="1"/>
  <c r="J110" i="15"/>
  <c r="N110" i="15" s="1"/>
  <c r="I110" i="15"/>
  <c r="M110" i="15" s="1"/>
  <c r="J109" i="15"/>
  <c r="N109" i="15" s="1"/>
  <c r="I109" i="15"/>
  <c r="M109" i="15" s="1"/>
  <c r="J108" i="15"/>
  <c r="N108" i="15" s="1"/>
  <c r="I108" i="15"/>
  <c r="M108" i="15" s="1"/>
  <c r="J107" i="15"/>
  <c r="N107" i="15" s="1"/>
  <c r="I107" i="15"/>
  <c r="M107" i="15" s="1"/>
  <c r="J106" i="15"/>
  <c r="N106" i="15" s="1"/>
  <c r="I106" i="15"/>
  <c r="M106" i="15" s="1"/>
  <c r="J105" i="15"/>
  <c r="N105" i="15" s="1"/>
  <c r="I105" i="15"/>
  <c r="M105" i="15" s="1"/>
  <c r="J104" i="15"/>
  <c r="L104" i="15" s="1"/>
  <c r="E104" i="15"/>
  <c r="J103" i="15"/>
  <c r="L103" i="15" s="1"/>
  <c r="I103" i="15"/>
  <c r="K103" i="15" s="1"/>
  <c r="J102" i="15"/>
  <c r="L102" i="15" s="1"/>
  <c r="I102" i="15"/>
  <c r="K102" i="15" s="1"/>
  <c r="J101" i="15"/>
  <c r="L101" i="15" s="1"/>
  <c r="I101" i="15"/>
  <c r="K101" i="15" s="1"/>
  <c r="J100" i="15"/>
  <c r="L100" i="15" s="1"/>
  <c r="I100" i="15"/>
  <c r="K100" i="15" s="1"/>
  <c r="J99" i="15"/>
  <c r="L99" i="15" s="1"/>
  <c r="I99" i="15"/>
  <c r="K99" i="15" s="1"/>
  <c r="J98" i="15"/>
  <c r="L98" i="15" s="1"/>
  <c r="I98" i="15"/>
  <c r="K98" i="15" s="1"/>
  <c r="J97" i="15"/>
  <c r="L97" i="15" s="1"/>
  <c r="I97" i="15"/>
  <c r="K97" i="15" s="1"/>
  <c r="I96" i="15"/>
  <c r="K96" i="15" s="1"/>
  <c r="F96" i="15"/>
  <c r="D96" i="15"/>
  <c r="J95" i="15"/>
  <c r="L95" i="15" s="1"/>
  <c r="I95" i="15"/>
  <c r="K95" i="15" s="1"/>
  <c r="J94" i="15"/>
  <c r="L94" i="15" s="1"/>
  <c r="I94" i="15"/>
  <c r="K94" i="15" s="1"/>
  <c r="J93" i="15"/>
  <c r="L93" i="15" s="1"/>
  <c r="I93" i="15"/>
  <c r="K93" i="15" s="1"/>
  <c r="J92" i="15"/>
  <c r="L92" i="15" s="1"/>
  <c r="I92" i="15"/>
  <c r="K92" i="15" s="1"/>
  <c r="J91" i="15"/>
  <c r="L91" i="15" s="1"/>
  <c r="I91" i="15"/>
  <c r="K91" i="15" s="1"/>
  <c r="J90" i="15"/>
  <c r="L90" i="15" s="1"/>
  <c r="I90" i="15"/>
  <c r="K90" i="15" s="1"/>
  <c r="J89" i="15"/>
  <c r="L89" i="15" s="1"/>
  <c r="I89" i="15"/>
  <c r="K89" i="15" s="1"/>
  <c r="J88" i="15"/>
  <c r="L88" i="15" s="1"/>
  <c r="I88" i="15"/>
  <c r="K88" i="15" s="1"/>
  <c r="J87" i="15"/>
  <c r="L87" i="15" s="1"/>
  <c r="I87" i="15"/>
  <c r="K87" i="15" s="1"/>
  <c r="J86" i="15"/>
  <c r="L86" i="15" s="1"/>
  <c r="I86" i="15"/>
  <c r="K86" i="15" s="1"/>
  <c r="J85" i="15"/>
  <c r="L85" i="15" s="1"/>
  <c r="I85" i="15"/>
  <c r="K85" i="15" s="1"/>
  <c r="J84" i="15"/>
  <c r="L84" i="15" s="1"/>
  <c r="I84" i="15"/>
  <c r="K84" i="15" s="1"/>
  <c r="J83" i="15"/>
  <c r="L83" i="15" s="1"/>
  <c r="I83" i="15"/>
  <c r="K83" i="15" s="1"/>
  <c r="J82" i="15"/>
  <c r="L82" i="15" s="1"/>
  <c r="I82" i="15"/>
  <c r="K82" i="15" s="1"/>
  <c r="J81" i="15"/>
  <c r="L81" i="15" s="1"/>
  <c r="I81" i="15"/>
  <c r="K81" i="15" s="1"/>
  <c r="J80" i="15"/>
  <c r="L80" i="15" s="1"/>
  <c r="I80" i="15"/>
  <c r="K80" i="15" s="1"/>
  <c r="J79" i="15"/>
  <c r="L79" i="15" s="1"/>
  <c r="C79" i="15"/>
  <c r="I79" i="15" s="1"/>
  <c r="K79" i="15" s="1"/>
  <c r="J78" i="15"/>
  <c r="L78" i="15" s="1"/>
  <c r="I78" i="15"/>
  <c r="K78" i="15" s="1"/>
  <c r="J77" i="15"/>
  <c r="L77" i="15" s="1"/>
  <c r="I77" i="15"/>
  <c r="K77" i="15" s="1"/>
  <c r="I76" i="15"/>
  <c r="K76" i="15" s="1"/>
  <c r="F76" i="15"/>
  <c r="J75" i="15"/>
  <c r="L75" i="15" s="1"/>
  <c r="C75" i="15"/>
  <c r="I75" i="15" s="1"/>
  <c r="K75" i="15" s="1"/>
  <c r="J74" i="15"/>
  <c r="L74" i="15" s="1"/>
  <c r="I74" i="15"/>
  <c r="K74" i="15" s="1"/>
  <c r="J73" i="15"/>
  <c r="L73" i="15" s="1"/>
  <c r="I73" i="15"/>
  <c r="K73" i="15" s="1"/>
  <c r="J72" i="15"/>
  <c r="L72" i="15" s="1"/>
  <c r="I72" i="15"/>
  <c r="K72" i="15" s="1"/>
  <c r="J71" i="15"/>
  <c r="L71" i="15" s="1"/>
  <c r="I71" i="15"/>
  <c r="K71" i="15" s="1"/>
  <c r="J70" i="15"/>
  <c r="L70" i="15" s="1"/>
  <c r="I70" i="15"/>
  <c r="K70" i="15" s="1"/>
  <c r="J69" i="15"/>
  <c r="L69" i="15" s="1"/>
  <c r="I69" i="15"/>
  <c r="K69" i="15" s="1"/>
  <c r="J68" i="15"/>
  <c r="L68" i="15" s="1"/>
  <c r="I68" i="15"/>
  <c r="K68" i="15" s="1"/>
  <c r="J67" i="15"/>
  <c r="L67" i="15" s="1"/>
  <c r="I67" i="15"/>
  <c r="K67" i="15" s="1"/>
  <c r="J66" i="15"/>
  <c r="L66" i="15" s="1"/>
  <c r="I66" i="15"/>
  <c r="K66" i="15" s="1"/>
  <c r="J65" i="15"/>
  <c r="L65" i="15" s="1"/>
  <c r="I65" i="15"/>
  <c r="K65" i="15" s="1"/>
  <c r="J64" i="15"/>
  <c r="L64" i="15" s="1"/>
  <c r="I64" i="15"/>
  <c r="K64" i="15" s="1"/>
  <c r="J63" i="15"/>
  <c r="L63" i="15" s="1"/>
  <c r="I63" i="15"/>
  <c r="K63" i="15" s="1"/>
  <c r="J62" i="15"/>
  <c r="L62" i="15" s="1"/>
  <c r="I62" i="15"/>
  <c r="K62" i="15" s="1"/>
  <c r="J61" i="15"/>
  <c r="L61" i="15" s="1"/>
  <c r="I61" i="15"/>
  <c r="K61" i="15" s="1"/>
  <c r="I60" i="15"/>
  <c r="K60" i="15" s="1"/>
  <c r="D60" i="15"/>
  <c r="J60" i="15" s="1"/>
  <c r="L60" i="15" s="1"/>
  <c r="J59" i="15"/>
  <c r="L59" i="15" s="1"/>
  <c r="C59" i="15"/>
  <c r="J58" i="15"/>
  <c r="L58" i="15" s="1"/>
  <c r="I58" i="15"/>
  <c r="K58" i="15" s="1"/>
  <c r="J57" i="15"/>
  <c r="L57" i="15" s="1"/>
  <c r="I57" i="15"/>
  <c r="K57" i="15" s="1"/>
  <c r="J56" i="15"/>
  <c r="L56" i="15" s="1"/>
  <c r="I56" i="15"/>
  <c r="K56" i="15" s="1"/>
  <c r="J55" i="15"/>
  <c r="L55" i="15" s="1"/>
  <c r="I55" i="15"/>
  <c r="K55" i="15" s="1"/>
  <c r="J54" i="15"/>
  <c r="L54" i="15" s="1"/>
  <c r="I54" i="15"/>
  <c r="K54" i="15" s="1"/>
  <c r="J53" i="15"/>
  <c r="L53" i="15" s="1"/>
  <c r="I53" i="15"/>
  <c r="K53" i="15" s="1"/>
  <c r="J52" i="15"/>
  <c r="L52" i="15" s="1"/>
  <c r="I52" i="15"/>
  <c r="K52" i="15" s="1"/>
  <c r="J51" i="15"/>
  <c r="L51" i="15" s="1"/>
  <c r="I51" i="15"/>
  <c r="K51" i="15" s="1"/>
  <c r="J50" i="15"/>
  <c r="L50" i="15" s="1"/>
  <c r="I50" i="15"/>
  <c r="K50" i="15" s="1"/>
  <c r="J49" i="15"/>
  <c r="L49" i="15" s="1"/>
  <c r="I49" i="15"/>
  <c r="K49" i="15" s="1"/>
  <c r="J48" i="15"/>
  <c r="L48" i="15" s="1"/>
  <c r="I48" i="15"/>
  <c r="K48" i="15" s="1"/>
  <c r="J47" i="15"/>
  <c r="L47" i="15" s="1"/>
  <c r="I47" i="15"/>
  <c r="K47" i="15" s="1"/>
  <c r="I46" i="15"/>
  <c r="K46" i="15" s="1"/>
  <c r="D46" i="15"/>
  <c r="J45" i="15"/>
  <c r="L45" i="15" s="1"/>
  <c r="I45" i="15"/>
  <c r="K45" i="15" s="1"/>
  <c r="J44" i="15"/>
  <c r="L44" i="15" s="1"/>
  <c r="I44" i="15"/>
  <c r="K44" i="15" s="1"/>
  <c r="J43" i="15"/>
  <c r="L43" i="15" s="1"/>
  <c r="I43" i="15"/>
  <c r="K43" i="15" s="1"/>
  <c r="J42" i="15"/>
  <c r="L42" i="15" s="1"/>
  <c r="I42" i="15"/>
  <c r="K42" i="15" s="1"/>
  <c r="J41" i="15"/>
  <c r="L41" i="15" s="1"/>
  <c r="I41" i="15"/>
  <c r="K41" i="15" s="1"/>
  <c r="J40" i="15"/>
  <c r="L40" i="15" s="1"/>
  <c r="I40" i="15"/>
  <c r="K40" i="15" s="1"/>
  <c r="J39" i="15"/>
  <c r="L39" i="15" s="1"/>
  <c r="I39" i="15"/>
  <c r="K39" i="15" s="1"/>
  <c r="J38" i="15"/>
  <c r="L38" i="15" s="1"/>
  <c r="I38" i="15"/>
  <c r="K38" i="15" s="1"/>
  <c r="J37" i="15"/>
  <c r="L37" i="15" s="1"/>
  <c r="I37" i="15"/>
  <c r="K37" i="15" s="1"/>
  <c r="J36" i="15"/>
  <c r="L36" i="15" s="1"/>
  <c r="I36" i="15"/>
  <c r="K36" i="15" s="1"/>
  <c r="J35" i="15"/>
  <c r="L35" i="15" s="1"/>
  <c r="I35" i="15"/>
  <c r="K35" i="15" s="1"/>
  <c r="J34" i="15"/>
  <c r="L34" i="15" s="1"/>
  <c r="I34" i="15"/>
  <c r="K34" i="15" s="1"/>
  <c r="J33" i="15"/>
  <c r="L33" i="15" s="1"/>
  <c r="I33" i="15"/>
  <c r="K33" i="15" s="1"/>
  <c r="J32" i="15"/>
  <c r="L32" i="15" s="1"/>
  <c r="I32" i="15"/>
  <c r="K32" i="15" s="1"/>
  <c r="J31" i="15"/>
  <c r="L31" i="15" s="1"/>
  <c r="I31" i="15"/>
  <c r="K31" i="15" s="1"/>
  <c r="J30" i="15"/>
  <c r="L30" i="15" s="1"/>
  <c r="I30" i="15"/>
  <c r="K30" i="15" s="1"/>
  <c r="J29" i="15"/>
  <c r="L29" i="15" s="1"/>
  <c r="I29" i="15"/>
  <c r="K29" i="15" s="1"/>
  <c r="J28" i="15"/>
  <c r="L28" i="15" s="1"/>
  <c r="I28" i="15"/>
  <c r="K28" i="15" s="1"/>
  <c r="J27" i="15"/>
  <c r="L27" i="15" s="1"/>
  <c r="I27" i="15"/>
  <c r="K27" i="15" s="1"/>
  <c r="J26" i="15"/>
  <c r="L26" i="15" s="1"/>
  <c r="I26" i="15"/>
  <c r="K26" i="15" s="1"/>
  <c r="J25" i="15"/>
  <c r="L25" i="15" s="1"/>
  <c r="I25" i="15"/>
  <c r="K25" i="15" s="1"/>
  <c r="J24" i="15"/>
  <c r="L24" i="15" s="1"/>
  <c r="I24" i="15"/>
  <c r="K24" i="15" s="1"/>
  <c r="J23" i="15"/>
  <c r="L23" i="15" s="1"/>
  <c r="I23" i="15"/>
  <c r="K23" i="15" s="1"/>
  <c r="J22" i="15"/>
  <c r="L22" i="15" s="1"/>
  <c r="I22" i="15"/>
  <c r="K22" i="15" s="1"/>
  <c r="J21" i="15"/>
  <c r="L21" i="15" s="1"/>
  <c r="I21" i="15"/>
  <c r="K21" i="15" s="1"/>
  <c r="J20" i="15"/>
  <c r="L20" i="15" s="1"/>
  <c r="I20" i="15"/>
  <c r="K20" i="15" s="1"/>
  <c r="J19" i="15"/>
  <c r="L19" i="15" s="1"/>
  <c r="I19" i="15"/>
  <c r="K19" i="15" s="1"/>
  <c r="J18" i="15"/>
  <c r="L18" i="15" s="1"/>
  <c r="I18" i="15"/>
  <c r="K18" i="15" s="1"/>
  <c r="J17" i="15"/>
  <c r="L17" i="15" s="1"/>
  <c r="I17" i="15"/>
  <c r="K17" i="15" s="1"/>
  <c r="J16" i="15"/>
  <c r="L16" i="15" s="1"/>
  <c r="I16" i="15"/>
  <c r="K16" i="15" s="1"/>
  <c r="J15" i="15"/>
  <c r="L15" i="15" s="1"/>
  <c r="I15" i="15"/>
  <c r="K15" i="15" s="1"/>
  <c r="J14" i="15"/>
  <c r="L14" i="15" s="1"/>
  <c r="I14" i="15"/>
  <c r="K14" i="15" s="1"/>
  <c r="J13" i="15"/>
  <c r="L13" i="15" s="1"/>
  <c r="I13" i="15"/>
  <c r="K13" i="15" s="1"/>
  <c r="J12" i="15"/>
  <c r="L12" i="15" s="1"/>
  <c r="I12" i="15"/>
  <c r="K12" i="15" s="1"/>
  <c r="J11" i="15"/>
  <c r="L11" i="15" s="1"/>
  <c r="I11" i="15"/>
  <c r="K11" i="15" s="1"/>
  <c r="J10" i="15"/>
  <c r="L10" i="15" s="1"/>
  <c r="I10" i="15"/>
  <c r="K10" i="15" s="1"/>
  <c r="J9" i="15"/>
  <c r="L9" i="15" s="1"/>
  <c r="I9" i="15"/>
  <c r="K9" i="15" s="1"/>
  <c r="J8" i="15"/>
  <c r="L8" i="15" s="1"/>
  <c r="I8" i="15"/>
  <c r="K8" i="15" s="1"/>
  <c r="J7" i="15"/>
  <c r="L7" i="15" s="1"/>
  <c r="I7" i="15"/>
  <c r="K7" i="15" s="1"/>
  <c r="J6" i="15"/>
  <c r="I6" i="15"/>
  <c r="G219" i="15" l="1"/>
  <c r="C218" i="15"/>
  <c r="D218" i="15"/>
  <c r="I59" i="15"/>
  <c r="K59" i="15" s="1"/>
  <c r="F218" i="15"/>
  <c r="J96" i="15"/>
  <c r="L96" i="15" s="1"/>
  <c r="N218" i="15"/>
  <c r="N220" i="15" s="1"/>
  <c r="I189" i="15"/>
  <c r="M189" i="15" s="1"/>
  <c r="M218" i="15" s="1"/>
  <c r="E218" i="15"/>
  <c r="I104" i="15"/>
  <c r="K104" i="15" s="1"/>
  <c r="K6" i="15"/>
  <c r="J46" i="15"/>
  <c r="L46" i="15" s="1"/>
  <c r="J76" i="15"/>
  <c r="L76" i="15" s="1"/>
  <c r="L105" i="15"/>
  <c r="L6" i="15"/>
  <c r="C219" i="15" l="1"/>
  <c r="E219" i="15"/>
  <c r="K218" i="15"/>
  <c r="K220" i="15" s="1"/>
  <c r="M219" i="15"/>
  <c r="M220" i="15" s="1"/>
  <c r="M221" i="15" s="1"/>
  <c r="L218" i="15"/>
  <c r="J218" i="15"/>
  <c r="I218" i="15"/>
  <c r="L219" i="15" l="1"/>
  <c r="L220" i="15" s="1"/>
  <c r="I219" i="15"/>
  <c r="K221" i="15"/>
  <c r="C119" i="17" l="1"/>
  <c r="G125" i="17"/>
  <c r="C37" i="17"/>
  <c r="C504" i="17"/>
  <c r="C102" i="17"/>
  <c r="C520" i="17"/>
  <c r="C265" i="17" l="1"/>
  <c r="C291" i="17" s="1"/>
  <c r="C246" i="17"/>
  <c r="C11" i="25"/>
  <c r="H15" i="37"/>
  <c r="H16" i="37" s="1"/>
  <c r="C191" i="17"/>
  <c r="C12" i="25"/>
  <c r="C414" i="17"/>
  <c r="C7" i="17"/>
  <c r="C266" i="17" l="1"/>
  <c r="C267" i="17" s="1"/>
  <c r="C19" i="25"/>
  <c r="C10" i="25" l="1"/>
  <c r="C16" i="25"/>
  <c r="C18" i="25"/>
  <c r="C364" i="17" l="1"/>
  <c r="C497" i="17" l="1"/>
  <c r="C201" i="17"/>
  <c r="C17" i="25" l="1"/>
  <c r="C21" i="25"/>
  <c r="C4" i="25" l="1"/>
  <c r="C20" i="25" s="1"/>
  <c r="C22" i="25" l="1"/>
  <c r="E41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Mcar</author>
  </authors>
  <commentList>
    <comment ref="N15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Mcar:</t>
        </r>
        <r>
          <rPr>
            <sz val="9"/>
            <color indexed="81"/>
            <rFont val="Tahoma"/>
            <family val="2"/>
          </rPr>
          <t xml:space="preserve">
accumulated payments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Mcar</author>
  </authors>
  <commentList>
    <comment ref="G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Mcar:</t>
        </r>
        <r>
          <rPr>
            <sz val="9"/>
            <color indexed="81"/>
            <rFont val="Tahoma"/>
            <family val="2"/>
          </rPr>
          <t xml:space="preserve">
Accumulated payments</t>
        </r>
      </text>
    </comment>
    <comment ref="I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Mcar:</t>
        </r>
        <r>
          <rPr>
            <sz val="9"/>
            <color indexed="81"/>
            <rFont val="Tahoma"/>
            <family val="2"/>
          </rPr>
          <t xml:space="preserve">
Accumulated payments</t>
        </r>
      </text>
    </comment>
  </commentList>
</comments>
</file>

<file path=xl/sharedStrings.xml><?xml version="1.0" encoding="utf-8"?>
<sst xmlns="http://schemas.openxmlformats.org/spreadsheetml/2006/main" count="1426" uniqueCount="982">
  <si>
    <t>CITY OF SAN JUAN</t>
  </si>
  <si>
    <t xml:space="preserve"> TRIAL BALANCE</t>
  </si>
  <si>
    <t>As of December 31, 2015</t>
  </si>
  <si>
    <t>Financial Position</t>
  </si>
  <si>
    <t>Financial Performance</t>
  </si>
  <si>
    <t>Account Titles</t>
  </si>
  <si>
    <t>Account No.</t>
  </si>
  <si>
    <t>Cash Local Treasury</t>
  </si>
  <si>
    <t>1-01-01-010</t>
  </si>
  <si>
    <t xml:space="preserve">Cash in Bank - Local Currency, Current Account </t>
  </si>
  <si>
    <t>1-01-02-010</t>
  </si>
  <si>
    <t>Cash in Bank- Local Currency, Time Deposits</t>
  </si>
  <si>
    <t>1-02-01-010</t>
  </si>
  <si>
    <t>Guaranty Deposits</t>
  </si>
  <si>
    <t>1-02-05-020</t>
  </si>
  <si>
    <t xml:space="preserve">Accounts Receivable </t>
  </si>
  <si>
    <t>1-03-01-010</t>
  </si>
  <si>
    <t>Real Property Tax Receivable</t>
  </si>
  <si>
    <t>1-03-01-020</t>
  </si>
  <si>
    <t>Special Education Tax Receivable</t>
  </si>
  <si>
    <t>1-03-01-030</t>
  </si>
  <si>
    <t>Due from NGAs</t>
  </si>
  <si>
    <t>1-03-03-010</t>
  </si>
  <si>
    <t>Due from GOCC's</t>
  </si>
  <si>
    <t>1-03-03-020</t>
  </si>
  <si>
    <t>Due from Local Government Units</t>
  </si>
  <si>
    <t>1-03-03-030</t>
  </si>
  <si>
    <t>Due from Other funds</t>
  </si>
  <si>
    <t>1-03-04-050</t>
  </si>
  <si>
    <t>Advances for Officers and Employees</t>
  </si>
  <si>
    <t>1-03-05-040</t>
  </si>
  <si>
    <t>Receivables- Disallowances/Charges</t>
  </si>
  <si>
    <t>1-03-06-010</t>
  </si>
  <si>
    <t>Due from Officers and Employees</t>
  </si>
  <si>
    <t>1-03-06-020</t>
  </si>
  <si>
    <t>Other Receivables</t>
  </si>
  <si>
    <t>1-03-06-990</t>
  </si>
  <si>
    <t>Welfare Goods for Distribution</t>
  </si>
  <si>
    <t>1-04-02-020</t>
  </si>
  <si>
    <t>Medical,Dental and Laboratory Supplies for Distribution</t>
  </si>
  <si>
    <t>1-04-02-040</t>
  </si>
  <si>
    <t>Office Supplies Inventory</t>
  </si>
  <si>
    <t>1-04-04-010</t>
  </si>
  <si>
    <t xml:space="preserve">Accountable Forms, Plates and Stickers </t>
  </si>
  <si>
    <t>1-04-04-020</t>
  </si>
  <si>
    <t>Drugs and Medicines Inventory</t>
  </si>
  <si>
    <t>1-04-04-060</t>
  </si>
  <si>
    <t>Medical, Dental &amp; Laboratory Supplies Inventory</t>
  </si>
  <si>
    <t>1-04-04-070</t>
  </si>
  <si>
    <t>Other Supplies and Materials Inventory</t>
  </si>
  <si>
    <t>1-04-04-990</t>
  </si>
  <si>
    <t xml:space="preserve">Prepaid Insurance </t>
  </si>
  <si>
    <t>1-05-01-050</t>
  </si>
  <si>
    <t>Other Prepayments</t>
  </si>
  <si>
    <t>1-05-01-990</t>
  </si>
  <si>
    <t>Discount on Advance Payments</t>
  </si>
  <si>
    <t>1-05-02-010</t>
  </si>
  <si>
    <t>Investment Property, Land</t>
  </si>
  <si>
    <t>1-06-01-010</t>
  </si>
  <si>
    <t>Investment Property, Buildings</t>
  </si>
  <si>
    <t>1-06-01-020</t>
  </si>
  <si>
    <t>Accumulated Depreciation-Investment Property, Buildings</t>
  </si>
  <si>
    <t>1-06-01-021</t>
  </si>
  <si>
    <t xml:space="preserve">Land </t>
  </si>
  <si>
    <t>1-07-01-010</t>
  </si>
  <si>
    <t>Land Improvements</t>
  </si>
  <si>
    <t>Accumulated Depreciaton - Land Improvements</t>
  </si>
  <si>
    <t>1-07-01-011</t>
  </si>
  <si>
    <t>Power Supply Systems</t>
  </si>
  <si>
    <t>1-07-03-050</t>
  </si>
  <si>
    <t>Accumulated Depreciation-Power Supply Systems</t>
  </si>
  <si>
    <t>1-07-03-051</t>
  </si>
  <si>
    <t>Buildings</t>
  </si>
  <si>
    <t>1-07-04-010</t>
  </si>
  <si>
    <t>Accumulated Depreciaton -  Buildings</t>
  </si>
  <si>
    <t>1-07-04-011</t>
  </si>
  <si>
    <t>School Buildings</t>
  </si>
  <si>
    <t>1-07-04-020</t>
  </si>
  <si>
    <t>Accumulated Depreciaton - School Buildings</t>
  </si>
  <si>
    <t>1-07-04-021</t>
  </si>
  <si>
    <t>Hospitals and Health Centers</t>
  </si>
  <si>
    <t>1-07-04-030</t>
  </si>
  <si>
    <t>Accumulated Depreciation - Hospitals &amp; Health Centers</t>
  </si>
  <si>
    <t>1-07-04-031</t>
  </si>
  <si>
    <t>Other Structures</t>
  </si>
  <si>
    <t>1-07-04-990</t>
  </si>
  <si>
    <t>Accumulated Depreciation - Other Structures</t>
  </si>
  <si>
    <t>1-07-04-991</t>
  </si>
  <si>
    <t>Machinery</t>
  </si>
  <si>
    <t>1-07-05-010</t>
  </si>
  <si>
    <t xml:space="preserve">Accumulated Machinery </t>
  </si>
  <si>
    <t>1-07-05-011</t>
  </si>
  <si>
    <t>Office Equipment</t>
  </si>
  <si>
    <t>1-07-05-020</t>
  </si>
  <si>
    <t xml:space="preserve">Accumulated Depreciaton - Office Equipment </t>
  </si>
  <si>
    <t>1-07-05-021</t>
  </si>
  <si>
    <t>Information and Communication Technology Equipment</t>
  </si>
  <si>
    <t>1-07-05-030</t>
  </si>
  <si>
    <t>Accu. Dep.-Information and Communication Technology Equipment</t>
  </si>
  <si>
    <t>1-07-05-031</t>
  </si>
  <si>
    <t xml:space="preserve">Communication Equipment  </t>
  </si>
  <si>
    <t>1-07-05-070</t>
  </si>
  <si>
    <t xml:space="preserve">Accumulated Depreciation - Communication Equipment </t>
  </si>
  <si>
    <t>1-07-05-071</t>
  </si>
  <si>
    <t>Construction and Heavy Equipment</t>
  </si>
  <si>
    <t>1-07-05-080</t>
  </si>
  <si>
    <t>Accumulated Depreciation- Construction and Heavy Equipment</t>
  </si>
  <si>
    <t>1-07-05-081</t>
  </si>
  <si>
    <t>Disaster Respond and Rescue Equipment</t>
  </si>
  <si>
    <t>1-07-05-090</t>
  </si>
  <si>
    <t>Accumulated Depreciation- DRRE</t>
  </si>
  <si>
    <t>1-07-05-091</t>
  </si>
  <si>
    <t>Medical Equipment</t>
  </si>
  <si>
    <t>1-07-05-110</t>
  </si>
  <si>
    <t>Accumulated Depreciation- Medical Equipment</t>
  </si>
  <si>
    <t>1-07-05-111</t>
  </si>
  <si>
    <t>Military, Police and Security Equipment</t>
  </si>
  <si>
    <t>1-07-05-100</t>
  </si>
  <si>
    <t>Accumulated Depreciation-Military, Police and Security Equipment</t>
  </si>
  <si>
    <t>1-07-05-101</t>
  </si>
  <si>
    <t>Sports Equipment</t>
  </si>
  <si>
    <t>1-07-05-130</t>
  </si>
  <si>
    <t>Accumulated Depreciaton - Sports Equipment</t>
  </si>
  <si>
    <t>1-07-05-131</t>
  </si>
  <si>
    <t>Technical and Scientific Equipment</t>
  </si>
  <si>
    <t>1-07-05-140</t>
  </si>
  <si>
    <t>Accumulated Depreciation - Technical and Scientific Equipment</t>
  </si>
  <si>
    <t>1-07-05-141</t>
  </si>
  <si>
    <t>Other Machinery &amp; Equipment</t>
  </si>
  <si>
    <t>1-07-05-990</t>
  </si>
  <si>
    <t xml:space="preserve">Accumulated Depreciaton - Other Machinery &amp; Equipment </t>
  </si>
  <si>
    <t>1-07-05-991</t>
  </si>
  <si>
    <t xml:space="preserve">Motor Vehicles </t>
  </si>
  <si>
    <t>1-07-06-010</t>
  </si>
  <si>
    <t>Accumulatesd Depreciation-Motor Vehicles</t>
  </si>
  <si>
    <t>1-07-06-011</t>
  </si>
  <si>
    <t xml:space="preserve">Watercrafts </t>
  </si>
  <si>
    <t>1-07-06-040</t>
  </si>
  <si>
    <t>Accumulatesd Depreciation-Water Crafts</t>
  </si>
  <si>
    <t>1-07-06-041</t>
  </si>
  <si>
    <t xml:space="preserve">Other Transportation Equipment </t>
  </si>
  <si>
    <t>1-07-06-990</t>
  </si>
  <si>
    <t>Accumulatesd Depreciation-Other Transportation Equipment</t>
  </si>
  <si>
    <t>1-07-06-991</t>
  </si>
  <si>
    <t>Furniture and Fixtures</t>
  </si>
  <si>
    <t>1-07-07-010</t>
  </si>
  <si>
    <t>Accumulated Depreciation- Furnitures and Fixtures</t>
  </si>
  <si>
    <t>1-07-07-011</t>
  </si>
  <si>
    <t>Books</t>
  </si>
  <si>
    <t>1-07-07-020</t>
  </si>
  <si>
    <t>Accumulated Depreciation -  Books</t>
  </si>
  <si>
    <t>1-07-07-021</t>
  </si>
  <si>
    <t xml:space="preserve">Other Property, Plant and Equipment </t>
  </si>
  <si>
    <t>1-07-99-990</t>
  </si>
  <si>
    <t>Accumulated Depreciation-Other Property, Plant &amp; Equipment</t>
  </si>
  <si>
    <t>1-07-99-991</t>
  </si>
  <si>
    <t>Construction in Progress- Buildings and Other Structures</t>
  </si>
  <si>
    <t>1-07-10-030</t>
  </si>
  <si>
    <t>Accounts Payable</t>
  </si>
  <si>
    <t>2-01-01-010</t>
  </si>
  <si>
    <t>Due to Officers and Employees</t>
  </si>
  <si>
    <t>2-01-01-020</t>
  </si>
  <si>
    <t>Interest Payable</t>
  </si>
  <si>
    <t>2-01-01-050</t>
  </si>
  <si>
    <t>Due to BIR</t>
  </si>
  <si>
    <t>2-02-01-010</t>
  </si>
  <si>
    <t>Due to GSIS</t>
  </si>
  <si>
    <t>2-02-01-020</t>
  </si>
  <si>
    <t>Due to Pag-ibig</t>
  </si>
  <si>
    <t>2-02-01-030</t>
  </si>
  <si>
    <t>Due to Philhealth</t>
  </si>
  <si>
    <t>2-02-01-040</t>
  </si>
  <si>
    <t>Due to other NGAs</t>
  </si>
  <si>
    <t>2-02-01-050</t>
  </si>
  <si>
    <t>Due to Other GOCCs</t>
  </si>
  <si>
    <t>2-02-01-060</t>
  </si>
  <si>
    <t>Due to LGUs</t>
  </si>
  <si>
    <t>2-02-01-070</t>
  </si>
  <si>
    <t>Due to Other Funds</t>
  </si>
  <si>
    <t>2-03-01-010</t>
  </si>
  <si>
    <t>Trust Liabilities</t>
  </si>
  <si>
    <t>2-04-01-010</t>
  </si>
  <si>
    <t>Trust Liabilities-DRRMF</t>
  </si>
  <si>
    <t>2-04-01-020</t>
  </si>
  <si>
    <t>Bail Bonds Payable</t>
  </si>
  <si>
    <t>2-04-01-030</t>
  </si>
  <si>
    <t>Guaranty/Security Deposits Payable</t>
  </si>
  <si>
    <t>2-04-01-040</t>
  </si>
  <si>
    <t>Customers' Deposit Payable</t>
  </si>
  <si>
    <t>2-04-01-050</t>
  </si>
  <si>
    <t>Loans Payable - Domestic</t>
  </si>
  <si>
    <t>2-01-02-040</t>
  </si>
  <si>
    <t xml:space="preserve">Deferred Real Property Tax </t>
  </si>
  <si>
    <t>2-05-01-010</t>
  </si>
  <si>
    <t>Deferred Special Education Tax  Income</t>
  </si>
  <si>
    <t>2-05-01-020</t>
  </si>
  <si>
    <t>Other Deferred Credits</t>
  </si>
  <si>
    <t>2-05-01-990</t>
  </si>
  <si>
    <t>Other  Payables</t>
  </si>
  <si>
    <t>2-99-99-990</t>
  </si>
  <si>
    <t>Government Equity</t>
  </si>
  <si>
    <t>3-01-01-010</t>
  </si>
  <si>
    <t>Prior Years' Adjustment</t>
  </si>
  <si>
    <t>3-01-01-020</t>
  </si>
  <si>
    <t>Income and Expense Summary</t>
  </si>
  <si>
    <t>3-02-01-010</t>
  </si>
  <si>
    <t>Professional Tax</t>
  </si>
  <si>
    <t>4-01-01-020</t>
  </si>
  <si>
    <t>Community Tax Certificate</t>
  </si>
  <si>
    <t>4-01-01-050</t>
  </si>
  <si>
    <t>Real Property Transfer Tax</t>
  </si>
  <si>
    <t>4-01-02-080</t>
  </si>
  <si>
    <t>Real Property Tax-Basic</t>
  </si>
  <si>
    <t>4-01-02-040</t>
  </si>
  <si>
    <t xml:space="preserve">Discount on Real Property Tax-Basic </t>
  </si>
  <si>
    <t>4-01-02-041</t>
  </si>
  <si>
    <t>Special Education  Tax</t>
  </si>
  <si>
    <t>4-01-02-050</t>
  </si>
  <si>
    <t>Discount on Special Education Tax</t>
  </si>
  <si>
    <t>4-01-02-051</t>
  </si>
  <si>
    <t>Amusement Tax</t>
  </si>
  <si>
    <t>4-01-03-060</t>
  </si>
  <si>
    <t>Business Tax</t>
  </si>
  <si>
    <t>4-01-03-030</t>
  </si>
  <si>
    <t>Other Taxes</t>
  </si>
  <si>
    <t>4-01-04-990</t>
  </si>
  <si>
    <t>Tax Revenue-Fines and Penalties - Other taxes</t>
  </si>
  <si>
    <t>4-01-05-040</t>
  </si>
  <si>
    <t>Share from Internal Revenue Collections (IRA)</t>
  </si>
  <si>
    <t>4-01-06-020</t>
  </si>
  <si>
    <t>Share from Expanded Value Added Tax</t>
  </si>
  <si>
    <t>4-01-06-030</t>
  </si>
  <si>
    <t>Share from PCSO</t>
  </si>
  <si>
    <t>4-01-10-020</t>
  </si>
  <si>
    <t>Permit Fees</t>
  </si>
  <si>
    <t>4-02-01-010</t>
  </si>
  <si>
    <t>Registration Fees</t>
  </si>
  <si>
    <t>4-02-01-020</t>
  </si>
  <si>
    <t>Clearance &amp; Certification Fees</t>
  </si>
  <si>
    <t>4-02-01-040</t>
  </si>
  <si>
    <t>Supervision and Regulation Enforcement Fees</t>
  </si>
  <si>
    <t>4-02-01-070</t>
  </si>
  <si>
    <t>Inspection Fees</t>
  </si>
  <si>
    <t>4-02-01-100</t>
  </si>
  <si>
    <t>Processing Fees</t>
  </si>
  <si>
    <t>4-02-01-130</t>
  </si>
  <si>
    <t>Fees for Sealing and Licensing of Weights and Measures</t>
  </si>
  <si>
    <t>4-02-01-160</t>
  </si>
  <si>
    <t>Fines &amp; Penalties - Service Income</t>
  </si>
  <si>
    <t>4-02-01-990</t>
  </si>
  <si>
    <t>Other Service Income</t>
  </si>
  <si>
    <t>Rent Income</t>
  </si>
  <si>
    <t>4-02-02-090</t>
  </si>
  <si>
    <t>Parking Fees</t>
  </si>
  <si>
    <t>4-02-02-120</t>
  </si>
  <si>
    <t>Receipt from Slaughterhouse Operation</t>
  </si>
  <si>
    <t>4-02-02-150</t>
  </si>
  <si>
    <t>Receipt from Cemetery Operations</t>
  </si>
  <si>
    <t>4-02-02-160</t>
  </si>
  <si>
    <t>Garbage Fees</t>
  </si>
  <si>
    <t>4-02-02-190</t>
  </si>
  <si>
    <t>Hospital Fees</t>
  </si>
  <si>
    <t>4-02-02-200</t>
  </si>
  <si>
    <t>Interest Income</t>
  </si>
  <si>
    <t>4-02-02-220</t>
  </si>
  <si>
    <t>Fines &amp; Penalties-Business Income</t>
  </si>
  <si>
    <t>4-02-02-980</t>
  </si>
  <si>
    <t>Other Business Income</t>
  </si>
  <si>
    <t>4-02-02-990</t>
  </si>
  <si>
    <t>Miscellaneous Income</t>
  </si>
  <si>
    <t>4-06-01-010</t>
  </si>
  <si>
    <t>Salaries &amp; Wages - Regular</t>
  </si>
  <si>
    <t>5-01-01-010</t>
  </si>
  <si>
    <t>Salaries &amp; Wages - Casual/Contractual</t>
  </si>
  <si>
    <t>5-01-01-020</t>
  </si>
  <si>
    <t>Personnel Economic Relief Allowance</t>
  </si>
  <si>
    <t>5-01-02-010</t>
  </si>
  <si>
    <t>Representation Allowance</t>
  </si>
  <si>
    <t>5-01-02-020</t>
  </si>
  <si>
    <t>Transportation Allowance</t>
  </si>
  <si>
    <t>5-01-02-030</t>
  </si>
  <si>
    <t>Clothing / Uniform Allowance</t>
  </si>
  <si>
    <t>5-01-02-040</t>
  </si>
  <si>
    <t>Subsistence Allowance</t>
  </si>
  <si>
    <t>5-01-02-050</t>
  </si>
  <si>
    <t>Laundry Allowance</t>
  </si>
  <si>
    <t>5-01-02-060</t>
  </si>
  <si>
    <t>Productivity Incentive Allowance</t>
  </si>
  <si>
    <t>5-01-02-080</t>
  </si>
  <si>
    <t>Overtime &amp; Night Pay</t>
  </si>
  <si>
    <t>5-01-02-130</t>
  </si>
  <si>
    <t>Year-End Bonus</t>
  </si>
  <si>
    <t>5-01-02-140</t>
  </si>
  <si>
    <t>Cash Gift</t>
  </si>
  <si>
    <t>5-01-02-150</t>
  </si>
  <si>
    <t>Retirement &amp; Life Insurance Premiums</t>
  </si>
  <si>
    <t>5-01-03-010</t>
  </si>
  <si>
    <t>Pag-ibig Contributions</t>
  </si>
  <si>
    <t>5-01-03-020</t>
  </si>
  <si>
    <t>Philhealth Contributions</t>
  </si>
  <si>
    <t>5-01-03-030</t>
  </si>
  <si>
    <t>Employees Compensation Insurance Premiums</t>
  </si>
  <si>
    <t>5-01-03-040</t>
  </si>
  <si>
    <t>Terminal Leave Benefits</t>
  </si>
  <si>
    <t>5-01-04-030</t>
  </si>
  <si>
    <t>Other Personel Benefits</t>
  </si>
  <si>
    <t>5-01-04-040</t>
  </si>
  <si>
    <t>Traveling Expenses - Local</t>
  </si>
  <si>
    <t>5-02-01-010</t>
  </si>
  <si>
    <t>Traveling Expenses - Foreign</t>
  </si>
  <si>
    <t>5-02-01-020</t>
  </si>
  <si>
    <t>Training Expenses</t>
  </si>
  <si>
    <t>5-02-02-010</t>
  </si>
  <si>
    <t>Scholarship Grants/Expenses</t>
  </si>
  <si>
    <t>5-02-02-020</t>
  </si>
  <si>
    <t>Office Supplies Expenses</t>
  </si>
  <si>
    <t>5-02-03-010</t>
  </si>
  <si>
    <t>Accountable Forms Expenses</t>
  </si>
  <si>
    <t>5-02-03-020</t>
  </si>
  <si>
    <t>Animal/Zoological Supplies Expense</t>
  </si>
  <si>
    <t>5-02-03-040</t>
  </si>
  <si>
    <t>Food Supplies Expenses</t>
  </si>
  <si>
    <t>5-02-03-050</t>
  </si>
  <si>
    <t>Welfare Goods Expenses</t>
  </si>
  <si>
    <t>5-02-03-060</t>
  </si>
  <si>
    <t>Drugs and Medicines Expenses</t>
  </si>
  <si>
    <t>5-02-03-070</t>
  </si>
  <si>
    <t>Medical, Dental &amp; Laboratory Supplies Expense</t>
  </si>
  <si>
    <t>5-02-03-080</t>
  </si>
  <si>
    <t>Fuel, Oil &amp; Lubricants Expense</t>
  </si>
  <si>
    <t>5-02-03-090</t>
  </si>
  <si>
    <t>Textbooks and Instructional Materials Expenses</t>
  </si>
  <si>
    <t>5-02-03-110</t>
  </si>
  <si>
    <t>Other Supplies and Materials Expenses</t>
  </si>
  <si>
    <t>5-02-03-990</t>
  </si>
  <si>
    <t>Water Expenses</t>
  </si>
  <si>
    <t>5-02-04-010</t>
  </si>
  <si>
    <t>Electricity Expenses</t>
  </si>
  <si>
    <t>5-02-04-020</t>
  </si>
  <si>
    <t>Postage &amp; Courier Service</t>
  </si>
  <si>
    <t>5-02-05-010</t>
  </si>
  <si>
    <t>Telephone Expenses</t>
  </si>
  <si>
    <t>5-02-05-020</t>
  </si>
  <si>
    <t>Internet Subscription Expenses</t>
  </si>
  <si>
    <t>5-02-05-030</t>
  </si>
  <si>
    <t>Cable, Satellite, Telegraph &amp; Radio Expenses</t>
  </si>
  <si>
    <t>5-02-05-040</t>
  </si>
  <si>
    <t>Awards/Rewards Expenses</t>
  </si>
  <si>
    <t>5-02-06-010</t>
  </si>
  <si>
    <t>Prizes</t>
  </si>
  <si>
    <t>5-02-06-020</t>
  </si>
  <si>
    <t>Desilting &amp; Dredging Expenses</t>
  </si>
  <si>
    <t>5-02-08-020</t>
  </si>
  <si>
    <t>Extraordinary &amp; Miscellaneous Expenses</t>
  </si>
  <si>
    <t>5-02-10-030</t>
  </si>
  <si>
    <t>Consultancy Services</t>
  </si>
  <si>
    <t>5-02-11-030</t>
  </si>
  <si>
    <t>Other Professional Services</t>
  </si>
  <si>
    <t>5-02-11-990</t>
  </si>
  <si>
    <t>Environment/Sanitary Services</t>
  </si>
  <si>
    <t>5-02-12-010</t>
  </si>
  <si>
    <t>Janitorial Services</t>
  </si>
  <si>
    <t>5-02-12-020</t>
  </si>
  <si>
    <t>Security Services</t>
  </si>
  <si>
    <t>5-02-12-030</t>
  </si>
  <si>
    <t>Other General Services</t>
  </si>
  <si>
    <t>5-02-12-990</t>
  </si>
  <si>
    <t>Repairs &amp; Maintenance - Land Improvements</t>
  </si>
  <si>
    <t>5-02-13-020</t>
  </si>
  <si>
    <t>Repairs &amp; Maintenance -Infrastructure</t>
  </si>
  <si>
    <t>5-02-13-030</t>
  </si>
  <si>
    <t>Repairs &amp; Maintenance - Buildings and Other Structures</t>
  </si>
  <si>
    <t>5-02-13-040</t>
  </si>
  <si>
    <t>Repairs &amp; Maintenance-Machinery and Equipment</t>
  </si>
  <si>
    <t>5-02-13-050</t>
  </si>
  <si>
    <t>Repairs &amp; Maintenance-Transportations Equipment</t>
  </si>
  <si>
    <t>5-02-13-060</t>
  </si>
  <si>
    <t>Repairs &amp; Maintenance-Furnitures &amp; Fixtures</t>
  </si>
  <si>
    <t>5-02-13-070</t>
  </si>
  <si>
    <t xml:space="preserve">Subsidy to NGA's            </t>
  </si>
  <si>
    <t>5-02-14-020</t>
  </si>
  <si>
    <t xml:space="preserve">Subsidy to LGU's            </t>
  </si>
  <si>
    <t>5-02-14-030</t>
  </si>
  <si>
    <t>Subsidy to General Fund Proper/Special Accounts</t>
  </si>
  <si>
    <t>5-02-14-070</t>
  </si>
  <si>
    <t>Transfer of Unspent Current Year DRRM to the TF</t>
  </si>
  <si>
    <t>5-02-15-010</t>
  </si>
  <si>
    <t>Taxes,Duties &amp; Licenses</t>
  </si>
  <si>
    <t>5-02-16-010</t>
  </si>
  <si>
    <t>Fidelity Bond Premiums</t>
  </si>
  <si>
    <t>5-02-16-020</t>
  </si>
  <si>
    <t>Insurance Expenses</t>
  </si>
  <si>
    <t>5-02-16-030</t>
  </si>
  <si>
    <t>Advertising Expenses</t>
  </si>
  <si>
    <t>5-02-99-010</t>
  </si>
  <si>
    <t>Printing &amp; Publication Expenses</t>
  </si>
  <si>
    <t>5-02-99-020</t>
  </si>
  <si>
    <t>Representation Expenses</t>
  </si>
  <si>
    <t>5-02-99-030</t>
  </si>
  <si>
    <t>Rent Expenses</t>
  </si>
  <si>
    <t>5-02-99-050</t>
  </si>
  <si>
    <t>Membership Dues &amp; Contributions to Organizations</t>
  </si>
  <si>
    <t>5-02-99-060</t>
  </si>
  <si>
    <t>Subscription Expenses</t>
  </si>
  <si>
    <t>5-02-99-070</t>
  </si>
  <si>
    <t>Donations</t>
  </si>
  <si>
    <t>5-02-99-080</t>
  </si>
  <si>
    <t>Other Maintenance and Operating Expenses</t>
  </si>
  <si>
    <t>5-02-99-990</t>
  </si>
  <si>
    <t>Interest Expenses</t>
  </si>
  <si>
    <t>5-03-01-020</t>
  </si>
  <si>
    <t>Other Financial Charges</t>
  </si>
  <si>
    <t>5-03-01-990</t>
  </si>
  <si>
    <t>Depreciation Expense-Investment Property</t>
  </si>
  <si>
    <t>5-05-01-010</t>
  </si>
  <si>
    <t>Depreciation Expense-Land Improvements</t>
  </si>
  <si>
    <t>5-05-01-020</t>
  </si>
  <si>
    <t>Depreciation Expense-Infrastructure Assets</t>
  </si>
  <si>
    <t>5-05-01-030</t>
  </si>
  <si>
    <t>Depreciation Expense-Buildings and Other Structures</t>
  </si>
  <si>
    <t>5-05-01-040</t>
  </si>
  <si>
    <t>Depreciation Expense-Machinery and Equipment</t>
  </si>
  <si>
    <t>5-05-01-050</t>
  </si>
  <si>
    <t>Depreciation Expense-Transportation Equipment</t>
  </si>
  <si>
    <t>5-05-01-060</t>
  </si>
  <si>
    <t>Depreciation Expense-Furniture, Fixtures &amp; Books</t>
  </si>
  <si>
    <t>5-05-01-070</t>
  </si>
  <si>
    <t>Depreciation Expense- Other Property, Plant and Equipment</t>
  </si>
  <si>
    <t>5-05-01-090</t>
  </si>
  <si>
    <t>TOTAL</t>
  </si>
  <si>
    <t xml:space="preserve"> </t>
  </si>
  <si>
    <t>TRUST FUND</t>
  </si>
  <si>
    <t>Tax Revenue</t>
  </si>
  <si>
    <t>Maintenance and Other Operating Expenses</t>
  </si>
  <si>
    <t>Financial Expenses</t>
  </si>
  <si>
    <t>Non-Cash Expenses</t>
  </si>
  <si>
    <t>Surplus (Deficit) for the period</t>
  </si>
  <si>
    <t>Receivables</t>
  </si>
  <si>
    <t>Inventories</t>
  </si>
  <si>
    <t>Investment Property</t>
  </si>
  <si>
    <t>Financial Liabilities</t>
  </si>
  <si>
    <t>Deferred Credits/Unearned Income</t>
  </si>
  <si>
    <t>General Fund</t>
  </si>
  <si>
    <t xml:space="preserve"> Special Education Fund</t>
  </si>
  <si>
    <t>Trust Fund</t>
  </si>
  <si>
    <t>Debit</t>
  </si>
  <si>
    <t>Credit</t>
  </si>
  <si>
    <t>Consolidated</t>
  </si>
  <si>
    <t>Net Income (Loss)</t>
  </si>
  <si>
    <t>REVENUE</t>
  </si>
  <si>
    <t>P</t>
  </si>
  <si>
    <t>Operating Lease Receivable</t>
  </si>
  <si>
    <t>Computer Software</t>
  </si>
  <si>
    <t>Accumulated Amortization-Computer Software</t>
  </si>
  <si>
    <t>Amortization-Intangible Assets</t>
  </si>
  <si>
    <t>Cash in Bank - Local Currency, Time Deposits</t>
  </si>
  <si>
    <t>Advances to Officers and Employees</t>
  </si>
  <si>
    <t>Shares, Grants and Donations</t>
  </si>
  <si>
    <t>Share from Economic Zones</t>
  </si>
  <si>
    <t>Seminar/Training Fees</t>
  </si>
  <si>
    <t>Waterworks System Fees</t>
  </si>
  <si>
    <t>Grants and Donation in Kind</t>
  </si>
  <si>
    <t>Advances for Payroll</t>
  </si>
  <si>
    <t>Longevity Pay</t>
  </si>
  <si>
    <t>Hazard Pay</t>
  </si>
  <si>
    <t>Other Bonuses and Allowances</t>
  </si>
  <si>
    <t>Non-Accountable Forms Expenses</t>
  </si>
  <si>
    <t>Service and Business Income</t>
  </si>
  <si>
    <t>-</t>
  </si>
  <si>
    <t>Loans and Receivable Accounts</t>
  </si>
  <si>
    <t>Inter-Agency Receivables</t>
  </si>
  <si>
    <t>Intra-Agency Receivables</t>
  </si>
  <si>
    <t>Advances</t>
  </si>
  <si>
    <t>Belagio Holdings (AGORA)</t>
  </si>
  <si>
    <t>Integrative Center for Alternative Development Foundation (ICAD)</t>
  </si>
  <si>
    <t>Homegrown Olympic Management Enterprises, Inc. (ARENA)</t>
  </si>
  <si>
    <t>Printing and Publication Tax</t>
  </si>
  <si>
    <t>Tax Revenue-Fines and Penalties - Taxes on Goods and Services</t>
  </si>
  <si>
    <t>Tax Revenue-Fines and Penalties - Taxes on Individual and Corp.</t>
  </si>
  <si>
    <t>Tax on Delivery Trucks and Vans</t>
  </si>
  <si>
    <t>Journal Entry:</t>
  </si>
  <si>
    <t>Medical, Dental and Laboratory Supplies for Distribution</t>
  </si>
  <si>
    <t>Reconciliation of Investment Property</t>
  </si>
  <si>
    <t>Rental Revenue from Investment Property</t>
  </si>
  <si>
    <t>Investment Property,  Land</t>
  </si>
  <si>
    <t>Total</t>
  </si>
  <si>
    <t>Beginning Balance At Cost</t>
  </si>
  <si>
    <t>Depreciation</t>
  </si>
  <si>
    <t>Ending Balance</t>
  </si>
  <si>
    <t>Direct Operating Expenses arising from investment property that generated rental revenue</t>
  </si>
  <si>
    <t>Particulars</t>
  </si>
  <si>
    <t>Current</t>
  </si>
  <si>
    <t>Non-Current</t>
  </si>
  <si>
    <t>Inter-Agency Payables </t>
  </si>
  <si>
    <t>Date Granted</t>
  </si>
  <si>
    <t>Promissory Note No.</t>
  </si>
  <si>
    <t>2010-2012</t>
  </si>
  <si>
    <t>4808TL103603010-50</t>
  </si>
  <si>
    <t>4808TL124193010</t>
  </si>
  <si>
    <t>4808TL124193020</t>
  </si>
  <si>
    <t>4808TL124193030</t>
  </si>
  <si>
    <t>4808TL134255000</t>
  </si>
  <si>
    <t>Payments Made</t>
  </si>
  <si>
    <t>Trust Liabilities  </t>
  </si>
  <si>
    <t>Customers'  Deposit Payable</t>
  </si>
  <si>
    <t xml:space="preserve">                    </t>
  </si>
  <si>
    <t>Excavation Deposit</t>
  </si>
  <si>
    <t>Fiscal Certificate</t>
  </si>
  <si>
    <t>Police</t>
  </si>
  <si>
    <t>OSCA-from  Music Museum</t>
  </si>
  <si>
    <t>Real Property Auction</t>
  </si>
  <si>
    <t>Available</t>
  </si>
  <si>
    <t>Utilized</t>
  </si>
  <si>
    <t>Balance</t>
  </si>
  <si>
    <t>Current Year Appropriation</t>
  </si>
  <si>
    <t>Quick Response Fund (30%)</t>
  </si>
  <si>
    <t>Continuing Appropriation</t>
  </si>
  <si>
    <t>Tax Revenue - Individual and Corporation</t>
  </si>
  <si>
    <t>Tax Revenue - Property </t>
  </si>
  <si>
    <t>Special  Education  Tax</t>
  </si>
  <si>
    <t>Tax Revenue - Goods and Services </t>
  </si>
  <si>
    <t>Tax Revenue - Fines and Penalties </t>
  </si>
  <si>
    <t>Share from National Taxes </t>
  </si>
  <si>
    <t xml:space="preserve">      </t>
  </si>
  <si>
    <t>Tax Revenue-Fines and Penalties - Other Taxes</t>
  </si>
  <si>
    <t>Service Income </t>
  </si>
  <si>
    <t>Business Income </t>
  </si>
  <si>
    <t xml:space="preserve">Rent Income </t>
  </si>
  <si>
    <t xml:space="preserve">Permit Fees </t>
  </si>
  <si>
    <t xml:space="preserve">Registration Fees </t>
  </si>
  <si>
    <t xml:space="preserve">Supervision and Regulation Enforcement Fees </t>
  </si>
  <si>
    <t xml:space="preserve">Inspection Fees </t>
  </si>
  <si>
    <t xml:space="preserve">Processing Fees </t>
  </si>
  <si>
    <t xml:space="preserve">Fees for Sealing and Licensing of Weights and Measures </t>
  </si>
  <si>
    <t xml:space="preserve">Other Service Income </t>
  </si>
  <si>
    <t xml:space="preserve">Parking Fees </t>
  </si>
  <si>
    <t xml:space="preserve">Receipt from Slaughterhouse Operation </t>
  </si>
  <si>
    <t xml:space="preserve">Receipt from Cemetery Operations </t>
  </si>
  <si>
    <t xml:space="preserve">Garbage Fees </t>
  </si>
  <si>
    <t xml:space="preserve">Hospital Fees </t>
  </si>
  <si>
    <t xml:space="preserve">Interest Income </t>
  </si>
  <si>
    <t xml:space="preserve">Clearance and Certification Fees </t>
  </si>
  <si>
    <t xml:space="preserve">Fines and Penalties - Service Income </t>
  </si>
  <si>
    <t>Fines and Penalties - Business Income</t>
  </si>
  <si>
    <t>Tax Revenue-Fines and Penalties - Property Taxes</t>
  </si>
  <si>
    <t>Other Compensation </t>
  </si>
  <si>
    <t>Personnel Benefit Contributions</t>
  </si>
  <si>
    <t>Other Personnel Benefits </t>
  </si>
  <si>
    <t>Other Personnel Benefits</t>
  </si>
  <si>
    <t>Employee Costs</t>
  </si>
  <si>
    <t>Traveling Expenses </t>
  </si>
  <si>
    <t>Training and Scholarship Expenses </t>
  </si>
  <si>
    <t>Supplies and Materials Expenses </t>
  </si>
  <si>
    <t>Utility Expenses </t>
  </si>
  <si>
    <t>Communication Expenses </t>
  </si>
  <si>
    <t>Awards/Rewards and Prizes </t>
  </si>
  <si>
    <t>Demolition/Relocation and Desilting/Dredging Expenses </t>
  </si>
  <si>
    <t>Confidential, Intelligence and Extraordinary Expenses </t>
  </si>
  <si>
    <t>Professional Services </t>
  </si>
  <si>
    <t>General Services </t>
  </si>
  <si>
    <t>Contracted Services</t>
  </si>
  <si>
    <t>Repairs and Maintenance</t>
  </si>
  <si>
    <t>Taxes, Insurance Premiums and Other Fees</t>
  </si>
  <si>
    <t xml:space="preserve">  </t>
  </si>
  <si>
    <t>Amortization – Intangible Assets</t>
  </si>
  <si>
    <t>Adjustments to reconcile Surplus to Net Cash from Operating Activities:</t>
  </si>
  <si>
    <t>Net Cash from Operating Activities</t>
  </si>
  <si>
    <t>Reconciliation of Net Cash Flows from Operating Activities to Surplus/(Deficit)</t>
  </si>
  <si>
    <t>Infrastructure Assets</t>
  </si>
  <si>
    <t>Furniture, Fixtures and Books</t>
  </si>
  <si>
    <t>Transportation Equipment</t>
  </si>
  <si>
    <t>Cost</t>
  </si>
  <si>
    <t>Amortization</t>
  </si>
  <si>
    <t xml:space="preserve">Decrease /(Increase) in: </t>
  </si>
  <si>
    <t>Prepayments and deferred charges</t>
  </si>
  <si>
    <t xml:space="preserve">Increase/(Decrease) in: </t>
  </si>
  <si>
    <t>Financial liabilities</t>
  </si>
  <si>
    <t>Inter-agency payables</t>
  </si>
  <si>
    <t>Trust liabilities</t>
  </si>
  <si>
    <t>Deferred credits/unearned income</t>
  </si>
  <si>
    <t>Other payables</t>
  </si>
  <si>
    <t>2016 unexpected quick response and mitigation</t>
  </si>
  <si>
    <t>Transfer of Unspent Current Year DRRM to the Trust Fund</t>
  </si>
  <si>
    <t>Prior Period Adjustments</t>
  </si>
  <si>
    <t>Contribution in kind</t>
  </si>
  <si>
    <t>Mitigation Fund (70%)</t>
  </si>
  <si>
    <t>MOOE</t>
  </si>
  <si>
    <t>Capital Outlay</t>
  </si>
  <si>
    <t>AIC</t>
  </si>
  <si>
    <t>Accrued payable</t>
  </si>
  <si>
    <t>Stale check</t>
  </si>
  <si>
    <t>AB Net</t>
  </si>
  <si>
    <t>Less: Current portion</t>
  </si>
  <si>
    <t>Less: Non-current portion</t>
  </si>
  <si>
    <t>Subsidy to Others</t>
  </si>
  <si>
    <t>See accompanying Notes to Financial Statements.</t>
  </si>
  <si>
    <t>Inventory Held for Distribution</t>
  </si>
  <si>
    <t>Inventory Held for Consumption</t>
  </si>
  <si>
    <t>Yearly Amortization</t>
  </si>
  <si>
    <t>No. of years</t>
  </si>
  <si>
    <t>Accum. Amortization</t>
  </si>
  <si>
    <t>Carrying Amount</t>
  </si>
  <si>
    <t>Per SL</t>
  </si>
  <si>
    <t>Per lapsing</t>
  </si>
  <si>
    <t>Per FS</t>
  </si>
  <si>
    <t>Advances to Contractor</t>
  </si>
  <si>
    <t>Due to NGAs</t>
  </si>
  <si>
    <t>Accummulated Depreciation</t>
  </si>
  <si>
    <t>2016 LDRRMF</t>
  </si>
  <si>
    <t>2015 LDRRMF</t>
  </si>
  <si>
    <t>2014 LDRRMF</t>
  </si>
  <si>
    <t>2013 LDRRMF</t>
  </si>
  <si>
    <t>Balance forwarded</t>
  </si>
  <si>
    <t>Less: Amount retained in General Fund intended for Capital Outlay</t>
  </si>
  <si>
    <t>2017 continuing appropriation</t>
  </si>
  <si>
    <t>2015 continuing appropriation</t>
  </si>
  <si>
    <t>Buildings and Other Structures</t>
  </si>
  <si>
    <t>Machinery and Equipment</t>
  </si>
  <si>
    <t xml:space="preserve"> Other PPE</t>
  </si>
  <si>
    <t>Financial Assistance/Subsidy</t>
  </si>
  <si>
    <t>Transfers</t>
  </si>
  <si>
    <t>Confidential Expenses </t>
  </si>
  <si>
    <t xml:space="preserve">Welfare Goods Expense                                   </t>
  </si>
  <si>
    <t>RPT Receivable (Note 6) </t>
  </si>
  <si>
    <t>Advance Payment on RPT and SET</t>
  </si>
  <si>
    <t>Deferred Real Property Tax, net</t>
  </si>
  <si>
    <t>SET Receivable (Note 6) </t>
  </si>
  <si>
    <t>Deferred Special Education Tax, net</t>
  </si>
  <si>
    <t>Less: Discount on Advance Payment</t>
  </si>
  <si>
    <t>Deferred income</t>
  </si>
  <si>
    <t>Less: Non-current deferred income, net</t>
  </si>
  <si>
    <t>Interest earned</t>
  </si>
  <si>
    <t>Other Payables</t>
  </si>
  <si>
    <t>Trust Liabilities - DRRMF</t>
  </si>
  <si>
    <t>Noel Espejo, former accountable officer whose case is still pending at the Pasig City Regional Trial Court</t>
  </si>
  <si>
    <t>Alberto I. Merced, Disbursing Officers II, case is still pending at the Office of the Ombudsman</t>
  </si>
  <si>
    <t>Rogelio Eclarinal, former Revenue Collection Clerk II, who was dropped from the roll due to AWOL</t>
  </si>
  <si>
    <t>Land bank loan amortization paid to be deducted from terminal leave of various employees</t>
  </si>
  <si>
    <t>Registration of vehicle of Dr. Milagros Magat and Janet Lachica</t>
  </si>
  <si>
    <t>Accounts Receivable</t>
  </si>
  <si>
    <t>Due from National Government Agencies</t>
  </si>
  <si>
    <t>Receivables-Disallowances/Charges</t>
  </si>
  <si>
    <t xml:space="preserve">  Not past due  </t>
  </si>
  <si>
    <t xml:space="preserve">  Past due  </t>
  </si>
  <si>
    <t>Adjustment on Notes Payable for Computer Software</t>
  </si>
  <si>
    <t>STATEMENT OF COMPARISON OF BUDGET AND ACTUAL AMOUNTS</t>
  </si>
  <si>
    <t>Notes</t>
  </si>
  <si>
    <t>Budgeted Amounts</t>
  </si>
  <si>
    <t>Difference: Original and Final Budget</t>
  </si>
  <si>
    <t>Actual Amounts</t>
  </si>
  <si>
    <t>Difference: Final Budget and Actual</t>
  </si>
  <si>
    <t>Original</t>
  </si>
  <si>
    <t>Final</t>
  </si>
  <si>
    <t>Receipts from Borrowings</t>
  </si>
  <si>
    <t>Total Revenue and Receipts</t>
  </si>
  <si>
    <t>EXPENDITURES</t>
  </si>
  <si>
    <t>General Public Services</t>
  </si>
  <si>
    <t>Personal Services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</si>
  <si>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</si>
  <si>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</si>
  <si>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</si>
  <si>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</si>
  <si>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</si>
  <si>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(Forward)</t>
  </si>
  <si>
    <t>Economic Services</t>
  </si>
  <si>
    <t>Other Purpose:</t>
  </si>
  <si>
    <t>Debt Service</t>
  </si>
  <si>
    <t>LDRRMF</t>
  </si>
  <si>
    <t>20% Development Fund</t>
  </si>
  <si>
    <t>Allocation for Senior Citizens and PWD</t>
  </si>
  <si>
    <t>Others</t>
  </si>
  <si>
    <t>Total Current Appropriations</t>
  </si>
  <si>
    <t>Continuing Appropriations (Capital Outlay)</t>
  </si>
  <si>
    <t>Other Services - CDF</t>
  </si>
  <si>
    <t>Total Continuing Appropriations</t>
  </si>
  <si>
    <t>LGU Counterpart-Grassroot</t>
  </si>
  <si>
    <t xml:space="preserve">Land bank loan of Joseph Rivera </t>
  </si>
  <si>
    <t>Closing Entries of Trust Fund utilization</t>
  </si>
  <si>
    <t>4808MT174840000</t>
  </si>
  <si>
    <t>4808TL174841010</t>
  </si>
  <si>
    <t>GF</t>
  </si>
  <si>
    <t>New Borrowings</t>
  </si>
  <si>
    <t>Subtotal</t>
  </si>
  <si>
    <t>Lease Receivables</t>
  </si>
  <si>
    <t>Due to Other Funds-GF</t>
  </si>
  <si>
    <t>Due to Other Funds-SEF</t>
  </si>
  <si>
    <t>Due to Other Funds-TF</t>
  </si>
  <si>
    <t>Due from Other funds-GF</t>
  </si>
  <si>
    <t>Due from Other funds-SEF</t>
  </si>
  <si>
    <t>Due from Other funds-TF</t>
  </si>
  <si>
    <t>Intangible Assets</t>
  </si>
  <si>
    <t>Less: Accumulated amortization</t>
  </si>
  <si>
    <t>Additional purchases</t>
  </si>
  <si>
    <t>Previous Years’ unrecorded expenses</t>
  </si>
  <si>
    <t>Adjustment of unrecorded Operating Lease Receivable</t>
  </si>
  <si>
    <t>Reversion of receivable accounts</t>
  </si>
  <si>
    <t>Reversion of payable accounts</t>
  </si>
  <si>
    <t>Adjustment on prior year's depreciation</t>
  </si>
  <si>
    <t>Adjustment on Due from LDT</t>
  </si>
  <si>
    <t>Adjustment on withholding tax</t>
  </si>
  <si>
    <t>Total </t>
  </si>
  <si>
    <t>Grants and Donations in Cash</t>
  </si>
  <si>
    <t>Salaries and Wages</t>
  </si>
  <si>
    <t>Transfer, Assistance and Subsidy</t>
  </si>
  <si>
    <t>Salaries and Wages - Regular</t>
  </si>
  <si>
    <t>Salaries and Wages - Casual/Contractual</t>
  </si>
  <si>
    <t xml:space="preserve">Miscellaneous Income </t>
  </si>
  <si>
    <t>Retirement and Life Insurance Premiums</t>
  </si>
  <si>
    <t>Pag-IBIG Contributions</t>
  </si>
  <si>
    <t>PhilHealth Contributions</t>
  </si>
  <si>
    <t>Personal Economic Relief Allowance (PERA)</t>
  </si>
  <si>
    <t>Representation Allowance (RA)</t>
  </si>
  <si>
    <t>Transportation Allowance (TA)</t>
  </si>
  <si>
    <t>Medical, Dental and Laboratory Supplies Inventory</t>
  </si>
  <si>
    <t>Medical, Dental and Laboratory Supplies Expense</t>
  </si>
  <si>
    <t>Overtime and Night Pay</t>
  </si>
  <si>
    <t>Fuel, Oil and Lubricants Expense</t>
  </si>
  <si>
    <t>Military, Police and Traffic Supplies Expense</t>
  </si>
  <si>
    <t>Postage and Courier Service</t>
  </si>
  <si>
    <t>Cable, Satellite, Telegraph and Radio Expenses</t>
  </si>
  <si>
    <t>Desilting and Dredging Expenses</t>
  </si>
  <si>
    <t>Extraordinary and Miscellaneous Expenses</t>
  </si>
  <si>
    <t>Repairs and Maintenance - Land Improvements</t>
  </si>
  <si>
    <t>Repairs and Maintenance -Infrastructure</t>
  </si>
  <si>
    <t>Repairs and Maintenance - Buildings and Other Structures</t>
  </si>
  <si>
    <t>Repairs and Maintenance - Other Property, Plant and Equipment</t>
  </si>
  <si>
    <t>Taxes, Duties and Licenses</t>
  </si>
  <si>
    <t>Printing and Publication Expenses</t>
  </si>
  <si>
    <t>Membership Dues and Contributions to Organizations</t>
  </si>
  <si>
    <t>Repairs and Maintenance - Machinery and Equipment</t>
  </si>
  <si>
    <t>Repairs and Maintenance - Transportations Equipment</t>
  </si>
  <si>
    <t>Repairs and Maintenance - Furniture and Fixtures</t>
  </si>
  <si>
    <t>Surplus for the year</t>
  </si>
  <si>
    <t>Budget</t>
  </si>
  <si>
    <t>SEF</t>
  </si>
  <si>
    <r>
      <t> </t>
    </r>
    <r>
      <rPr>
        <b/>
        <sz val="12"/>
        <color rgb="FF000000"/>
        <rFont val="Times New Roman"/>
        <family val="1"/>
      </rPr>
      <t>Total</t>
    </r>
  </si>
  <si>
    <t>Inc (Dec)</t>
  </si>
  <si>
    <t>Expenses Related</t>
  </si>
  <si>
    <t>2017 LDRRMF</t>
  </si>
  <si>
    <t>Term 
(in years)</t>
  </si>
  <si>
    <t>Construction of New San Juan City Hall building</t>
  </si>
  <si>
    <t>SJMC Architechtural and Engineering Design</t>
  </si>
  <si>
    <t>SJMC Site Development</t>
  </si>
  <si>
    <t>Construction of SJMC building</t>
  </si>
  <si>
    <t>2017 Balance</t>
  </si>
  <si>
    <t>Principal Amount</t>
  </si>
  <si>
    <t>Fines and Penalties - Penalties and Licenses</t>
  </si>
  <si>
    <t>Medical, Dental and Laboratory Supplies Expenses</t>
  </si>
  <si>
    <t>Fuel, Oil and Lubricants Expenses</t>
  </si>
  <si>
    <t>Repairs and Maintenance - Firefighting Equipment and Accessories</t>
  </si>
  <si>
    <t>Code</t>
  </si>
  <si>
    <t>Account name</t>
  </si>
  <si>
    <t>City of San Juan</t>
  </si>
  <si>
    <t>C L O S I N G   E N T R I E S</t>
  </si>
  <si>
    <t>Month of December 2018</t>
  </si>
  <si>
    <t>Eliminating Entries of DUE TO/FROM</t>
  </si>
  <si>
    <t>4808TL184841020</t>
  </si>
  <si>
    <t>Acquisition of Furnitures and Fixture for New City Hall</t>
  </si>
  <si>
    <t>Time Deposit</t>
  </si>
  <si>
    <t>Overdraft</t>
  </si>
  <si>
    <t>Due from Government-Owned and/or Controlled Corporations</t>
  </si>
  <si>
    <t>Calendar Year</t>
  </si>
  <si>
    <t xml:space="preserve"> Real Property Tax Receivable </t>
  </si>
  <si>
    <t xml:space="preserve"> Special Education Tax Receivable </t>
  </si>
  <si>
    <t xml:space="preserve">P </t>
  </si>
  <si>
    <t>Prior to 2008</t>
  </si>
  <si>
    <t>Prior to 2009</t>
  </si>
  <si>
    <t>Various employees - GF</t>
  </si>
  <si>
    <t>Various employees -SEF</t>
  </si>
  <si>
    <t>Various employees -TF</t>
  </si>
  <si>
    <t xml:space="preserve">                                                                                                     </t>
  </si>
  <si>
    <t>Term Loan 5</t>
  </si>
  <si>
    <t>Term Loan 6</t>
  </si>
  <si>
    <t>Term Loan 7</t>
  </si>
  <si>
    <t>Acquisition of SJMC hospital equipment</t>
  </si>
  <si>
    <t>Acquisition of SJMC furnitures and fixture</t>
  </si>
  <si>
    <t>Acquisition and installation of IT hardware, software and local-area network (LAN) for SJMC</t>
  </si>
  <si>
    <t>Relocation and rehabilitation of existing equipment and facility</t>
  </si>
  <si>
    <t>Terms</t>
  </si>
  <si>
    <t>Restoration Deposit</t>
  </si>
  <si>
    <t>2018 continuing appropriation</t>
  </si>
  <si>
    <t>Cooperative</t>
  </si>
  <si>
    <t>Task Force Disiplina Incentives</t>
  </si>
  <si>
    <t>Task Force Disiplina Uniforms</t>
  </si>
  <si>
    <t>CENRO Smoke Belching</t>
  </si>
  <si>
    <t>Barangay Greenhills - 10% parking share</t>
  </si>
  <si>
    <t>Greenhills West Association - 10% parking share</t>
  </si>
  <si>
    <t>Emission Testing</t>
  </si>
  <si>
    <t>Various Uniforms Distribution</t>
  </si>
  <si>
    <t>Refundable Eligibility Requirements</t>
  </si>
  <si>
    <t>Other Payable - Hospital</t>
  </si>
  <si>
    <t>Excavation</t>
  </si>
  <si>
    <t>Affiliation Fee</t>
  </si>
  <si>
    <t>San Juan Gym Rental</t>
  </si>
  <si>
    <t>SJMC Grants and Aids/Continuing Capital Outlay</t>
  </si>
  <si>
    <t>Meralco</t>
  </si>
  <si>
    <t>National Historical Institute - electric bill</t>
  </si>
  <si>
    <t>Insurance Claims</t>
  </si>
  <si>
    <t>Office of the Building Officials</t>
  </si>
  <si>
    <t>Socialized Housing Tax</t>
  </si>
  <si>
    <t>Adjustment on PPE thru transfer, demolition and sale of unserviceable vehicle</t>
  </si>
  <si>
    <t>Transfer of Calamity Fund Balance</t>
  </si>
  <si>
    <t>Closing of dormant bank account</t>
  </si>
  <si>
    <t>Previous Payments Made</t>
  </si>
  <si>
    <t>Supplemental No. 1</t>
  </si>
  <si>
    <t>Supplemental No. 2</t>
  </si>
  <si>
    <t>Supplemental No. 3</t>
  </si>
  <si>
    <t>Supplemental No. 4</t>
  </si>
  <si>
    <t>Cash in vault held to be used for emergency quick response</t>
  </si>
  <si>
    <r>
      <t xml:space="preserve">Add (Less): </t>
    </r>
    <r>
      <rPr>
        <sz val="12"/>
        <rFont val="Times New Roman"/>
        <family val="1"/>
      </rPr>
      <t>Unutilized supplies and materials available for distribution</t>
    </r>
  </si>
  <si>
    <t>Stall Rentals</t>
  </si>
  <si>
    <t>Penalty for unpaid rental to Arena</t>
  </si>
  <si>
    <t>TF</t>
  </si>
  <si>
    <r>
      <t xml:space="preserve"> Special Education Tax Receivable </t>
    </r>
    <r>
      <rPr>
        <sz val="8"/>
        <rFont val="Times New Roman"/>
        <family val="1"/>
      </rPr>
      <t> </t>
    </r>
  </si>
  <si>
    <t> Total</t>
  </si>
  <si>
    <t>XXX-XX74-93</t>
  </si>
  <si>
    <t>2921-0574-93</t>
  </si>
  <si>
    <t>LBP San Juan</t>
  </si>
  <si>
    <t>XXX-XX32-73</t>
  </si>
  <si>
    <t>2921-0632-73</t>
  </si>
  <si>
    <t>XXX-XX32-72</t>
  </si>
  <si>
    <t>2921-0632-72</t>
  </si>
  <si>
    <t>XXX-XX30-43</t>
  </si>
  <si>
    <t>2921-0630-43</t>
  </si>
  <si>
    <t>XXX-XX18-57</t>
  </si>
  <si>
    <t>2921-0618-57</t>
  </si>
  <si>
    <t>XXX-XX18-14</t>
  </si>
  <si>
    <t>2921-0618-14</t>
  </si>
  <si>
    <t>XXX-XX44-22</t>
  </si>
  <si>
    <t>2921-0644-22</t>
  </si>
  <si>
    <t>XXX-XX43-41</t>
  </si>
  <si>
    <t>2921-0643-41</t>
  </si>
  <si>
    <t>XXX-XXXXXX-100(2)</t>
  </si>
  <si>
    <t>0412-03822L-100(2)</t>
  </si>
  <si>
    <t>DBP San Juan</t>
  </si>
  <si>
    <t>XXX-XXXXXX-100(1)</t>
  </si>
  <si>
    <t>0412-03822L-100(1)</t>
  </si>
  <si>
    <t>XXX4883</t>
  </si>
  <si>
    <t>XXX4891</t>
  </si>
  <si>
    <t>XXX7012</t>
  </si>
  <si>
    <t>New</t>
  </si>
  <si>
    <t>XXX-XX95-26</t>
  </si>
  <si>
    <t>2921-0595-26</t>
  </si>
  <si>
    <t>XXX-XX95-18</t>
  </si>
  <si>
    <t>2921-0595-18</t>
  </si>
  <si>
    <t>XXX-XX95-00</t>
  </si>
  <si>
    <t>2921-0595-00</t>
  </si>
  <si>
    <t>XXX-XX07-10</t>
  </si>
  <si>
    <t>2921-0607-10</t>
  </si>
  <si>
    <t>XXX-XX41-55</t>
  </si>
  <si>
    <t>2921-0641-55</t>
  </si>
  <si>
    <t>XXX-XX57-07</t>
  </si>
  <si>
    <t>2921-0157-07</t>
  </si>
  <si>
    <t>XXX-XX54-48</t>
  </si>
  <si>
    <t>2921-0154-48</t>
  </si>
  <si>
    <t>XXX-XX93-48</t>
  </si>
  <si>
    <t>2921-0593-48</t>
  </si>
  <si>
    <t>XXX-XX95-34</t>
  </si>
  <si>
    <t>2921-0595-34</t>
  </si>
  <si>
    <t>XXX-XX30-78</t>
  </si>
  <si>
    <t>2921-0630-78</t>
  </si>
  <si>
    <t>XXX-XX30-60</t>
  </si>
  <si>
    <t>2921-0630-60</t>
  </si>
  <si>
    <t>XXX-XX30-51</t>
  </si>
  <si>
    <t>2921-0630-51</t>
  </si>
  <si>
    <t>XXX-XX73-37</t>
  </si>
  <si>
    <t>2921-0573-37</t>
  </si>
  <si>
    <t>XXX-XX91-88</t>
  </si>
  <si>
    <t>2921-0594-88</t>
  </si>
  <si>
    <t>XXX-XX47-32</t>
  </si>
  <si>
    <t>2921-0647-32</t>
  </si>
  <si>
    <t>XXX-XX47-24</t>
  </si>
  <si>
    <t>2921-0647-24</t>
  </si>
  <si>
    <t>XXX-XX38-41</t>
  </si>
  <si>
    <t>2921-0638-41</t>
  </si>
  <si>
    <t>XXX-XX38-33</t>
  </si>
  <si>
    <t>2921-0638-33</t>
  </si>
  <si>
    <t>XXX-XX35-15</t>
  </si>
  <si>
    <t>2921-0635-15</t>
  </si>
  <si>
    <t>XXX-XX35-07</t>
  </si>
  <si>
    <t>2921-0635-07</t>
  </si>
  <si>
    <t>XXX-XX20-20</t>
  </si>
  <si>
    <t>2921-0620-20</t>
  </si>
  <si>
    <t>XXX-XX19-97</t>
  </si>
  <si>
    <t>2921-0619-97</t>
  </si>
  <si>
    <t>XXX-XX13-42</t>
  </si>
  <si>
    <t>2921-0613-42</t>
  </si>
  <si>
    <t>XXX-XX07-45</t>
  </si>
  <si>
    <t>2921-0607-45</t>
  </si>
  <si>
    <t>XXX-XX77-87</t>
  </si>
  <si>
    <t>2921-0577-87</t>
  </si>
  <si>
    <t>XXX-XX77-79</t>
  </si>
  <si>
    <t>2921-0577-79</t>
  </si>
  <si>
    <t>XXX-XX77-60</t>
  </si>
  <si>
    <t>2921-0577-60</t>
  </si>
  <si>
    <t>XXX-XX77-47</t>
  </si>
  <si>
    <t>2921-0576-47</t>
  </si>
  <si>
    <t>XXX-XX76-71</t>
  </si>
  <si>
    <t>2921-0576-71</t>
  </si>
  <si>
    <t>XXX-XX76-63</t>
  </si>
  <si>
    <t>2921-0576-63</t>
  </si>
  <si>
    <t>XXX-XX76-55</t>
  </si>
  <si>
    <t>2921-0576-55</t>
  </si>
  <si>
    <t>XXX-XX94-70</t>
  </si>
  <si>
    <t>2921-0594-70</t>
  </si>
  <si>
    <t>XXX-XX94-61</t>
  </si>
  <si>
    <t>2921-0594-61</t>
  </si>
  <si>
    <t>XXX-XX44-06</t>
  </si>
  <si>
    <t>2921-0644-06</t>
  </si>
  <si>
    <t>XXX-XX44-73</t>
  </si>
  <si>
    <t>2921-0644-73</t>
  </si>
  <si>
    <t>XXX-XX44-65</t>
  </si>
  <si>
    <t>2921-0644-65</t>
  </si>
  <si>
    <t>XXX-XX44-57</t>
  </si>
  <si>
    <t>2921-0644-57</t>
  </si>
  <si>
    <t>XXX-XX44-49</t>
  </si>
  <si>
    <t>2921-0644-49</t>
  </si>
  <si>
    <t>XXX-XX32-64</t>
  </si>
  <si>
    <t>2921-0632-64</t>
  </si>
  <si>
    <t>XXX-XX32-56</t>
  </si>
  <si>
    <t>2921-0632-56</t>
  </si>
  <si>
    <t>XXX-XX32-21</t>
  </si>
  <si>
    <t>2921-0632-21</t>
  </si>
  <si>
    <t>XXX-XX07-37</t>
  </si>
  <si>
    <t>2921-0607-37</t>
  </si>
  <si>
    <t>XXX-XX07-29</t>
  </si>
  <si>
    <t>2921-0607-29</t>
  </si>
  <si>
    <t>XXX-XX43-92</t>
  </si>
  <si>
    <t>2921-0643-92</t>
  </si>
  <si>
    <t>XXX-XX82-87</t>
  </si>
  <si>
    <t>2921-0582-87</t>
  </si>
  <si>
    <t>Account/CTD No.</t>
  </si>
  <si>
    <t>Bank Branch</t>
  </si>
  <si>
    <t>Fund</t>
  </si>
  <si>
    <t>XXX-XX42-01</t>
  </si>
  <si>
    <t>2921-0642-01</t>
  </si>
  <si>
    <t>XXX-XX45-20</t>
  </si>
  <si>
    <t>2921-0645-20</t>
  </si>
  <si>
    <t>TF-Philhealth</t>
  </si>
  <si>
    <t>XXX-XX08-56</t>
  </si>
  <si>
    <t>2922-1008-56</t>
  </si>
  <si>
    <t>TF-LPP</t>
  </si>
  <si>
    <t>XXX-XX11-00</t>
  </si>
  <si>
    <t>2922-1011-00</t>
  </si>
  <si>
    <t>TF-ECCD</t>
  </si>
  <si>
    <t>XXX-XX00-90</t>
  </si>
  <si>
    <t>2922-1000-90</t>
  </si>
  <si>
    <t>TF-City</t>
  </si>
  <si>
    <t>XXX-XX00-82</t>
  </si>
  <si>
    <t>2922-1000-82</t>
  </si>
  <si>
    <t>XXX-XX13-30</t>
  </si>
  <si>
    <t>2922-1013-30</t>
  </si>
  <si>
    <t>GF-SJMC</t>
  </si>
  <si>
    <t>XXX-XX01-04</t>
  </si>
  <si>
    <t>2922-1001-04</t>
  </si>
  <si>
    <t>GF-City</t>
  </si>
  <si>
    <t xml:space="preserve">Docukit Viewer </t>
  </si>
  <si>
    <t>New San Juan Website</t>
  </si>
  <si>
    <t xml:space="preserve">Archiving System, </t>
  </si>
  <si>
    <t>Electronic Document Tracking System</t>
  </si>
  <si>
    <t>Software, Home and Business 2016</t>
  </si>
  <si>
    <t>Cyberscience 3D Software Simulation Single User</t>
  </si>
  <si>
    <t>Amount</t>
  </si>
  <si>
    <t>A. Local Sources</t>
  </si>
  <si>
    <t>1. Tax Revenue</t>
  </si>
  <si>
    <t>a. Tax Revenue - Property</t>
  </si>
  <si>
    <t>b. Tax Revenue - Goods and Services</t>
  </si>
  <si>
    <t>c. Other Local Taxes</t>
  </si>
  <si>
    <t>2. Non-Tax Revenue</t>
  </si>
  <si>
    <t>a. Service Income</t>
  </si>
  <si>
    <t>b. Business Income</t>
  </si>
  <si>
    <t>c. Other Income and Receipts</t>
  </si>
  <si>
    <t>B. External Sources</t>
  </si>
  <si>
    <t>2. Share from GOCCs</t>
  </si>
  <si>
    <t>1. Share from the National Internal Revenue Taxes (IRA)</t>
  </si>
  <si>
    <t>3. Other Shares from National Tax Collections</t>
  </si>
  <si>
    <t>a. Share from Ecozone</t>
  </si>
  <si>
    <t>b. Share from EVAT</t>
  </si>
  <si>
    <t>4a. Other Receipts - Grants and Donation</t>
  </si>
  <si>
    <t>Construction in  Progress - Buildings</t>
  </si>
  <si>
    <t>For the Year Ended December 31, 2020</t>
  </si>
  <si>
    <t>Total Appropriations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</si>
</sst>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8" formatCode="_(* #,##0_);_(* \(#,##0\);_(* &quot;-&quot;??_);_(@_)"/>
    <numFmt numFmtId="169" formatCode="#,##0.00&quot; &quot;;&quot; (&quot;#,##0.00&quot;)&quot;;&quot; -&quot;#&quot; &quot;;@&quot; &quot;"/>
    <numFmt numFmtId="170" formatCode="0.000%"/>
    <numFmt numFmtId="171" formatCode="_-* #,##0_-;\-* #,##0_-;_-* &quot;-&quot;??_-;_-@_-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11"/>
      <name val="Times New Roman"/>
      <family val="1"/>
    </font>
    <font>
      <sz val="14"/>
      <name val="Arial"/>
      <family val="2"/>
    </font>
    <font>
      <b/>
      <sz val="11"/>
      <name val="Times New Roman"/>
      <family val="1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0"/>
      <color rgb="FFFF0000"/>
      <name val="Arial"/>
      <family val="2"/>
    </font>
    <font>
      <sz val="12"/>
      <color theme="0"/>
      <name val="Times New Roman"/>
      <family val="1"/>
    </font>
    <font>
      <b/>
      <i/>
      <sz val="12"/>
      <color theme="1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sz val="12"/>
      <color rgb="FFFF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rgb="FF010202"/>
      <name val="Times New Roman"/>
      <family val="1"/>
    </font>
    <font>
      <i/>
      <sz val="12"/>
      <color rgb="FF010202"/>
      <name val="Times New Roman"/>
      <family val="1"/>
    </font>
    <font>
      <sz val="12"/>
      <color rgb="FF010202"/>
      <name val="Times New Roman"/>
      <family val="1"/>
    </font>
    <font>
      <sz val="12"/>
      <color rgb="FF222222"/>
      <name val="Times New Roman"/>
      <family val="1"/>
    </font>
    <font>
      <b/>
      <sz val="12"/>
      <color rgb="FF222222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47">
    <xf numFmtId="0" fontId="0" fillId="0" borderId="0"/>
    <xf numFmtId="166" fontId="12" fillId="0" borderId="0" applyFont="0" applyFill="0" applyBorder="0" applyAlignment="0" applyProtection="0"/>
    <xf numFmtId="0" fontId="12" fillId="0" borderId="0"/>
    <xf numFmtId="0" fontId="19" fillId="0" borderId="0"/>
    <xf numFmtId="166" fontId="19" fillId="0" borderId="0" applyFont="0" applyFill="0" applyBorder="0" applyAlignment="0" applyProtection="0"/>
    <xf numFmtId="0" fontId="19" fillId="0" borderId="0"/>
    <xf numFmtId="166" fontId="19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9" fontId="21" fillId="0" borderId="0" applyFont="0" applyBorder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12" fillId="0" borderId="0"/>
    <xf numFmtId="166" fontId="1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97">
    <xf numFmtId="0" fontId="0" fillId="0" borderId="0" xfId="0"/>
    <xf numFmtId="166" fontId="12" fillId="0" borderId="4" xfId="2" applyNumberFormat="1" applyFont="1" applyFill="1" applyBorder="1"/>
    <xf numFmtId="166" fontId="12" fillId="0" borderId="4" xfId="1" applyFont="1" applyFill="1" applyBorder="1"/>
    <xf numFmtId="166" fontId="12" fillId="0" borderId="5" xfId="1" applyFont="1" applyFill="1" applyBorder="1"/>
    <xf numFmtId="0" fontId="16" fillId="0" borderId="4" xfId="2" applyFont="1" applyFill="1" applyBorder="1"/>
    <xf numFmtId="0" fontId="12" fillId="0" borderId="6" xfId="2" applyFont="1" applyFill="1" applyBorder="1" applyAlignment="1">
      <alignment horizontal="center"/>
    </xf>
    <xf numFmtId="39" fontId="12" fillId="0" borderId="4" xfId="2" applyNumberFormat="1" applyFont="1" applyFill="1" applyBorder="1"/>
    <xf numFmtId="166" fontId="12" fillId="0" borderId="4" xfId="2" applyNumberFormat="1" applyFont="1" applyFill="1" applyBorder="1" applyAlignment="1"/>
    <xf numFmtId="0" fontId="16" fillId="0" borderId="6" xfId="2" applyFont="1" applyFill="1" applyBorder="1"/>
    <xf numFmtId="166" fontId="12" fillId="0" borderId="4" xfId="2" applyNumberFormat="1" applyFont="1" applyFill="1" applyBorder="1" applyAlignment="1">
      <alignment horizontal="center"/>
    </xf>
    <xf numFmtId="166" fontId="12" fillId="0" borderId="4" xfId="1" applyFont="1" applyFill="1" applyBorder="1" applyAlignment="1">
      <alignment horizontal="center"/>
    </xf>
    <xf numFmtId="166" fontId="17" fillId="0" borderId="7" xfId="2" applyNumberFormat="1" applyFont="1" applyFill="1" applyBorder="1" applyAlignment="1">
      <alignment horizontal="center"/>
    </xf>
    <xf numFmtId="166" fontId="17" fillId="0" borderId="7" xfId="1" applyFont="1" applyFill="1" applyBorder="1" applyAlignment="1">
      <alignment horizontal="center"/>
    </xf>
    <xf numFmtId="0" fontId="12" fillId="0" borderId="0" xfId="2" applyFont="1" applyFill="1" applyBorder="1" applyAlignment="1">
      <alignment horizontal="center"/>
    </xf>
    <xf numFmtId="0" fontId="13" fillId="0" borderId="0" xfId="2" applyNumberFormat="1" applyFont="1" applyFill="1" applyBorder="1" applyAlignment="1"/>
    <xf numFmtId="0" fontId="13" fillId="0" borderId="0" xfId="2" applyNumberFormat="1" applyFont="1" applyFill="1" applyBorder="1" applyAlignment="1">
      <alignment horizontal="center"/>
    </xf>
    <xf numFmtId="0" fontId="14" fillId="0" borderId="0" xfId="2" applyNumberFormat="1" applyFont="1" applyFill="1" applyBorder="1" applyAlignment="1"/>
    <xf numFmtId="0" fontId="14" fillId="0" borderId="0" xfId="2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left"/>
    </xf>
    <xf numFmtId="0" fontId="14" fillId="0" borderId="0" xfId="2" applyFont="1" applyFill="1" applyBorder="1" applyAlignment="1">
      <alignment horizontal="center"/>
    </xf>
    <xf numFmtId="165" fontId="12" fillId="0" borderId="0" xfId="2" applyNumberFormat="1" applyFont="1" applyFill="1" applyBorder="1" applyAlignment="1">
      <alignment horizontal="center"/>
    </xf>
    <xf numFmtId="4" fontId="12" fillId="0" borderId="4" xfId="2" applyNumberFormat="1" applyFont="1" applyFill="1" applyBorder="1" applyAlignment="1">
      <alignment horizontal="right"/>
    </xf>
    <xf numFmtId="166" fontId="12" fillId="0" borderId="5" xfId="1" applyFont="1" applyFill="1" applyBorder="1" applyAlignment="1">
      <alignment horizontal="right"/>
    </xf>
    <xf numFmtId="0" fontId="12" fillId="0" borderId="0" xfId="2" applyFont="1" applyFill="1" applyAlignment="1">
      <alignment horizontal="center"/>
    </xf>
    <xf numFmtId="0" fontId="16" fillId="0" borderId="6" xfId="2" applyFont="1" applyFill="1" applyBorder="1" applyAlignment="1">
      <alignment horizontal="left"/>
    </xf>
    <xf numFmtId="43" fontId="17" fillId="0" borderId="4" xfId="2" applyNumberFormat="1" applyFont="1" applyFill="1" applyBorder="1" applyAlignment="1">
      <alignment horizontal="center"/>
    </xf>
    <xf numFmtId="0" fontId="17" fillId="0" borderId="4" xfId="2" applyFont="1" applyFill="1" applyBorder="1" applyAlignment="1">
      <alignment horizontal="center" vertical="center" wrapText="1"/>
    </xf>
    <xf numFmtId="0" fontId="16" fillId="0" borderId="4" xfId="2" applyFont="1" applyFill="1" applyBorder="1" applyAlignment="1"/>
    <xf numFmtId="0" fontId="17" fillId="0" borderId="4" xfId="2" applyFont="1" applyFill="1" applyBorder="1" applyAlignment="1">
      <alignment horizontal="center"/>
    </xf>
    <xf numFmtId="0" fontId="16" fillId="0" borderId="6" xfId="2" applyFont="1" applyFill="1" applyBorder="1" applyAlignment="1"/>
    <xf numFmtId="0" fontId="16" fillId="0" borderId="4" xfId="2" applyFont="1" applyFill="1" applyBorder="1" applyAlignment="1">
      <alignment vertical="center"/>
    </xf>
    <xf numFmtId="0" fontId="16" fillId="0" borderId="0" xfId="2" applyFont="1" applyFill="1"/>
    <xf numFmtId="0" fontId="16" fillId="0" borderId="4" xfId="2" applyFont="1" applyFill="1" applyBorder="1" applyAlignment="1">
      <alignment horizontal="left"/>
    </xf>
    <xf numFmtId="0" fontId="15" fillId="0" borderId="2" xfId="2" applyFont="1" applyFill="1" applyBorder="1" applyAlignment="1">
      <alignment horizontal="center" vertical="center" wrapText="1"/>
    </xf>
    <xf numFmtId="0" fontId="15" fillId="0" borderId="3" xfId="2" applyFont="1" applyFill="1" applyBorder="1" applyAlignment="1">
      <alignment horizontal="center" vertical="center" wrapText="1"/>
    </xf>
    <xf numFmtId="0" fontId="15" fillId="0" borderId="8" xfId="2" applyFont="1" applyFill="1" applyBorder="1" applyAlignment="1">
      <alignment horizontal="center" vertical="center" wrapText="1"/>
    </xf>
    <xf numFmtId="0" fontId="15" fillId="0" borderId="13" xfId="2" applyFont="1" applyFill="1" applyBorder="1"/>
    <xf numFmtId="0" fontId="16" fillId="0" borderId="13" xfId="2" applyFont="1" applyFill="1" applyBorder="1" applyAlignment="1">
      <alignment horizontal="center"/>
    </xf>
    <xf numFmtId="166" fontId="17" fillId="0" borderId="13" xfId="1" applyFont="1" applyFill="1" applyBorder="1" applyAlignment="1">
      <alignment horizontal="center"/>
    </xf>
    <xf numFmtId="166" fontId="17" fillId="0" borderId="3" xfId="1" applyFont="1" applyFill="1" applyBorder="1" applyAlignment="1">
      <alignment horizontal="center"/>
    </xf>
    <xf numFmtId="0" fontId="12" fillId="0" borderId="0" xfId="2" applyFont="1" applyFill="1"/>
    <xf numFmtId="0" fontId="12" fillId="0" borderId="0" xfId="2" applyFont="1" applyFill="1" applyBorder="1"/>
    <xf numFmtId="0" fontId="16" fillId="0" borderId="0" xfId="2" applyFont="1" applyFill="1" applyAlignment="1">
      <alignment vertical="center"/>
    </xf>
    <xf numFmtId="166" fontId="12" fillId="0" borderId="0" xfId="1" applyFont="1" applyFill="1" applyBorder="1"/>
    <xf numFmtId="166" fontId="12" fillId="0" borderId="5" xfId="1" applyFont="1" applyFill="1" applyBorder="1" applyAlignment="1"/>
    <xf numFmtId="166" fontId="18" fillId="0" borderId="4" xfId="1" applyFont="1" applyFill="1" applyBorder="1" applyAlignment="1">
      <alignment vertical="center"/>
    </xf>
    <xf numFmtId="166" fontId="18" fillId="0" borderId="5" xfId="1" applyFont="1" applyFill="1" applyBorder="1" applyAlignment="1">
      <alignment vertical="center"/>
    </xf>
    <xf numFmtId="0" fontId="12" fillId="0" borderId="6" xfId="2" applyFont="1" applyFill="1" applyBorder="1" applyAlignment="1">
      <alignment horizontal="center" vertical="center"/>
    </xf>
    <xf numFmtId="166" fontId="12" fillId="0" borderId="0" xfId="2" applyNumberFormat="1" applyFont="1" applyFill="1"/>
    <xf numFmtId="166" fontId="12" fillId="0" borderId="10" xfId="2" applyNumberFormat="1" applyFont="1" applyFill="1" applyBorder="1"/>
    <xf numFmtId="0" fontId="12" fillId="0" borderId="10" xfId="2" applyFont="1" applyFill="1" applyBorder="1"/>
    <xf numFmtId="0" fontId="15" fillId="0" borderId="11" xfId="2" applyFont="1" applyFill="1" applyBorder="1" applyAlignment="1">
      <alignment horizontal="center" vertical="center" wrapText="1"/>
    </xf>
    <xf numFmtId="166" fontId="12" fillId="0" borderId="6" xfId="1" applyFont="1" applyFill="1" applyBorder="1"/>
    <xf numFmtId="166" fontId="12" fillId="2" borderId="4" xfId="2" applyNumberFormat="1" applyFont="1" applyFill="1" applyBorder="1"/>
    <xf numFmtId="168" fontId="24" fillId="0" borderId="0" xfId="1" applyNumberFormat="1" applyFont="1" applyFill="1" applyAlignment="1">
      <alignment vertical="center"/>
    </xf>
    <xf numFmtId="0" fontId="24" fillId="0" borderId="0" xfId="2" applyFont="1" applyFill="1" applyAlignment="1">
      <alignment vertical="center"/>
    </xf>
    <xf numFmtId="0" fontId="24" fillId="0" borderId="0" xfId="2" applyFont="1" applyFill="1" applyAlignment="1">
      <alignment horizontal="center" vertical="center"/>
    </xf>
    <xf numFmtId="0" fontId="18" fillId="0" borderId="0" xfId="0" applyFont="1"/>
    <xf numFmtId="3" fontId="18" fillId="0" borderId="0" xfId="0" applyNumberFormat="1" applyFont="1"/>
    <xf numFmtId="166" fontId="18" fillId="0" borderId="0" xfId="1" applyFont="1"/>
    <xf numFmtId="0" fontId="27" fillId="0" borderId="0" xfId="18" applyFont="1"/>
    <xf numFmtId="0" fontId="30" fillId="0" borderId="0" xfId="0" applyFont="1" applyAlignment="1">
      <alignment horizontal="left" vertical="center"/>
    </xf>
    <xf numFmtId="0" fontId="30" fillId="0" borderId="0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3" xfId="0" applyFont="1" applyBorder="1" applyAlignment="1">
      <alignment vertical="center"/>
    </xf>
    <xf numFmtId="168" fontId="33" fillId="0" borderId="0" xfId="1" applyNumberFormat="1" applyFont="1" applyBorder="1" applyAlignment="1">
      <alignment horizontal="right" vertical="center" wrapText="1"/>
    </xf>
    <xf numFmtId="0" fontId="30" fillId="0" borderId="0" xfId="0" applyFont="1" applyBorder="1" applyAlignment="1">
      <alignment horizontal="center" vertical="center" wrapText="1"/>
    </xf>
    <xf numFmtId="0" fontId="31" fillId="0" borderId="0" xfId="0" applyFont="1" applyFill="1" applyBorder="1" applyAlignment="1">
      <alignment vertical="center"/>
    </xf>
    <xf numFmtId="0" fontId="30" fillId="0" borderId="0" xfId="0" applyFont="1" applyBorder="1"/>
    <xf numFmtId="0" fontId="33" fillId="0" borderId="0" xfId="0" applyFont="1" applyAlignment="1">
      <alignment vertical="center"/>
    </xf>
    <xf numFmtId="0" fontId="31" fillId="0" borderId="0" xfId="0" applyFont="1" applyAlignment="1"/>
    <xf numFmtId="168" fontId="31" fillId="0" borderId="0" xfId="1" applyNumberFormat="1" applyFont="1" applyBorder="1" applyAlignment="1">
      <alignment horizontal="right" vertical="center" wrapText="1"/>
    </xf>
    <xf numFmtId="0" fontId="31" fillId="0" borderId="1" xfId="0" applyFont="1" applyBorder="1" applyAlignment="1">
      <alignment horizontal="left" vertical="center"/>
    </xf>
    <xf numFmtId="0" fontId="30" fillId="0" borderId="0" xfId="0" applyFont="1" applyAlignment="1">
      <alignment horizontal="justify" vertical="center"/>
    </xf>
    <xf numFmtId="0" fontId="31" fillId="0" borderId="0" xfId="0" applyFont="1" applyBorder="1"/>
    <xf numFmtId="168" fontId="31" fillId="0" borderId="0" xfId="1" applyNumberFormat="1" applyFont="1" applyAlignment="1">
      <alignment horizontal="right"/>
    </xf>
    <xf numFmtId="0" fontId="31" fillId="0" borderId="0" xfId="0" applyFont="1"/>
    <xf numFmtId="0" fontId="33" fillId="0" borderId="1" xfId="0" applyFont="1" applyBorder="1"/>
    <xf numFmtId="0" fontId="34" fillId="0" borderId="1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168" fontId="31" fillId="0" borderId="0" xfId="1" applyNumberFormat="1" applyFont="1" applyAlignment="1">
      <alignment horizontal="right" vertical="center" wrapText="1"/>
    </xf>
    <xf numFmtId="168" fontId="31" fillId="0" borderId="0" xfId="1" applyNumberFormat="1" applyFont="1" applyAlignment="1">
      <alignment vertical="center" wrapText="1"/>
    </xf>
    <xf numFmtId="168" fontId="31" fillId="0" borderId="0" xfId="1" applyNumberFormat="1" applyFont="1"/>
    <xf numFmtId="0" fontId="31" fillId="0" borderId="0" xfId="0" applyFont="1" applyAlignment="1">
      <alignment horizontal="left" vertical="center" indent="1"/>
    </xf>
    <xf numFmtId="0" fontId="30" fillId="0" borderId="14" xfId="0" applyFont="1" applyBorder="1" applyAlignment="1">
      <alignment vertical="center"/>
    </xf>
    <xf numFmtId="0" fontId="30" fillId="0" borderId="14" xfId="0" applyFont="1" applyBorder="1" applyAlignment="1">
      <alignment horizontal="justify" vertical="center" wrapText="1"/>
    </xf>
    <xf numFmtId="3" fontId="30" fillId="0" borderId="14" xfId="0" applyNumberFormat="1" applyFont="1" applyBorder="1" applyAlignment="1">
      <alignment horizontal="right" vertical="center" wrapText="1"/>
    </xf>
    <xf numFmtId="166" fontId="31" fillId="0" borderId="0" xfId="1" applyFont="1"/>
    <xf numFmtId="3" fontId="31" fillId="0" borderId="0" xfId="0" applyNumberFormat="1" applyFont="1" applyBorder="1" applyAlignment="1">
      <alignment horizontal="right" vertical="center"/>
    </xf>
    <xf numFmtId="0" fontId="30" fillId="0" borderId="14" xfId="0" applyFont="1" applyBorder="1" applyAlignment="1">
      <alignment horizontal="right" vertical="center" wrapText="1"/>
    </xf>
    <xf numFmtId="3" fontId="30" fillId="0" borderId="14" xfId="0" applyNumberFormat="1" applyFont="1" applyBorder="1" applyAlignment="1">
      <alignment horizontal="right" vertical="center"/>
    </xf>
    <xf numFmtId="0" fontId="31" fillId="0" borderId="1" xfId="0" applyFont="1" applyBorder="1"/>
    <xf numFmtId="0" fontId="31" fillId="0" borderId="14" xfId="0" applyFont="1" applyBorder="1" applyAlignment="1">
      <alignment vertical="center"/>
    </xf>
    <xf numFmtId="3" fontId="31" fillId="0" borderId="0" xfId="0" applyNumberFormat="1" applyFont="1" applyBorder="1"/>
    <xf numFmtId="0" fontId="30" fillId="0" borderId="14" xfId="0" applyFont="1" applyBorder="1"/>
    <xf numFmtId="3" fontId="30" fillId="0" borderId="14" xfId="0" applyNumberFormat="1" applyFont="1" applyBorder="1"/>
    <xf numFmtId="3" fontId="31" fillId="0" borderId="0" xfId="0" applyNumberFormat="1" applyFont="1"/>
    <xf numFmtId="0" fontId="30" fillId="0" borderId="0" xfId="0" applyFont="1" applyBorder="1" applyAlignment="1">
      <alignment horizontal="center" vertical="center"/>
    </xf>
    <xf numFmtId="14" fontId="0" fillId="0" borderId="0" xfId="0" applyNumberFormat="1"/>
    <xf numFmtId="166" fontId="0" fillId="0" borderId="0" xfId="1" applyFont="1"/>
    <xf numFmtId="0" fontId="17" fillId="0" borderId="0" xfId="0" applyFont="1"/>
    <xf numFmtId="0" fontId="17" fillId="0" borderId="0" xfId="0" applyFont="1" applyAlignment="1">
      <alignment horizontal="center" vertical="center" wrapText="1"/>
    </xf>
    <xf numFmtId="166" fontId="17" fillId="0" borderId="0" xfId="1" applyFont="1" applyAlignment="1">
      <alignment horizontal="center" vertical="center" wrapText="1"/>
    </xf>
    <xf numFmtId="0" fontId="0" fillId="0" borderId="0" xfId="1" applyNumberFormat="1" applyFont="1" applyAlignment="1">
      <alignment horizontal="center"/>
    </xf>
    <xf numFmtId="0" fontId="17" fillId="0" borderId="14" xfId="0" applyFont="1" applyBorder="1"/>
    <xf numFmtId="166" fontId="17" fillId="0" borderId="14" xfId="1" applyFont="1" applyBorder="1"/>
    <xf numFmtId="0" fontId="12" fillId="0" borderId="0" xfId="0" applyFont="1"/>
    <xf numFmtId="0" fontId="17" fillId="0" borderId="0" xfId="0" applyFont="1" applyBorder="1"/>
    <xf numFmtId="166" fontId="17" fillId="0" borderId="0" xfId="1" applyFont="1" applyBorder="1"/>
    <xf numFmtId="0" fontId="33" fillId="0" borderId="0" xfId="0" applyFont="1" applyAlignment="1">
      <alignment horizontal="right" vertical="center"/>
    </xf>
    <xf numFmtId="3" fontId="33" fillId="0" borderId="0" xfId="0" applyNumberFormat="1" applyFont="1" applyBorder="1" applyAlignment="1">
      <alignment horizontal="right" vertical="center"/>
    </xf>
    <xf numFmtId="0" fontId="29" fillId="0" borderId="0" xfId="0" applyFont="1" applyAlignment="1">
      <alignment horizontal="justify" vertical="center"/>
    </xf>
    <xf numFmtId="0" fontId="31" fillId="0" borderId="3" xfId="0" applyFont="1" applyBorder="1"/>
    <xf numFmtId="3" fontId="31" fillId="0" borderId="3" xfId="0" applyNumberFormat="1" applyFont="1" applyBorder="1"/>
    <xf numFmtId="0" fontId="31" fillId="0" borderId="1" xfId="0" applyFont="1" applyBorder="1" applyAlignment="1">
      <alignment horizontal="left" indent="1"/>
    </xf>
    <xf numFmtId="3" fontId="30" fillId="0" borderId="0" xfId="0" applyNumberFormat="1" applyFont="1" applyBorder="1" applyAlignment="1">
      <alignment horizontal="right" vertical="center"/>
    </xf>
    <xf numFmtId="3" fontId="31" fillId="0" borderId="3" xfId="0" applyNumberFormat="1" applyFont="1" applyBorder="1" applyAlignment="1">
      <alignment horizontal="right" vertical="center"/>
    </xf>
    <xf numFmtId="3" fontId="31" fillId="0" borderId="1" xfId="0" applyNumberFormat="1" applyFont="1" applyBorder="1" applyAlignment="1">
      <alignment horizontal="right" vertical="center"/>
    </xf>
    <xf numFmtId="0" fontId="31" fillId="0" borderId="0" xfId="0" applyFont="1" applyBorder="1" applyAlignment="1">
      <alignment horizontal="left" vertical="center" indent="1"/>
    </xf>
    <xf numFmtId="43" fontId="31" fillId="0" borderId="0" xfId="0" applyNumberFormat="1" applyFont="1"/>
    <xf numFmtId="0" fontId="31" fillId="0" borderId="0" xfId="0" applyFont="1" applyAlignment="1">
      <alignment horizontal="center"/>
    </xf>
    <xf numFmtId="0" fontId="24" fillId="0" borderId="0" xfId="0" applyFont="1"/>
    <xf numFmtId="168" fontId="24" fillId="0" borderId="0" xfId="1" applyNumberFormat="1" applyFont="1"/>
    <xf numFmtId="0" fontId="35" fillId="0" borderId="0" xfId="0" applyFont="1" applyAlignment="1">
      <alignment vertical="top" wrapText="1"/>
    </xf>
    <xf numFmtId="168" fontId="35" fillId="0" borderId="0" xfId="1" applyNumberFormat="1" applyFont="1" applyAlignment="1">
      <alignment horizontal="right" vertical="top"/>
    </xf>
    <xf numFmtId="168" fontId="31" fillId="0" borderId="1" xfId="1" applyNumberFormat="1" applyFont="1" applyBorder="1" applyAlignment="1">
      <alignment horizontal="right" vertical="center" wrapText="1"/>
    </xf>
    <xf numFmtId="0" fontId="33" fillId="0" borderId="0" xfId="26" applyFont="1" applyBorder="1"/>
    <xf numFmtId="0" fontId="34" fillId="0" borderId="0" xfId="25" applyFont="1" applyBorder="1" applyAlignment="1"/>
    <xf numFmtId="168" fontId="33" fillId="0" borderId="0" xfId="27" applyNumberFormat="1" applyFont="1"/>
    <xf numFmtId="168" fontId="31" fillId="0" borderId="0" xfId="27" applyNumberFormat="1" applyFont="1"/>
    <xf numFmtId="0" fontId="33" fillId="0" borderId="0" xfId="25" applyFont="1" applyBorder="1" applyAlignment="1"/>
    <xf numFmtId="168" fontId="33" fillId="0" borderId="0" xfId="27" applyNumberFormat="1" applyFont="1" applyBorder="1"/>
    <xf numFmtId="168" fontId="31" fillId="0" borderId="0" xfId="27" applyNumberFormat="1" applyFont="1" applyBorder="1"/>
    <xf numFmtId="0" fontId="34" fillId="0" borderId="0" xfId="25" applyFont="1" applyBorder="1" applyAlignment="1">
      <alignment vertical="center"/>
    </xf>
    <xf numFmtId="0" fontId="34" fillId="0" borderId="0" xfId="25" applyFont="1" applyBorder="1" applyAlignment="1">
      <alignment horizontal="left"/>
    </xf>
    <xf numFmtId="168" fontId="34" fillId="0" borderId="0" xfId="27" applyNumberFormat="1" applyFont="1"/>
    <xf numFmtId="168" fontId="30" fillId="0" borderId="0" xfId="27" applyNumberFormat="1" applyFont="1"/>
    <xf numFmtId="0" fontId="34" fillId="0" borderId="0" xfId="26" applyFont="1" applyBorder="1"/>
    <xf numFmtId="0" fontId="33" fillId="0" borderId="0" xfId="25" applyFont="1" applyBorder="1" applyAlignment="1">
      <alignment horizontal="left"/>
    </xf>
    <xf numFmtId="0" fontId="33" fillId="0" borderId="0" xfId="25" applyFont="1" applyBorder="1" applyAlignment="1">
      <alignment horizontal="left" indent="1"/>
    </xf>
    <xf numFmtId="168" fontId="34" fillId="0" borderId="0" xfId="26" applyNumberFormat="1" applyFont="1" applyBorder="1"/>
    <xf numFmtId="164" fontId="33" fillId="0" borderId="0" xfId="26" applyNumberFormat="1" applyFont="1" applyBorder="1"/>
    <xf numFmtId="0" fontId="36" fillId="0" borderId="0" xfId="25" applyFont="1" applyBorder="1" applyAlignment="1">
      <alignment horizontal="left"/>
    </xf>
    <xf numFmtId="168" fontId="33" fillId="0" borderId="0" xfId="26" applyNumberFormat="1" applyFont="1" applyBorder="1"/>
    <xf numFmtId="168" fontId="33" fillId="0" borderId="0" xfId="28" applyNumberFormat="1" applyFont="1" applyFill="1"/>
    <xf numFmtId="0" fontId="31" fillId="0" borderId="0" xfId="0" applyFont="1" applyAlignment="1">
      <alignment vertical="top" wrapText="1"/>
    </xf>
    <xf numFmtId="168" fontId="31" fillId="0" borderId="0" xfId="1" applyNumberFormat="1" applyFont="1" applyAlignment="1">
      <alignment horizontal="right" vertical="top"/>
    </xf>
    <xf numFmtId="168" fontId="31" fillId="0" borderId="0" xfId="1" applyNumberFormat="1" applyFont="1" applyAlignment="1">
      <alignment vertical="top"/>
    </xf>
    <xf numFmtId="168" fontId="31" fillId="0" borderId="9" xfId="1" applyNumberFormat="1" applyFont="1" applyBorder="1" applyAlignment="1">
      <alignment vertical="top"/>
    </xf>
    <xf numFmtId="168" fontId="34" fillId="0" borderId="1" xfId="27" applyNumberFormat="1" applyFont="1" applyBorder="1" applyAlignment="1">
      <alignment horizontal="center" vertical="center"/>
    </xf>
    <xf numFmtId="168" fontId="33" fillId="0" borderId="9" xfId="1" applyNumberFormat="1" applyFont="1" applyBorder="1" applyAlignment="1">
      <alignment horizontal="right" vertical="center" wrapText="1"/>
    </xf>
    <xf numFmtId="0" fontId="30" fillId="0" borderId="14" xfId="0" applyFont="1" applyBorder="1" applyAlignment="1">
      <alignment horizontal="left" vertical="center"/>
    </xf>
    <xf numFmtId="0" fontId="33" fillId="0" borderId="0" xfId="26" applyFont="1" applyAlignment="1">
      <alignment horizontal="center"/>
    </xf>
    <xf numFmtId="166" fontId="33" fillId="0" borderId="0" xfId="28" applyFont="1" applyBorder="1" applyAlignment="1">
      <alignment horizontal="center"/>
    </xf>
    <xf numFmtId="0" fontId="34" fillId="0" borderId="0" xfId="26" applyFont="1" applyAlignment="1">
      <alignment horizontal="center"/>
    </xf>
    <xf numFmtId="0" fontId="33" fillId="0" borderId="9" xfId="26" applyFont="1" applyBorder="1" applyAlignment="1">
      <alignment horizontal="center"/>
    </xf>
    <xf numFmtId="0" fontId="33" fillId="0" borderId="3" xfId="26" applyFont="1" applyBorder="1" applyAlignment="1">
      <alignment horizontal="center"/>
    </xf>
    <xf numFmtId="0" fontId="34" fillId="0" borderId="9" xfId="26" applyFont="1" applyBorder="1" applyAlignment="1">
      <alignment horizontal="center"/>
    </xf>
    <xf numFmtId="0" fontId="33" fillId="0" borderId="10" xfId="26" applyFont="1" applyBorder="1" applyAlignment="1">
      <alignment horizontal="center"/>
    </xf>
    <xf numFmtId="3" fontId="0" fillId="0" borderId="0" xfId="0" applyNumberFormat="1"/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/>
    <xf numFmtId="0" fontId="33" fillId="0" borderId="0" xfId="26" applyFont="1" applyBorder="1" applyAlignment="1">
      <alignment horizontal="center"/>
    </xf>
    <xf numFmtId="168" fontId="34" fillId="0" borderId="0" xfId="27" applyNumberFormat="1" applyFont="1" applyBorder="1"/>
    <xf numFmtId="168" fontId="30" fillId="0" borderId="0" xfId="27" applyNumberFormat="1" applyFont="1" applyBorder="1"/>
    <xf numFmtId="3" fontId="31" fillId="0" borderId="0" xfId="0" applyNumberFormat="1" applyFont="1" applyAlignment="1">
      <alignment horizontal="right" vertical="center" wrapText="1"/>
    </xf>
    <xf numFmtId="3" fontId="35" fillId="0" borderId="0" xfId="0" applyNumberFormat="1" applyFont="1" applyAlignment="1">
      <alignment horizontal="right" vertical="center" wrapText="1"/>
    </xf>
    <xf numFmtId="0" fontId="44" fillId="0" borderId="3" xfId="0" applyFont="1" applyBorder="1"/>
    <xf numFmtId="0" fontId="43" fillId="0" borderId="9" xfId="0" applyFont="1" applyBorder="1" applyAlignment="1">
      <alignment horizontal="left" indent="1"/>
    </xf>
    <xf numFmtId="0" fontId="30" fillId="0" borderId="0" xfId="0" applyFont="1"/>
    <xf numFmtId="0" fontId="30" fillId="0" borderId="1" xfId="0" applyFont="1" applyBorder="1"/>
    <xf numFmtId="0" fontId="30" fillId="0" borderId="1" xfId="0" applyNumberFormat="1" applyFont="1" applyBorder="1" applyAlignment="1">
      <alignment horizontal="center"/>
    </xf>
    <xf numFmtId="0" fontId="30" fillId="0" borderId="3" xfId="0" applyFont="1" applyBorder="1"/>
    <xf numFmtId="0" fontId="30" fillId="0" borderId="3" xfId="0" applyNumberFormat="1" applyFont="1" applyBorder="1" applyAlignment="1">
      <alignment horizontal="center"/>
    </xf>
    <xf numFmtId="0" fontId="31" fillId="0" borderId="0" xfId="0" applyFont="1" applyBorder="1" applyAlignment="1">
      <alignment horizontal="left" indent="1"/>
    </xf>
    <xf numFmtId="3" fontId="32" fillId="0" borderId="9" xfId="0" applyNumberFormat="1" applyFont="1" applyBorder="1"/>
    <xf numFmtId="3" fontId="32" fillId="0" borderId="3" xfId="0" applyNumberFormat="1" applyFont="1" applyBorder="1"/>
    <xf numFmtId="3" fontId="31" fillId="0" borderId="0" xfId="0" applyNumberFormat="1" applyFont="1" applyBorder="1" applyAlignment="1">
      <alignment horizontal="right"/>
    </xf>
    <xf numFmtId="3" fontId="31" fillId="0" borderId="1" xfId="0" applyNumberFormat="1" applyFont="1" applyBorder="1"/>
    <xf numFmtId="168" fontId="31" fillId="0" borderId="9" xfId="1" applyNumberFormat="1" applyFont="1" applyBorder="1" applyAlignment="1">
      <alignment horizontal="right" vertical="center" wrapText="1"/>
    </xf>
    <xf numFmtId="3" fontId="30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168" fontId="31" fillId="0" borderId="0" xfId="0" applyNumberFormat="1" applyFont="1"/>
    <xf numFmtId="0" fontId="31" fillId="0" borderId="14" xfId="0" applyFont="1" applyBorder="1"/>
    <xf numFmtId="3" fontId="31" fillId="0" borderId="0" xfId="0" applyNumberFormat="1" applyFont="1" applyAlignment="1">
      <alignment horizontal="right" vertical="top"/>
    </xf>
    <xf numFmtId="0" fontId="31" fillId="0" borderId="0" xfId="0" applyFont="1" applyBorder="1" applyAlignment="1">
      <alignment vertical="center" wrapText="1"/>
    </xf>
    <xf numFmtId="3" fontId="31" fillId="0" borderId="0" xfId="0" applyNumberFormat="1" applyFont="1" applyBorder="1" applyAlignment="1">
      <alignment horizontal="right" vertical="top"/>
    </xf>
    <xf numFmtId="3" fontId="31" fillId="2" borderId="0" xfId="0" applyNumberFormat="1" applyFont="1" applyFill="1"/>
    <xf numFmtId="0" fontId="31" fillId="0" borderId="0" xfId="0" applyFont="1" applyAlignment="1">
      <alignment vertical="top"/>
    </xf>
    <xf numFmtId="0" fontId="35" fillId="0" borderId="0" xfId="0" applyFont="1" applyAlignment="1">
      <alignment vertical="center"/>
    </xf>
    <xf numFmtId="168" fontId="33" fillId="0" borderId="0" xfId="1" applyNumberFormat="1" applyFont="1" applyAlignment="1">
      <alignment horizontal="right" vertical="center" wrapText="1"/>
    </xf>
    <xf numFmtId="0" fontId="46" fillId="0" borderId="14" xfId="0" applyFont="1" applyBorder="1" applyAlignment="1">
      <alignment vertical="center"/>
    </xf>
    <xf numFmtId="168" fontId="34" fillId="0" borderId="14" xfId="1" applyNumberFormat="1" applyFont="1" applyBorder="1" applyAlignment="1">
      <alignment horizontal="right" vertical="center" wrapText="1"/>
    </xf>
    <xf numFmtId="166" fontId="33" fillId="0" borderId="0" xfId="1" applyFont="1" applyAlignment="1">
      <alignment horizontal="right" vertical="center" wrapText="1"/>
    </xf>
    <xf numFmtId="166" fontId="33" fillId="0" borderId="0" xfId="1" applyFont="1"/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166" fontId="31" fillId="0" borderId="0" xfId="1" applyFont="1" applyBorder="1"/>
    <xf numFmtId="43" fontId="31" fillId="0" borderId="0" xfId="0" applyNumberFormat="1" applyFont="1" applyBorder="1"/>
    <xf numFmtId="0" fontId="48" fillId="0" borderId="9" xfId="0" applyFont="1" applyBorder="1" applyAlignment="1">
      <alignment vertical="center"/>
    </xf>
    <xf numFmtId="0" fontId="48" fillId="0" borderId="9" xfId="0" applyFont="1" applyBorder="1" applyAlignment="1">
      <alignment wrapText="1"/>
    </xf>
    <xf numFmtId="168" fontId="33" fillId="0" borderId="9" xfId="1" applyNumberFormat="1" applyFont="1" applyBorder="1" applyAlignment="1">
      <alignment horizontal="right" wrapText="1"/>
    </xf>
    <xf numFmtId="0" fontId="30" fillId="0" borderId="1" xfId="0" applyFont="1" applyBorder="1" applyAlignment="1">
      <alignment horizontal="center" vertical="center"/>
    </xf>
    <xf numFmtId="3" fontId="31" fillId="0" borderId="0" xfId="0" applyNumberFormat="1" applyFont="1" applyFill="1"/>
    <xf numFmtId="0" fontId="31" fillId="0" borderId="0" xfId="0" applyFont="1" applyAlignment="1">
      <alignment horizontal="center" vertical="center"/>
    </xf>
    <xf numFmtId="3" fontId="31" fillId="0" borderId="0" xfId="0" applyNumberFormat="1" applyFont="1" applyAlignment="1">
      <alignment horizontal="right" vertical="center"/>
    </xf>
    <xf numFmtId="14" fontId="31" fillId="0" borderId="0" xfId="0" applyNumberFormat="1" applyFont="1" applyAlignment="1">
      <alignment horizontal="center" vertical="center"/>
    </xf>
    <xf numFmtId="3" fontId="30" fillId="0" borderId="3" xfId="0" applyNumberFormat="1" applyFont="1" applyBorder="1"/>
    <xf numFmtId="14" fontId="31" fillId="0" borderId="0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168" fontId="31" fillId="0" borderId="0" xfId="1" applyNumberFormat="1" applyFont="1" applyBorder="1" applyAlignment="1">
      <alignment horizontal="right" vertical="center"/>
    </xf>
    <xf numFmtId="0" fontId="31" fillId="0" borderId="0" xfId="0" applyFont="1" applyAlignment="1">
      <alignment horizontal="justify" vertical="center" wrapText="1"/>
    </xf>
    <xf numFmtId="3" fontId="31" fillId="0" borderId="0" xfId="0" applyNumberFormat="1" applyFont="1" applyBorder="1" applyAlignment="1">
      <alignment horizontal="right" vertical="center" wrapText="1"/>
    </xf>
    <xf numFmtId="0" fontId="30" fillId="0" borderId="3" xfId="0" applyFont="1" applyBorder="1" applyAlignment="1">
      <alignment vertical="center"/>
    </xf>
    <xf numFmtId="166" fontId="31" fillId="0" borderId="0" xfId="0" applyNumberFormat="1" applyFont="1"/>
    <xf numFmtId="0" fontId="33" fillId="0" borderId="0" xfId="0" applyFont="1"/>
    <xf numFmtId="166" fontId="31" fillId="2" borderId="0" xfId="1" applyFont="1" applyFill="1"/>
    <xf numFmtId="3" fontId="42" fillId="0" borderId="0" xfId="0" applyNumberFormat="1" applyFont="1"/>
    <xf numFmtId="0" fontId="42" fillId="0" borderId="0" xfId="0" applyFont="1"/>
    <xf numFmtId="4" fontId="31" fillId="0" borderId="0" xfId="0" applyNumberFormat="1" applyFont="1" applyBorder="1" applyAlignment="1">
      <alignment vertical="center" wrapText="1"/>
    </xf>
    <xf numFmtId="0" fontId="44" fillId="0" borderId="0" xfId="0" applyFont="1" applyBorder="1" applyAlignment="1">
      <alignment horizontal="center" vertical="center"/>
    </xf>
    <xf numFmtId="3" fontId="35" fillId="0" borderId="0" xfId="0" applyNumberFormat="1" applyFont="1" applyBorder="1" applyAlignment="1">
      <alignment horizontal="right" vertical="center"/>
    </xf>
    <xf numFmtId="3" fontId="44" fillId="0" borderId="0" xfId="0" applyNumberFormat="1" applyFont="1" applyBorder="1" applyAlignment="1">
      <alignment horizontal="right" vertical="center"/>
    </xf>
    <xf numFmtId="0" fontId="43" fillId="0" borderId="0" xfId="0" applyFont="1" applyAlignment="1">
      <alignment vertical="center"/>
    </xf>
    <xf numFmtId="0" fontId="35" fillId="0" borderId="0" xfId="0" applyFont="1" applyAlignment="1">
      <alignment horizontal="left" vertical="center" indent="1"/>
    </xf>
    <xf numFmtId="3" fontId="35" fillId="0" borderId="0" xfId="0" applyNumberFormat="1" applyFont="1" applyAlignment="1">
      <alignment horizontal="right" vertical="center"/>
    </xf>
    <xf numFmtId="168" fontId="35" fillId="0" borderId="0" xfId="1" applyNumberFormat="1" applyFont="1" applyAlignment="1">
      <alignment horizontal="right" vertical="center"/>
    </xf>
    <xf numFmtId="0" fontId="48" fillId="0" borderId="0" xfId="0" applyFont="1" applyAlignment="1">
      <alignment horizontal="left" vertical="center" indent="1"/>
    </xf>
    <xf numFmtId="3" fontId="44" fillId="0" borderId="14" xfId="0" applyNumberFormat="1" applyFont="1" applyBorder="1" applyAlignment="1">
      <alignment horizontal="right" vertical="center"/>
    </xf>
    <xf numFmtId="0" fontId="35" fillId="0" borderId="0" xfId="0" applyFont="1" applyBorder="1" applyAlignment="1">
      <alignment horizontal="left" vertical="center" indent="1"/>
    </xf>
    <xf numFmtId="10" fontId="31" fillId="0" borderId="0" xfId="20" applyNumberFormat="1" applyFont="1"/>
    <xf numFmtId="0" fontId="35" fillId="0" borderId="3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48" fillId="0" borderId="14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25" fillId="0" borderId="0" xfId="2" applyFont="1" applyFill="1" applyAlignment="1">
      <alignment vertical="center"/>
    </xf>
    <xf numFmtId="168" fontId="24" fillId="0" borderId="0" xfId="1" applyNumberFormat="1" applyFont="1" applyFill="1" applyAlignment="1">
      <alignment horizontal="center" vertical="center"/>
    </xf>
    <xf numFmtId="0" fontId="25" fillId="0" borderId="14" xfId="2" applyFont="1" applyFill="1" applyBorder="1" applyAlignment="1">
      <alignment vertical="center"/>
    </xf>
    <xf numFmtId="168" fontId="25" fillId="0" borderId="14" xfId="1" applyNumberFormat="1" applyFont="1" applyFill="1" applyBorder="1" applyAlignment="1">
      <alignment horizontal="center" vertical="center"/>
    </xf>
    <xf numFmtId="0" fontId="31" fillId="0" borderId="0" xfId="0" applyFont="1" applyBorder="1" applyAlignment="1">
      <alignment horizontal="right"/>
    </xf>
    <xf numFmtId="3" fontId="30" fillId="0" borderId="14" xfId="0" applyNumberFormat="1" applyFont="1" applyBorder="1" applyAlignment="1">
      <alignment horizontal="right"/>
    </xf>
    <xf numFmtId="3" fontId="42" fillId="0" borderId="0" xfId="0" applyNumberFormat="1" applyFont="1" applyAlignment="1">
      <alignment horizontal="right" vertical="center"/>
    </xf>
    <xf numFmtId="3" fontId="31" fillId="0" borderId="3" xfId="0" applyNumberFormat="1" applyFont="1" applyBorder="1" applyAlignment="1">
      <alignment horizontal="right" vertical="center" wrapText="1"/>
    </xf>
    <xf numFmtId="3" fontId="31" fillId="0" borderId="1" xfId="0" applyNumberFormat="1" applyFont="1" applyBorder="1" applyAlignment="1">
      <alignment horizontal="right" vertical="center" wrapText="1"/>
    </xf>
    <xf numFmtId="3" fontId="30" fillId="0" borderId="0" xfId="0" applyNumberFormat="1" applyFont="1" applyBorder="1" applyAlignment="1">
      <alignment horizontal="right" vertical="center" wrapText="1"/>
    </xf>
    <xf numFmtId="168" fontId="30" fillId="0" borderId="14" xfId="1" applyNumberFormat="1" applyFont="1" applyBorder="1" applyAlignment="1">
      <alignment horizontal="right" vertical="center" wrapText="1"/>
    </xf>
    <xf numFmtId="0" fontId="42" fillId="0" borderId="0" xfId="0" applyFont="1" applyAlignment="1">
      <alignment vertical="top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35" fillId="0" borderId="9" xfId="0" applyFont="1" applyBorder="1" applyAlignment="1">
      <alignment vertical="center"/>
    </xf>
    <xf numFmtId="0" fontId="31" fillId="0" borderId="9" xfId="0" applyFont="1" applyBorder="1" applyAlignment="1">
      <alignment vertical="center"/>
    </xf>
    <xf numFmtId="3" fontId="31" fillId="0" borderId="9" xfId="0" applyNumberFormat="1" applyFont="1" applyBorder="1" applyAlignment="1">
      <alignment horizontal="right" vertical="center"/>
    </xf>
    <xf numFmtId="3" fontId="31" fillId="0" borderId="9" xfId="0" applyNumberFormat="1" applyFont="1" applyBorder="1" applyAlignment="1">
      <alignment horizontal="right" vertical="center" wrapText="1"/>
    </xf>
    <xf numFmtId="49" fontId="30" fillId="0" borderId="1" xfId="0" applyNumberFormat="1" applyFont="1" applyBorder="1" applyAlignment="1">
      <alignment horizontal="right"/>
    </xf>
    <xf numFmtId="49" fontId="31" fillId="0" borderId="3" xfId="0" applyNumberFormat="1" applyFont="1" applyBorder="1" applyAlignment="1">
      <alignment horizontal="right"/>
    </xf>
    <xf numFmtId="49" fontId="31" fillId="0" borderId="0" xfId="0" applyNumberFormat="1" applyFont="1" applyBorder="1" applyAlignment="1">
      <alignment horizontal="right"/>
    </xf>
    <xf numFmtId="49" fontId="30" fillId="0" borderId="14" xfId="0" applyNumberFormat="1" applyFont="1" applyBorder="1" applyAlignment="1">
      <alignment horizontal="right"/>
    </xf>
    <xf numFmtId="49" fontId="31" fillId="0" borderId="0" xfId="0" applyNumberFormat="1" applyFont="1" applyAlignment="1">
      <alignment horizontal="right"/>
    </xf>
    <xf numFmtId="49" fontId="30" fillId="0" borderId="3" xfId="0" applyNumberFormat="1" applyFont="1" applyBorder="1" applyAlignment="1">
      <alignment horizontal="right"/>
    </xf>
    <xf numFmtId="49" fontId="32" fillId="0" borderId="9" xfId="0" applyNumberFormat="1" applyFont="1" applyBorder="1" applyAlignment="1">
      <alignment horizontal="right"/>
    </xf>
    <xf numFmtId="49" fontId="32" fillId="0" borderId="3" xfId="0" applyNumberFormat="1" applyFont="1" applyBorder="1" applyAlignment="1">
      <alignment horizontal="right"/>
    </xf>
    <xf numFmtId="49" fontId="31" fillId="0" borderId="1" xfId="0" applyNumberFormat="1" applyFont="1" applyBorder="1" applyAlignment="1">
      <alignment horizontal="right"/>
    </xf>
    <xf numFmtId="49" fontId="31" fillId="0" borderId="0" xfId="0" applyNumberFormat="1" applyFont="1" applyAlignment="1">
      <alignment horizontal="right" vertical="center" wrapText="1"/>
    </xf>
    <xf numFmtId="49" fontId="31" fillId="0" borderId="0" xfId="0" applyNumberFormat="1" applyFont="1" applyBorder="1" applyAlignment="1">
      <alignment horizontal="right" vertical="center" wrapText="1"/>
    </xf>
    <xf numFmtId="49" fontId="30" fillId="0" borderId="14" xfId="0" applyNumberFormat="1" applyFont="1" applyBorder="1" applyAlignment="1">
      <alignment horizontal="right" vertical="center"/>
    </xf>
    <xf numFmtId="49" fontId="31" fillId="0" borderId="0" xfId="0" applyNumberFormat="1" applyFont="1" applyAlignment="1">
      <alignment horizontal="right" vertical="top"/>
    </xf>
    <xf numFmtId="49" fontId="35" fillId="0" borderId="0" xfId="0" applyNumberFormat="1" applyFont="1" applyAlignment="1">
      <alignment horizontal="right" vertical="center"/>
    </xf>
    <xf numFmtId="49" fontId="31" fillId="0" borderId="0" xfId="0" applyNumberFormat="1" applyFont="1" applyBorder="1" applyAlignment="1">
      <alignment horizontal="right" vertical="center"/>
    </xf>
    <xf numFmtId="49" fontId="31" fillId="0" borderId="3" xfId="0" applyNumberFormat="1" applyFont="1" applyBorder="1" applyAlignment="1">
      <alignment horizontal="right" vertical="center"/>
    </xf>
    <xf numFmtId="49" fontId="30" fillId="0" borderId="14" xfId="0" applyNumberFormat="1" applyFont="1" applyBorder="1" applyAlignment="1">
      <alignment horizontal="right" vertical="center" wrapText="1"/>
    </xf>
    <xf numFmtId="49" fontId="30" fillId="0" borderId="0" xfId="0" applyNumberFormat="1" applyFont="1" applyBorder="1" applyAlignment="1">
      <alignment horizontal="right" vertical="center" wrapText="1"/>
    </xf>
    <xf numFmtId="49" fontId="30" fillId="0" borderId="1" xfId="0" applyNumberFormat="1" applyFont="1" applyBorder="1" applyAlignment="1">
      <alignment horizontal="right" vertical="center" wrapText="1"/>
    </xf>
    <xf numFmtId="49" fontId="31" fillId="0" borderId="0" xfId="0" applyNumberFormat="1" applyFont="1" applyAlignment="1">
      <alignment horizontal="right" vertical="center"/>
    </xf>
    <xf numFmtId="49" fontId="33" fillId="0" borderId="0" xfId="0" applyNumberFormat="1" applyFont="1" applyAlignment="1">
      <alignment horizontal="right"/>
    </xf>
    <xf numFmtId="49" fontId="31" fillId="0" borderId="1" xfId="0" applyNumberFormat="1" applyFont="1" applyBorder="1" applyAlignment="1">
      <alignment horizontal="right" vertical="center" wrapText="1"/>
    </xf>
    <xf numFmtId="49" fontId="31" fillId="0" borderId="9" xfId="0" applyNumberFormat="1" applyFont="1" applyBorder="1" applyAlignment="1">
      <alignment horizontal="right" vertical="center"/>
    </xf>
    <xf numFmtId="49" fontId="31" fillId="0" borderId="0" xfId="0" applyNumberFormat="1" applyFont="1" applyAlignment="1">
      <alignment horizontal="right" vertical="top" wrapText="1"/>
    </xf>
    <xf numFmtId="49" fontId="43" fillId="0" borderId="0" xfId="0" applyNumberFormat="1" applyFont="1" applyAlignment="1">
      <alignment horizontal="right" vertical="center"/>
    </xf>
    <xf numFmtId="49" fontId="42" fillId="0" borderId="0" xfId="0" applyNumberFormat="1" applyFont="1" applyAlignment="1">
      <alignment horizontal="right"/>
    </xf>
    <xf numFmtId="49" fontId="35" fillId="0" borderId="0" xfId="0" applyNumberFormat="1" applyFont="1" applyBorder="1" applyAlignment="1">
      <alignment horizontal="right" vertical="center"/>
    </xf>
    <xf numFmtId="49" fontId="44" fillId="0" borderId="14" xfId="0" applyNumberFormat="1" applyFont="1" applyBorder="1" applyAlignment="1">
      <alignment horizontal="right" vertical="center"/>
    </xf>
    <xf numFmtId="49" fontId="31" fillId="0" borderId="0" xfId="0" applyNumberFormat="1" applyFont="1" applyBorder="1" applyAlignment="1">
      <alignment horizontal="right" vertical="top"/>
    </xf>
    <xf numFmtId="49" fontId="34" fillId="0" borderId="1" xfId="0" applyNumberFormat="1" applyFont="1" applyBorder="1" applyAlignment="1">
      <alignment horizontal="right" vertical="center"/>
    </xf>
    <xf numFmtId="49" fontId="33" fillId="0" borderId="0" xfId="1" applyNumberFormat="1" applyFont="1" applyAlignment="1">
      <alignment horizontal="right" vertical="center" wrapText="1"/>
    </xf>
    <xf numFmtId="49" fontId="34" fillId="0" borderId="14" xfId="1" applyNumberFormat="1" applyFont="1" applyBorder="1" applyAlignment="1">
      <alignment horizontal="right" vertical="center" wrapText="1"/>
    </xf>
    <xf numFmtId="49" fontId="33" fillId="0" borderId="9" xfId="1" applyNumberFormat="1" applyFont="1" applyBorder="1" applyAlignment="1">
      <alignment horizontal="right" vertical="center" wrapText="1"/>
    </xf>
    <xf numFmtId="49" fontId="33" fillId="0" borderId="9" xfId="1" applyNumberFormat="1" applyFont="1" applyBorder="1" applyAlignment="1">
      <alignment horizontal="right" wrapText="1"/>
    </xf>
    <xf numFmtId="49" fontId="30" fillId="0" borderId="0" xfId="0" applyNumberFormat="1" applyFont="1" applyBorder="1" applyAlignment="1">
      <alignment horizontal="right" vertical="center"/>
    </xf>
    <xf numFmtId="49" fontId="31" fillId="0" borderId="0" xfId="1" applyNumberFormat="1" applyFont="1" applyAlignment="1">
      <alignment horizontal="right"/>
    </xf>
    <xf numFmtId="49" fontId="34" fillId="0" borderId="0" xfId="0" applyNumberFormat="1" applyFont="1" applyBorder="1" applyAlignment="1">
      <alignment horizontal="right" vertical="center"/>
    </xf>
    <xf numFmtId="49" fontId="35" fillId="0" borderId="0" xfId="1" applyNumberFormat="1" applyFont="1" applyAlignment="1">
      <alignment horizontal="right" vertical="center"/>
    </xf>
    <xf numFmtId="49" fontId="33" fillId="0" borderId="0" xfId="1" applyNumberFormat="1" applyFont="1" applyBorder="1" applyAlignment="1">
      <alignment horizontal="right" vertical="center" wrapText="1"/>
    </xf>
    <xf numFmtId="0" fontId="35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horizontal="center" vertical="center"/>
    </xf>
    <xf numFmtId="0" fontId="50" fillId="0" borderId="14" xfId="0" applyFont="1" applyFill="1" applyBorder="1" applyAlignment="1">
      <alignment vertical="center" wrapText="1"/>
    </xf>
    <xf numFmtId="168" fontId="30" fillId="0" borderId="14" xfId="1" applyNumberFormat="1" applyFont="1" applyBorder="1" applyAlignment="1">
      <alignment vertical="top"/>
    </xf>
    <xf numFmtId="0" fontId="35" fillId="0" borderId="3" xfId="0" applyFont="1" applyFill="1" applyBorder="1" applyAlignment="1">
      <alignment vertical="top" wrapText="1"/>
    </xf>
    <xf numFmtId="3" fontId="31" fillId="0" borderId="3" xfId="0" applyNumberFormat="1" applyFont="1" applyBorder="1" applyAlignment="1">
      <alignment vertical="top"/>
    </xf>
    <xf numFmtId="0" fontId="35" fillId="0" borderId="3" xfId="0" applyFont="1" applyFill="1" applyBorder="1" applyAlignment="1">
      <alignment horizontal="right" vertical="top"/>
    </xf>
    <xf numFmtId="0" fontId="35" fillId="0" borderId="0" xfId="0" applyFont="1" applyFill="1" applyBorder="1" applyAlignment="1">
      <alignment vertical="top" wrapText="1"/>
    </xf>
    <xf numFmtId="3" fontId="31" fillId="0" borderId="0" xfId="0" applyNumberFormat="1" applyFont="1" applyBorder="1" applyAlignment="1">
      <alignment vertical="top"/>
    </xf>
    <xf numFmtId="0" fontId="49" fillId="0" borderId="0" xfId="0" applyFont="1" applyFill="1" applyBorder="1" applyAlignment="1">
      <alignment vertical="top" wrapText="1"/>
    </xf>
    <xf numFmtId="0" fontId="49" fillId="0" borderId="0" xfId="0" applyFont="1" applyFill="1" applyBorder="1" applyAlignment="1">
      <alignment horizontal="right" vertical="top" wrapText="1"/>
    </xf>
    <xf numFmtId="0" fontId="49" fillId="0" borderId="1" xfId="0" applyFont="1" applyFill="1" applyBorder="1" applyAlignment="1">
      <alignment vertical="top" wrapText="1"/>
    </xf>
    <xf numFmtId="3" fontId="31" fillId="0" borderId="1" xfId="0" applyNumberFormat="1" applyFont="1" applyBorder="1" applyAlignment="1">
      <alignment vertical="top"/>
    </xf>
    <xf numFmtId="0" fontId="49" fillId="0" borderId="1" xfId="0" applyFont="1" applyFill="1" applyBorder="1" applyAlignment="1">
      <alignment horizontal="right" vertical="top" wrapText="1"/>
    </xf>
    <xf numFmtId="168" fontId="31" fillId="0" borderId="1" xfId="1" applyNumberFormat="1" applyFont="1" applyBorder="1" applyAlignment="1">
      <alignment vertical="top"/>
    </xf>
    <xf numFmtId="0" fontId="31" fillId="0" borderId="0" xfId="0" applyFont="1" applyFill="1" applyBorder="1" applyAlignment="1">
      <alignment horizontal="right" vertical="top"/>
    </xf>
    <xf numFmtId="3" fontId="31" fillId="0" borderId="0" xfId="0" applyNumberFormat="1" applyFont="1" applyAlignment="1">
      <alignment vertical="top" wrapText="1"/>
    </xf>
    <xf numFmtId="0" fontId="31" fillId="0" borderId="14" xfId="0" applyFont="1" applyBorder="1" applyAlignment="1">
      <alignment vertical="top"/>
    </xf>
    <xf numFmtId="0" fontId="35" fillId="0" borderId="14" xfId="0" applyFont="1" applyBorder="1" applyAlignment="1">
      <alignment vertical="center"/>
    </xf>
    <xf numFmtId="0" fontId="45" fillId="0" borderId="0" xfId="0" applyFont="1" applyAlignment="1">
      <alignment vertical="center"/>
    </xf>
    <xf numFmtId="49" fontId="30" fillId="0" borderId="1" xfId="0" applyNumberFormat="1" applyFont="1" applyBorder="1" applyAlignment="1">
      <alignment horizontal="right" vertical="center"/>
    </xf>
    <xf numFmtId="168" fontId="35" fillId="2" borderId="0" xfId="1" applyNumberFormat="1" applyFont="1" applyFill="1" applyAlignment="1">
      <alignment horizontal="right" vertical="center"/>
    </xf>
    <xf numFmtId="0" fontId="39" fillId="0" borderId="0" xfId="0" applyFont="1" applyBorder="1"/>
    <xf numFmtId="0" fontId="45" fillId="0" borderId="0" xfId="0" applyFont="1" applyBorder="1" applyAlignment="1">
      <alignment vertical="center"/>
    </xf>
    <xf numFmtId="0" fontId="31" fillId="0" borderId="9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3" fontId="31" fillId="3" borderId="0" xfId="0" applyNumberFormat="1" applyFont="1" applyFill="1"/>
    <xf numFmtId="0" fontId="44" fillId="0" borderId="0" xfId="0" applyFont="1" applyFill="1" applyAlignment="1">
      <alignment vertical="center"/>
    </xf>
    <xf numFmtId="0" fontId="30" fillId="0" borderId="0" xfId="0" applyFont="1" applyFill="1" applyAlignment="1">
      <alignment horizontal="justify" vertical="center"/>
    </xf>
    <xf numFmtId="0" fontId="30" fillId="0" borderId="0" xfId="0" applyFont="1" applyFill="1" applyBorder="1" applyAlignment="1">
      <alignment horizontal="left" vertical="center"/>
    </xf>
    <xf numFmtId="3" fontId="31" fillId="0" borderId="0" xfId="0" applyNumberFormat="1" applyFont="1" applyFill="1" applyBorder="1" applyAlignment="1">
      <alignment horizontal="right" vertical="center"/>
    </xf>
    <xf numFmtId="49" fontId="42" fillId="0" borderId="0" xfId="0" applyNumberFormat="1" applyFont="1" applyBorder="1" applyAlignment="1">
      <alignment horizontal="right"/>
    </xf>
    <xf numFmtId="0" fontId="29" fillId="0" borderId="0" xfId="0" applyFont="1" applyBorder="1"/>
    <xf numFmtId="49" fontId="29" fillId="0" borderId="0" xfId="0" applyNumberFormat="1" applyFont="1" applyBorder="1" applyAlignment="1">
      <alignment horizontal="right"/>
    </xf>
    <xf numFmtId="3" fontId="29" fillId="0" borderId="0" xfId="0" applyNumberFormat="1" applyFont="1" applyBorder="1"/>
    <xf numFmtId="3" fontId="42" fillId="2" borderId="0" xfId="0" applyNumberFormat="1" applyFont="1" applyFill="1" applyBorder="1"/>
    <xf numFmtId="0" fontId="31" fillId="0" borderId="3" xfId="0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3" fontId="29" fillId="0" borderId="0" xfId="0" applyNumberFormat="1" applyFont="1" applyBorder="1" applyAlignment="1">
      <alignment horizontal="right" vertical="center"/>
    </xf>
    <xf numFmtId="168" fontId="31" fillId="0" borderId="0" xfId="1" applyNumberFormat="1" applyFont="1" applyBorder="1" applyAlignment="1">
      <alignment vertical="top"/>
    </xf>
    <xf numFmtId="3" fontId="34" fillId="0" borderId="0" xfId="0" applyNumberFormat="1" applyFont="1" applyBorder="1"/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/>
    <xf numFmtId="0" fontId="31" fillId="0" borderId="0" xfId="0" applyFont="1" applyFill="1" applyBorder="1" applyAlignment="1">
      <alignment horizontal="center" vertical="center"/>
    </xf>
    <xf numFmtId="1" fontId="31" fillId="0" borderId="0" xfId="0" applyNumberFormat="1" applyFont="1" applyFill="1" applyBorder="1" applyAlignment="1">
      <alignment horizontal="center" vertical="center"/>
    </xf>
    <xf numFmtId="168" fontId="31" fillId="0" borderId="0" xfId="1" applyNumberFormat="1" applyFont="1" applyFill="1" applyBorder="1" applyAlignment="1">
      <alignment horizontal="right" vertical="center"/>
    </xf>
    <xf numFmtId="168" fontId="31" fillId="0" borderId="0" xfId="0" applyNumberFormat="1" applyFont="1" applyFill="1" applyBorder="1"/>
    <xf numFmtId="14" fontId="31" fillId="0" borderId="0" xfId="0" applyNumberFormat="1" applyFont="1" applyFill="1" applyBorder="1" applyAlignment="1">
      <alignment horizontal="center" vertical="center"/>
    </xf>
    <xf numFmtId="14" fontId="31" fillId="0" borderId="0" xfId="0" applyNumberFormat="1" applyFont="1" applyFill="1" applyBorder="1" applyAlignment="1">
      <alignment horizontal="center"/>
    </xf>
    <xf numFmtId="1" fontId="31" fillId="0" borderId="0" xfId="0" applyNumberFormat="1" applyFont="1" applyFill="1" applyBorder="1" applyAlignment="1">
      <alignment horizontal="center"/>
    </xf>
    <xf numFmtId="3" fontId="31" fillId="0" borderId="0" xfId="0" applyNumberFormat="1" applyFont="1" applyFill="1" applyBorder="1"/>
    <xf numFmtId="3" fontId="30" fillId="0" borderId="0" xfId="0" applyNumberFormat="1" applyFont="1" applyFill="1" applyBorder="1" applyAlignment="1">
      <alignment horizontal="right" vertical="center"/>
    </xf>
    <xf numFmtId="3" fontId="30" fillId="0" borderId="0" xfId="0" applyNumberFormat="1" applyFont="1" applyFill="1" applyBorder="1"/>
    <xf numFmtId="166" fontId="30" fillId="0" borderId="1" xfId="1" applyFont="1" applyBorder="1" applyAlignment="1">
      <alignment horizontal="center" vertical="center" wrapText="1"/>
    </xf>
    <xf numFmtId="0" fontId="0" fillId="0" borderId="0" xfId="0" applyBorder="1"/>
    <xf numFmtId="0" fontId="31" fillId="0" borderId="0" xfId="0" applyFont="1" applyAlignment="1">
      <alignment horizontal="center" vertical="top"/>
    </xf>
    <xf numFmtId="168" fontId="31" fillId="0" borderId="0" xfId="1" applyNumberFormat="1" applyFont="1" applyAlignment="1">
      <alignment horizontal="right" vertical="top" wrapText="1"/>
    </xf>
    <xf numFmtId="49" fontId="51" fillId="0" borderId="0" xfId="0" applyNumberFormat="1" applyFont="1" applyAlignment="1">
      <alignment horizontal="center" vertical="top"/>
    </xf>
    <xf numFmtId="166" fontId="51" fillId="0" borderId="0" xfId="1" applyFont="1" applyAlignment="1">
      <alignment horizontal="center" vertical="top"/>
    </xf>
    <xf numFmtId="49" fontId="52" fillId="0" borderId="0" xfId="0" applyNumberFormat="1" applyFont="1" applyAlignment="1">
      <alignment horizontal="left" vertical="top"/>
    </xf>
    <xf numFmtId="0" fontId="53" fillId="0" borderId="0" xfId="0" applyFont="1" applyAlignment="1">
      <alignment horizontal="center" vertical="top"/>
    </xf>
    <xf numFmtId="0" fontId="53" fillId="0" borderId="0" xfId="0" applyFont="1" applyAlignment="1">
      <alignment horizontal="left" vertical="top"/>
    </xf>
    <xf numFmtId="166" fontId="53" fillId="0" borderId="0" xfId="1" applyFont="1" applyAlignment="1">
      <alignment horizontal="left" vertical="top"/>
    </xf>
    <xf numFmtId="49" fontId="51" fillId="0" borderId="0" xfId="0" applyNumberFormat="1" applyFont="1" applyAlignment="1">
      <alignment horizontal="left" vertical="top"/>
    </xf>
    <xf numFmtId="0" fontId="24" fillId="0" borderId="14" xfId="0" applyFont="1" applyBorder="1"/>
    <xf numFmtId="168" fontId="25" fillId="0" borderId="14" xfId="0" applyNumberFormat="1" applyFont="1" applyBorder="1"/>
    <xf numFmtId="0" fontId="25" fillId="0" borderId="14" xfId="0" applyFont="1" applyBorder="1"/>
    <xf numFmtId="168" fontId="25" fillId="0" borderId="14" xfId="1" applyNumberFormat="1" applyFont="1" applyBorder="1"/>
    <xf numFmtId="166" fontId="24" fillId="0" borderId="0" xfId="1" applyFont="1"/>
    <xf numFmtId="168" fontId="33" fillId="2" borderId="9" xfId="1" applyNumberFormat="1" applyFont="1" applyFill="1" applyBorder="1" applyAlignment="1">
      <alignment horizontal="right" wrapText="1"/>
    </xf>
    <xf numFmtId="0" fontId="30" fillId="0" borderId="10" xfId="0" applyFont="1" applyBorder="1" applyAlignment="1">
      <alignment vertical="center"/>
    </xf>
    <xf numFmtId="0" fontId="30" fillId="0" borderId="10" xfId="0" applyFont="1" applyBorder="1" applyAlignment="1">
      <alignment horizontal="center" vertical="center"/>
    </xf>
    <xf numFmtId="168" fontId="30" fillId="0" borderId="10" xfId="1" applyNumberFormat="1" applyFont="1" applyBorder="1" applyAlignment="1">
      <alignment vertical="center"/>
    </xf>
    <xf numFmtId="168" fontId="30" fillId="0" borderId="10" xfId="1" applyNumberFormat="1" applyFont="1" applyBorder="1" applyAlignment="1">
      <alignment horizontal="right" vertical="center" wrapText="1"/>
    </xf>
    <xf numFmtId="0" fontId="30" fillId="0" borderId="3" xfId="0" applyFont="1" applyBorder="1" applyAlignment="1">
      <alignment vertical="top"/>
    </xf>
    <xf numFmtId="0" fontId="30" fillId="0" borderId="3" xfId="0" applyFont="1" applyBorder="1" applyAlignment="1">
      <alignment horizontal="center" vertical="top"/>
    </xf>
    <xf numFmtId="168" fontId="30" fillId="0" borderId="3" xfId="1" applyNumberFormat="1" applyFont="1" applyBorder="1" applyAlignment="1">
      <alignment horizontal="right" vertical="center" wrapText="1"/>
    </xf>
    <xf numFmtId="49" fontId="31" fillId="0" borderId="14" xfId="0" applyNumberFormat="1" applyFont="1" applyBorder="1" applyAlignment="1">
      <alignment horizontal="right"/>
    </xf>
    <xf numFmtId="49" fontId="30" fillId="0" borderId="0" xfId="0" applyNumberFormat="1" applyFont="1" applyBorder="1" applyAlignment="1">
      <alignment horizontal="right"/>
    </xf>
    <xf numFmtId="49" fontId="32" fillId="0" borderId="0" xfId="0" applyNumberFormat="1" applyFont="1" applyBorder="1" applyAlignment="1">
      <alignment horizontal="right"/>
    </xf>
    <xf numFmtId="49" fontId="34" fillId="0" borderId="0" xfId="1" applyNumberFormat="1" applyFont="1" applyBorder="1" applyAlignment="1">
      <alignment horizontal="right" vertical="center" wrapText="1"/>
    </xf>
    <xf numFmtId="49" fontId="33" fillId="0" borderId="0" xfId="1" applyNumberFormat="1" applyFont="1" applyBorder="1" applyAlignment="1">
      <alignment horizontal="right" wrapText="1"/>
    </xf>
    <xf numFmtId="49" fontId="33" fillId="0" borderId="0" xfId="0" applyNumberFormat="1" applyFont="1" applyBorder="1" applyAlignment="1">
      <alignment horizontal="right"/>
    </xf>
    <xf numFmtId="0" fontId="54" fillId="0" borderId="0" xfId="0" applyFont="1"/>
    <xf numFmtId="0" fontId="42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 wrapText="1"/>
    </xf>
    <xf numFmtId="0" fontId="29" fillId="0" borderId="14" xfId="0" applyFont="1" applyBorder="1" applyAlignment="1">
      <alignment vertical="center"/>
    </xf>
    <xf numFmtId="0" fontId="29" fillId="0" borderId="14" xfId="0" applyFont="1" applyBorder="1" applyAlignment="1">
      <alignment horizontal="right" vertical="center"/>
    </xf>
    <xf numFmtId="3" fontId="29" fillId="0" borderId="14" xfId="0" applyNumberFormat="1" applyFont="1" applyBorder="1" applyAlignment="1">
      <alignment horizontal="right" vertical="center"/>
    </xf>
    <xf numFmtId="3" fontId="37" fillId="0" borderId="0" xfId="0" applyNumberFormat="1" applyFont="1"/>
    <xf numFmtId="0" fontId="30" fillId="0" borderId="9" xfId="0" applyFont="1" applyBorder="1" applyAlignment="1">
      <alignment horizontal="center" vertical="center" wrapText="1"/>
    </xf>
    <xf numFmtId="0" fontId="31" fillId="0" borderId="0" xfId="0" applyFont="1" applyAlignment="1">
      <alignment horizontal="right" vertical="center"/>
    </xf>
    <xf numFmtId="168" fontId="31" fillId="0" borderId="0" xfId="1" applyNumberFormat="1" applyFont="1" applyAlignment="1">
      <alignment horizontal="right" vertical="center"/>
    </xf>
    <xf numFmtId="0" fontId="30" fillId="0" borderId="14" xfId="0" applyFont="1" applyBorder="1" applyAlignment="1">
      <alignment horizontal="right" vertical="center"/>
    </xf>
    <xf numFmtId="168" fontId="30" fillId="0" borderId="14" xfId="1" applyNumberFormat="1" applyFont="1" applyBorder="1" applyAlignment="1">
      <alignment horizontal="right" vertical="center"/>
    </xf>
    <xf numFmtId="0" fontId="18" fillId="0" borderId="0" xfId="0" applyFont="1" applyAlignment="1">
      <alignment horizontal="center"/>
    </xf>
    <xf numFmtId="168" fontId="31" fillId="2" borderId="0" xfId="1" applyNumberFormat="1" applyFont="1" applyFill="1"/>
    <xf numFmtId="168" fontId="0" fillId="0" borderId="0" xfId="0" applyNumberFormat="1" applyBorder="1"/>
    <xf numFmtId="3" fontId="20" fillId="0" borderId="10" xfId="0" applyNumberFormat="1" applyFont="1" applyBorder="1"/>
    <xf numFmtId="0" fontId="55" fillId="0" borderId="9" xfId="0" applyFont="1" applyBorder="1"/>
    <xf numFmtId="3" fontId="55" fillId="0" borderId="9" xfId="0" applyNumberFormat="1" applyFont="1" applyBorder="1"/>
    <xf numFmtId="0" fontId="55" fillId="0" borderId="0" xfId="0" applyFont="1"/>
    <xf numFmtId="3" fontId="55" fillId="0" borderId="0" xfId="0" applyNumberFormat="1" applyFont="1"/>
    <xf numFmtId="0" fontId="55" fillId="0" borderId="0" xfId="0" applyFont="1" applyAlignment="1">
      <alignment horizontal="center"/>
    </xf>
    <xf numFmtId="0" fontId="55" fillId="0" borderId="9" xfId="0" applyFont="1" applyBorder="1" applyAlignment="1">
      <alignment horizontal="center"/>
    </xf>
    <xf numFmtId="168" fontId="31" fillId="2" borderId="0" xfId="1" applyNumberFormat="1" applyFont="1" applyFill="1" applyAlignment="1">
      <alignment horizontal="right" vertical="top" wrapText="1"/>
    </xf>
    <xf numFmtId="168" fontId="31" fillId="2" borderId="0" xfId="1" applyNumberFormat="1" applyFont="1" applyFill="1" applyAlignment="1">
      <alignment horizontal="right" vertical="center" wrapText="1"/>
    </xf>
    <xf numFmtId="3" fontId="55" fillId="2" borderId="0" xfId="0" applyNumberFormat="1" applyFont="1" applyFill="1"/>
    <xf numFmtId="168" fontId="31" fillId="4" borderId="0" xfId="1" applyNumberFormat="1" applyFont="1" applyFill="1" applyAlignment="1">
      <alignment horizontal="right" vertical="center" wrapText="1"/>
    </xf>
    <xf numFmtId="168" fontId="31" fillId="5" borderId="0" xfId="1" applyNumberFormat="1" applyFont="1" applyFill="1" applyAlignment="1">
      <alignment horizontal="right" vertical="center" wrapText="1"/>
    </xf>
    <xf numFmtId="3" fontId="55" fillId="5" borderId="0" xfId="0" applyNumberFormat="1" applyFont="1" applyFill="1"/>
    <xf numFmtId="3" fontId="55" fillId="4" borderId="0" xfId="0" applyNumberFormat="1" applyFont="1" applyFill="1"/>
    <xf numFmtId="0" fontId="20" fillId="0" borderId="9" xfId="0" applyFont="1" applyBorder="1" applyAlignment="1">
      <alignment horizontal="center"/>
    </xf>
    <xf numFmtId="0" fontId="31" fillId="0" borderId="1" xfId="0" applyFont="1" applyBorder="1" applyAlignment="1">
      <alignment vertical="top"/>
    </xf>
    <xf numFmtId="49" fontId="31" fillId="0" borderId="1" xfId="0" applyNumberFormat="1" applyFont="1" applyBorder="1" applyAlignment="1">
      <alignment horizontal="right" vertical="center"/>
    </xf>
    <xf numFmtId="3" fontId="31" fillId="0" borderId="0" xfId="0" applyNumberFormat="1" applyFont="1" applyAlignment="1">
      <alignment vertical="top"/>
    </xf>
    <xf numFmtId="0" fontId="41" fillId="0" borderId="9" xfId="0" applyFont="1" applyBorder="1" applyAlignment="1">
      <alignment vertical="center"/>
    </xf>
    <xf numFmtId="3" fontId="30" fillId="0" borderId="9" xfId="0" applyNumberFormat="1" applyFont="1" applyBorder="1" applyAlignment="1">
      <alignment horizontal="right" vertical="center"/>
    </xf>
    <xf numFmtId="49" fontId="30" fillId="0" borderId="9" xfId="0" applyNumberFormat="1" applyFont="1" applyBorder="1" applyAlignment="1">
      <alignment horizontal="right" vertical="center"/>
    </xf>
    <xf numFmtId="0" fontId="32" fillId="0" borderId="0" xfId="0" applyFont="1" applyBorder="1" applyAlignment="1">
      <alignment vertical="center"/>
    </xf>
    <xf numFmtId="0" fontId="30" fillId="0" borderId="0" xfId="0" applyFont="1" applyBorder="1" applyAlignment="1">
      <alignment horizontal="right" vertical="center"/>
    </xf>
    <xf numFmtId="0" fontId="31" fillId="0" borderId="0" xfId="0" applyFont="1" applyBorder="1" applyAlignment="1">
      <alignment horizontal="left" vertical="center" indent="3"/>
    </xf>
    <xf numFmtId="0" fontId="32" fillId="0" borderId="9" xfId="0" applyFont="1" applyBorder="1" applyAlignment="1">
      <alignment vertical="center"/>
    </xf>
    <xf numFmtId="0" fontId="30" fillId="0" borderId="9" xfId="0" applyFont="1" applyBorder="1" applyAlignment="1">
      <alignment horizontal="right" vertical="center"/>
    </xf>
    <xf numFmtId="0" fontId="31" fillId="0" borderId="9" xfId="0" applyFont="1" applyBorder="1"/>
    <xf numFmtId="49" fontId="42" fillId="0" borderId="0" xfId="1" applyNumberFormat="1" applyFont="1" applyBorder="1" applyAlignment="1">
      <alignment horizontal="right"/>
    </xf>
    <xf numFmtId="0" fontId="30" fillId="0" borderId="0" xfId="0" applyFont="1" applyAlignment="1">
      <alignment horizontal="center"/>
    </xf>
    <xf numFmtId="49" fontId="30" fillId="0" borderId="0" xfId="0" applyNumberFormat="1" applyFont="1" applyAlignment="1">
      <alignment horizontal="right"/>
    </xf>
    <xf numFmtId="49" fontId="31" fillId="0" borderId="1" xfId="1" applyNumberFormat="1" applyFont="1" applyBorder="1" applyAlignment="1">
      <alignment horizontal="right"/>
    </xf>
    <xf numFmtId="168" fontId="31" fillId="0" borderId="3" xfId="1" applyNumberFormat="1" applyFont="1" applyBorder="1" applyAlignment="1">
      <alignment horizontal="right" vertical="center" wrapText="1"/>
    </xf>
    <xf numFmtId="168" fontId="30" fillId="0" borderId="14" xfId="0" applyNumberFormat="1" applyFont="1" applyBorder="1"/>
    <xf numFmtId="0" fontId="35" fillId="0" borderId="0" xfId="0" applyFont="1" applyFill="1" applyBorder="1" applyAlignment="1">
      <alignment horizontal="right" vertical="top"/>
    </xf>
    <xf numFmtId="49" fontId="44" fillId="0" borderId="0" xfId="0" applyNumberFormat="1" applyFont="1" applyBorder="1" applyAlignment="1">
      <alignment horizontal="right" vertical="center"/>
    </xf>
    <xf numFmtId="49" fontId="43" fillId="0" borderId="0" xfId="0" applyNumberFormat="1" applyFont="1" applyBorder="1" applyAlignment="1">
      <alignment horizontal="right" vertical="center"/>
    </xf>
    <xf numFmtId="0" fontId="30" fillId="0" borderId="0" xfId="0" applyFont="1" applyBorder="1" applyAlignment="1">
      <alignment horizontal="right" vertical="center" wrapText="1"/>
    </xf>
    <xf numFmtId="168" fontId="31" fillId="2" borderId="0" xfId="1" applyNumberFormat="1" applyFont="1" applyFill="1" applyAlignment="1">
      <alignment horizontal="right" vertical="center"/>
    </xf>
    <xf numFmtId="0" fontId="31" fillId="0" borderId="0" xfId="0" applyFont="1" applyAlignment="1">
      <alignment horizontal="left"/>
    </xf>
    <xf numFmtId="14" fontId="31" fillId="0" borderId="0" xfId="0" applyNumberFormat="1" applyFont="1" applyAlignment="1">
      <alignment horizontal="center"/>
    </xf>
    <xf numFmtId="0" fontId="30" fillId="0" borderId="9" xfId="0" applyFont="1" applyBorder="1" applyAlignment="1">
      <alignment horizontal="center" vertical="center"/>
    </xf>
    <xf numFmtId="0" fontId="31" fillId="0" borderId="0" xfId="0" applyFont="1" applyBorder="1" applyAlignment="1">
      <alignment horizontal="left"/>
    </xf>
    <xf numFmtId="0" fontId="31" fillId="0" borderId="0" xfId="0" applyFont="1" applyBorder="1" applyAlignment="1"/>
    <xf numFmtId="0" fontId="31" fillId="0" borderId="1" xfId="0" applyFont="1" applyBorder="1" applyAlignment="1">
      <alignment vertical="center"/>
    </xf>
    <xf numFmtId="168" fontId="42" fillId="0" borderId="0" xfId="1" applyNumberFormat="1" applyFont="1" applyBorder="1" applyAlignment="1">
      <alignment horizontal="right" vertical="center" wrapText="1"/>
    </xf>
    <xf numFmtId="168" fontId="33" fillId="0" borderId="0" xfId="1" applyNumberFormat="1" applyFont="1" applyAlignment="1">
      <alignment vertical="center"/>
    </xf>
    <xf numFmtId="168" fontId="33" fillId="0" borderId="14" xfId="1" applyNumberFormat="1" applyFont="1" applyBorder="1" applyAlignment="1">
      <alignment vertical="center"/>
    </xf>
    <xf numFmtId="168" fontId="33" fillId="0" borderId="0" xfId="1" applyNumberFormat="1" applyFont="1" applyBorder="1" applyAlignment="1">
      <alignment vertical="center"/>
    </xf>
    <xf numFmtId="49" fontId="30" fillId="0" borderId="0" xfId="0" applyNumberFormat="1" applyFont="1" applyFill="1" applyAlignment="1">
      <alignment horizontal="center"/>
    </xf>
    <xf numFmtId="49" fontId="30" fillId="0" borderId="1" xfId="0" applyNumberFormat="1" applyFont="1" applyFill="1" applyBorder="1" applyAlignment="1">
      <alignment horizontal="center"/>
    </xf>
    <xf numFmtId="49" fontId="31" fillId="0" borderId="3" xfId="0" applyNumberFormat="1" applyFont="1" applyFill="1" applyBorder="1" applyAlignment="1">
      <alignment horizontal="center"/>
    </xf>
    <xf numFmtId="49" fontId="31" fillId="0" borderId="0" xfId="0" applyNumberFormat="1" applyFont="1" applyFill="1" applyBorder="1" applyAlignment="1">
      <alignment horizontal="center"/>
    </xf>
    <xf numFmtId="49" fontId="30" fillId="0" borderId="14" xfId="0" applyNumberFormat="1" applyFont="1" applyFill="1" applyBorder="1" applyAlignment="1">
      <alignment horizontal="center"/>
    </xf>
    <xf numFmtId="49" fontId="31" fillId="0" borderId="0" xfId="0" applyNumberFormat="1" applyFont="1" applyFill="1" applyAlignment="1">
      <alignment horizontal="center"/>
    </xf>
    <xf numFmtId="49" fontId="30" fillId="0" borderId="3" xfId="0" applyNumberFormat="1" applyFont="1" applyFill="1" applyBorder="1" applyAlignment="1">
      <alignment horizontal="center"/>
    </xf>
    <xf numFmtId="49" fontId="32" fillId="0" borderId="9" xfId="0" applyNumberFormat="1" applyFont="1" applyFill="1" applyBorder="1" applyAlignment="1">
      <alignment horizontal="center"/>
    </xf>
    <xf numFmtId="49" fontId="32" fillId="0" borderId="3" xfId="0" applyNumberFormat="1" applyFont="1" applyFill="1" applyBorder="1" applyAlignment="1">
      <alignment horizontal="center"/>
    </xf>
    <xf numFmtId="49" fontId="30" fillId="0" borderId="0" xfId="0" applyNumberFormat="1" applyFont="1" applyFill="1" applyBorder="1" applyAlignment="1">
      <alignment horizontal="center"/>
    </xf>
    <xf numFmtId="49" fontId="31" fillId="0" borderId="1" xfId="0" applyNumberFormat="1" applyFont="1" applyFill="1" applyBorder="1" applyAlignment="1">
      <alignment horizontal="center"/>
    </xf>
    <xf numFmtId="49" fontId="31" fillId="0" borderId="0" xfId="0" applyNumberFormat="1" applyFont="1" applyFill="1" applyAlignment="1">
      <alignment horizontal="center" vertical="center" wrapText="1"/>
    </xf>
    <xf numFmtId="49" fontId="31" fillId="0" borderId="0" xfId="0" applyNumberFormat="1" applyFont="1" applyFill="1" applyBorder="1" applyAlignment="1">
      <alignment horizontal="center" vertical="center" wrapText="1"/>
    </xf>
    <xf numFmtId="49" fontId="30" fillId="0" borderId="14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Alignment="1">
      <alignment horizontal="center" vertical="top"/>
    </xf>
    <xf numFmtId="49" fontId="31" fillId="0" borderId="14" xfId="0" applyNumberFormat="1" applyFont="1" applyFill="1" applyBorder="1" applyAlignment="1">
      <alignment horizontal="center"/>
    </xf>
    <xf numFmtId="49" fontId="35" fillId="0" borderId="0" xfId="0" applyNumberFormat="1" applyFont="1" applyFill="1" applyAlignment="1">
      <alignment horizontal="center" vertical="center"/>
    </xf>
    <xf numFmtId="49" fontId="46" fillId="0" borderId="14" xfId="0" applyNumberFormat="1" applyFont="1" applyFill="1" applyBorder="1" applyAlignment="1">
      <alignment horizontal="center" vertical="center"/>
    </xf>
    <xf numFmtId="49" fontId="33" fillId="0" borderId="0" xfId="0" applyNumberFormat="1" applyFont="1" applyFill="1" applyAlignment="1">
      <alignment horizontal="center" vertical="center"/>
    </xf>
    <xf numFmtId="49" fontId="47" fillId="0" borderId="0" xfId="0" applyNumberFormat="1" applyFont="1" applyFill="1" applyAlignment="1">
      <alignment horizontal="center" vertical="center"/>
    </xf>
    <xf numFmtId="49" fontId="48" fillId="0" borderId="0" xfId="0" applyNumberFormat="1" applyFont="1" applyFill="1" applyAlignment="1">
      <alignment horizontal="center" vertical="center"/>
    </xf>
    <xf numFmtId="49" fontId="48" fillId="0" borderId="9" xfId="0" applyNumberFormat="1" applyFont="1" applyFill="1" applyBorder="1" applyAlignment="1">
      <alignment horizontal="center" vertical="center"/>
    </xf>
    <xf numFmtId="49" fontId="48" fillId="0" borderId="9" xfId="0" applyNumberFormat="1" applyFont="1" applyFill="1" applyBorder="1" applyAlignment="1">
      <alignment horizontal="center" wrapText="1"/>
    </xf>
    <xf numFmtId="49" fontId="31" fillId="0" borderId="0" xfId="0" applyNumberFormat="1" applyFont="1" applyFill="1" applyBorder="1" applyAlignment="1">
      <alignment horizontal="center" vertical="center"/>
    </xf>
    <xf numFmtId="49" fontId="31" fillId="0" borderId="3" xfId="0" applyNumberFormat="1" applyFont="1" applyFill="1" applyBorder="1" applyAlignment="1">
      <alignment horizontal="center" vertical="center"/>
    </xf>
    <xf numFmtId="49" fontId="30" fillId="0" borderId="14" xfId="0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center"/>
    </xf>
    <xf numFmtId="49" fontId="44" fillId="0" borderId="0" xfId="0" applyNumberFormat="1" applyFont="1" applyFill="1" applyAlignment="1">
      <alignment horizontal="center" vertical="center"/>
    </xf>
    <xf numFmtId="49" fontId="33" fillId="0" borderId="1" xfId="0" applyNumberFormat="1" applyFont="1" applyFill="1" applyBorder="1" applyAlignment="1">
      <alignment horizontal="center"/>
    </xf>
    <xf numFmtId="49" fontId="30" fillId="0" borderId="0" xfId="0" applyNumberFormat="1" applyFont="1" applyFill="1" applyAlignment="1">
      <alignment horizontal="center" vertical="center"/>
    </xf>
    <xf numFmtId="49" fontId="31" fillId="0" borderId="0" xfId="0" applyNumberFormat="1" applyFont="1" applyFill="1" applyAlignment="1">
      <alignment horizontal="center" vertical="center"/>
    </xf>
    <xf numFmtId="49" fontId="29" fillId="0" borderId="0" xfId="0" applyNumberFormat="1" applyFont="1" applyFill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top"/>
    </xf>
    <xf numFmtId="49" fontId="30" fillId="0" borderId="9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center"/>
    </xf>
    <xf numFmtId="49" fontId="42" fillId="0" borderId="0" xfId="0" applyNumberFormat="1" applyFont="1" applyFill="1" applyAlignment="1">
      <alignment horizontal="center"/>
    </xf>
    <xf numFmtId="49" fontId="31" fillId="0" borderId="9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top" wrapText="1"/>
    </xf>
    <xf numFmtId="0" fontId="31" fillId="0" borderId="0" xfId="0" applyFont="1" applyFill="1" applyBorder="1" applyAlignment="1">
      <alignment horizontal="center" vertical="top"/>
    </xf>
    <xf numFmtId="0" fontId="31" fillId="0" borderId="0" xfId="0" applyFont="1" applyFill="1" applyBorder="1" applyAlignment="1">
      <alignment horizontal="center" vertical="top" wrapText="1"/>
    </xf>
    <xf numFmtId="0" fontId="31" fillId="0" borderId="1" xfId="0" applyFont="1" applyFill="1" applyBorder="1" applyAlignment="1">
      <alignment horizontal="center" vertical="top"/>
    </xf>
    <xf numFmtId="0" fontId="44" fillId="0" borderId="14" xfId="0" applyFont="1" applyFill="1" applyBorder="1" applyAlignment="1">
      <alignment horizontal="center" vertical="center"/>
    </xf>
    <xf numFmtId="49" fontId="43" fillId="0" borderId="0" xfId="0" applyNumberFormat="1" applyFont="1" applyFill="1" applyAlignment="1">
      <alignment horizontal="center" vertical="center"/>
    </xf>
    <xf numFmtId="49" fontId="35" fillId="0" borderId="0" xfId="0" applyNumberFormat="1" applyFont="1" applyFill="1" applyBorder="1" applyAlignment="1">
      <alignment horizontal="center" vertical="center"/>
    </xf>
    <xf numFmtId="49" fontId="31" fillId="0" borderId="14" xfId="0" applyNumberFormat="1" applyFont="1" applyFill="1" applyBorder="1" applyAlignment="1">
      <alignment horizontal="center" vertical="top"/>
    </xf>
    <xf numFmtId="0" fontId="31" fillId="0" borderId="9" xfId="0" applyFont="1" applyFill="1" applyBorder="1" applyAlignment="1">
      <alignment horizontal="center" vertical="center"/>
    </xf>
    <xf numFmtId="0" fontId="30" fillId="0" borderId="14" xfId="0" applyFont="1" applyFill="1" applyBorder="1" applyAlignment="1">
      <alignment horizontal="center" vertical="center" wrapText="1"/>
    </xf>
    <xf numFmtId="49" fontId="35" fillId="0" borderId="14" xfId="0" applyNumberFormat="1" applyFont="1" applyFill="1" applyBorder="1" applyAlignment="1">
      <alignment horizontal="center" vertical="center"/>
    </xf>
    <xf numFmtId="49" fontId="44" fillId="0" borderId="14" xfId="0" applyNumberFormat="1" applyFont="1" applyFill="1" applyBorder="1" applyAlignment="1">
      <alignment horizontal="center" vertical="center"/>
    </xf>
    <xf numFmtId="49" fontId="48" fillId="0" borderId="14" xfId="0" applyNumberFormat="1" applyFont="1" applyFill="1" applyBorder="1" applyAlignment="1">
      <alignment horizontal="center" vertical="center"/>
    </xf>
    <xf numFmtId="49" fontId="33" fillId="0" borderId="0" xfId="0" applyNumberFormat="1" applyFont="1" applyFill="1" applyBorder="1" applyAlignment="1">
      <alignment horizontal="center"/>
    </xf>
    <xf numFmtId="49" fontId="46" fillId="0" borderId="0" xfId="0" applyNumberFormat="1" applyFont="1" applyFill="1" applyBorder="1" applyAlignment="1">
      <alignment horizontal="center" vertical="center"/>
    </xf>
    <xf numFmtId="170" fontId="31" fillId="0" borderId="0" xfId="20" applyNumberFormat="1" applyFont="1" applyBorder="1"/>
    <xf numFmtId="168" fontId="31" fillId="0" borderId="0" xfId="1" applyNumberFormat="1" applyFont="1" applyAlignment="1"/>
    <xf numFmtId="3" fontId="31" fillId="0" borderId="0" xfId="0" applyNumberFormat="1" applyFont="1" applyAlignment="1"/>
    <xf numFmtId="0" fontId="54" fillId="0" borderId="0" xfId="0" applyFont="1" applyBorder="1"/>
    <xf numFmtId="166" fontId="31" fillId="0" borderId="0" xfId="1" applyFont="1" applyFill="1"/>
    <xf numFmtId="166" fontId="42" fillId="0" borderId="0" xfId="1" applyFont="1" applyFill="1" applyBorder="1"/>
    <xf numFmtId="0" fontId="26" fillId="0" borderId="0" xfId="29" applyFont="1" applyFill="1"/>
    <xf numFmtId="43" fontId="26" fillId="0" borderId="0" xfId="29" applyNumberFormat="1" applyFont="1" applyFill="1"/>
    <xf numFmtId="43" fontId="26" fillId="0" borderId="0" xfId="30" applyFont="1" applyFill="1"/>
    <xf numFmtId="171" fontId="20" fillId="0" borderId="16" xfId="30" applyNumberFormat="1" applyFont="1" applyFill="1" applyBorder="1" applyAlignment="1">
      <alignment horizontal="center"/>
    </xf>
    <xf numFmtId="0" fontId="20" fillId="0" borderId="16" xfId="29" applyFont="1" applyFill="1" applyBorder="1" applyAlignment="1">
      <alignment horizontal="center"/>
    </xf>
    <xf numFmtId="171" fontId="55" fillId="0" borderId="21" xfId="30" applyNumberFormat="1" applyFont="1" applyFill="1" applyBorder="1"/>
    <xf numFmtId="43" fontId="55" fillId="0" borderId="21" xfId="30" quotePrefix="1" applyFont="1" applyFill="1" applyBorder="1"/>
    <xf numFmtId="0" fontId="55" fillId="0" borderId="21" xfId="29" applyFont="1" applyFill="1" applyBorder="1" applyAlignment="1">
      <alignment horizontal="center"/>
    </xf>
    <xf numFmtId="171" fontId="18" fillId="0" borderId="20" xfId="30" applyNumberFormat="1" applyFont="1" applyFill="1" applyBorder="1"/>
    <xf numFmtId="43" fontId="18" fillId="0" borderId="18" xfId="30" quotePrefix="1" applyFont="1" applyFill="1" applyBorder="1"/>
    <xf numFmtId="43" fontId="18" fillId="0" borderId="20" xfId="30" quotePrefix="1" applyFont="1" applyFill="1" applyBorder="1"/>
    <xf numFmtId="0" fontId="18" fillId="0" borderId="18" xfId="29" applyFont="1" applyFill="1" applyBorder="1" applyAlignment="1">
      <alignment horizontal="center"/>
    </xf>
    <xf numFmtId="0" fontId="18" fillId="0" borderId="15" xfId="29" applyFont="1" applyFill="1" applyBorder="1" applyAlignment="1">
      <alignment horizontal="center"/>
    </xf>
    <xf numFmtId="0" fontId="18" fillId="0" borderId="20" xfId="29" applyFont="1" applyFill="1" applyBorder="1" applyAlignment="1">
      <alignment horizontal="center"/>
    </xf>
    <xf numFmtId="171" fontId="18" fillId="0" borderId="19" xfId="30" applyNumberFormat="1" applyFont="1" applyFill="1" applyBorder="1"/>
    <xf numFmtId="43" fontId="18" fillId="0" borderId="19" xfId="30" quotePrefix="1" applyFont="1" applyFill="1" applyBorder="1"/>
    <xf numFmtId="0" fontId="18" fillId="0" borderId="19" xfId="29" applyFont="1" applyFill="1" applyBorder="1" applyAlignment="1">
      <alignment horizontal="center"/>
    </xf>
    <xf numFmtId="0" fontId="18" fillId="0" borderId="18" xfId="30" quotePrefix="1" applyNumberFormat="1" applyFont="1" applyFill="1" applyBorder="1" applyAlignment="1">
      <alignment horizontal="left"/>
    </xf>
    <xf numFmtId="0" fontId="18" fillId="0" borderId="19" xfId="30" quotePrefix="1" applyNumberFormat="1" applyFont="1" applyFill="1" applyBorder="1" applyAlignment="1">
      <alignment horizontal="left"/>
    </xf>
    <xf numFmtId="171" fontId="18" fillId="0" borderId="18" xfId="30" applyNumberFormat="1" applyFont="1" applyFill="1" applyBorder="1"/>
    <xf numFmtId="43" fontId="18" fillId="0" borderId="15" xfId="30" quotePrefix="1" applyFont="1" applyFill="1" applyBorder="1"/>
    <xf numFmtId="171" fontId="18" fillId="0" borderId="19" xfId="30" quotePrefix="1" applyNumberFormat="1" applyFont="1" applyFill="1" applyBorder="1"/>
    <xf numFmtId="43" fontId="18" fillId="0" borderId="19" xfId="30" applyFont="1" applyFill="1" applyBorder="1"/>
    <xf numFmtId="171" fontId="18" fillId="0" borderId="19" xfId="30" quotePrefix="1" applyNumberFormat="1" applyFont="1" applyFill="1" applyBorder="1" applyAlignment="1">
      <alignment horizontal="center"/>
    </xf>
    <xf numFmtId="0" fontId="20" fillId="0" borderId="8" xfId="30" applyNumberFormat="1" applyFont="1" applyFill="1" applyBorder="1" applyAlignment="1">
      <alignment horizontal="center" vertical="center"/>
    </xf>
    <xf numFmtId="0" fontId="20" fillId="0" borderId="8" xfId="29" applyFont="1" applyFill="1" applyBorder="1" applyAlignment="1">
      <alignment horizontal="center" vertical="center"/>
    </xf>
    <xf numFmtId="0" fontId="26" fillId="0" borderId="0" xfId="29" applyFont="1"/>
    <xf numFmtId="43" fontId="26" fillId="0" borderId="0" xfId="29" applyNumberFormat="1" applyFont="1"/>
    <xf numFmtId="0" fontId="34" fillId="0" borderId="0" xfId="29" applyFont="1"/>
    <xf numFmtId="43" fontId="26" fillId="0" borderId="0" xfId="30" applyFont="1"/>
    <xf numFmtId="171" fontId="26" fillId="0" borderId="0" xfId="30" applyNumberFormat="1" applyFont="1"/>
    <xf numFmtId="171" fontId="20" fillId="0" borderId="24" xfId="30" applyNumberFormat="1" applyFont="1" applyFill="1" applyBorder="1"/>
    <xf numFmtId="43" fontId="20" fillId="0" borderId="24" xfId="30" quotePrefix="1" applyFont="1" applyFill="1" applyBorder="1"/>
    <xf numFmtId="0" fontId="20" fillId="0" borderId="24" xfId="29" applyFont="1" applyFill="1" applyBorder="1" applyAlignment="1">
      <alignment horizontal="center"/>
    </xf>
    <xf numFmtId="171" fontId="18" fillId="0" borderId="25" xfId="30" applyNumberFormat="1" applyFont="1" applyFill="1" applyBorder="1"/>
    <xf numFmtId="43" fontId="18" fillId="0" borderId="25" xfId="30" quotePrefix="1" applyFont="1" applyFill="1" applyBorder="1"/>
    <xf numFmtId="0" fontId="18" fillId="0" borderId="25" xfId="29" applyFont="1" applyFill="1" applyBorder="1" applyAlignment="1">
      <alignment horizontal="center"/>
    </xf>
    <xf numFmtId="43" fontId="18" fillId="0" borderId="17" xfId="30" applyNumberFormat="1" applyFont="1" applyFill="1" applyBorder="1"/>
    <xf numFmtId="171" fontId="18" fillId="0" borderId="22" xfId="30" applyNumberFormat="1" applyFont="1" applyFill="1" applyBorder="1"/>
    <xf numFmtId="43" fontId="18" fillId="0" borderId="22" xfId="30" quotePrefix="1" applyFont="1" applyFill="1" applyBorder="1"/>
    <xf numFmtId="0" fontId="18" fillId="0" borderId="22" xfId="29" applyFont="1" applyFill="1" applyBorder="1" applyAlignment="1">
      <alignment horizontal="center"/>
    </xf>
    <xf numFmtId="171" fontId="18" fillId="0" borderId="23" xfId="30" applyNumberFormat="1" applyFont="1" applyFill="1" applyBorder="1"/>
    <xf numFmtId="43" fontId="18" fillId="0" borderId="23" xfId="30" quotePrefix="1" applyFont="1" applyFill="1" applyBorder="1"/>
    <xf numFmtId="0" fontId="18" fillId="0" borderId="23" xfId="29" applyFont="1" applyFill="1" applyBorder="1" applyAlignment="1">
      <alignment horizontal="center"/>
    </xf>
    <xf numFmtId="0" fontId="34" fillId="0" borderId="0" xfId="29" applyFont="1" applyAlignment="1">
      <alignment horizontal="left" vertical="center" indent="1"/>
    </xf>
    <xf numFmtId="166" fontId="30" fillId="0" borderId="0" xfId="1" applyFont="1" applyBorder="1" applyAlignment="1">
      <alignment horizontal="right" vertical="center"/>
    </xf>
    <xf numFmtId="3" fontId="30" fillId="0" borderId="1" xfId="0" applyNumberFormat="1" applyFont="1" applyBorder="1" applyAlignment="1">
      <alignment horizontal="center" vertical="center"/>
    </xf>
    <xf numFmtId="0" fontId="56" fillId="0" borderId="0" xfId="25" applyFont="1" applyBorder="1" applyAlignment="1">
      <alignment horizontal="left"/>
    </xf>
    <xf numFmtId="168" fontId="53" fillId="0" borderId="0" xfId="27" applyNumberFormat="1" applyFont="1"/>
    <xf numFmtId="0" fontId="33" fillId="0" borderId="0" xfId="25" applyNumberFormat="1" applyFont="1" applyBorder="1" applyAlignment="1">
      <alignment horizontal="left" indent="1"/>
    </xf>
    <xf numFmtId="0" fontId="33" fillId="0" borderId="0" xfId="25" applyNumberFormat="1" applyFont="1" applyBorder="1" applyAlignment="1">
      <alignment horizontal="left"/>
    </xf>
    <xf numFmtId="0" fontId="34" fillId="0" borderId="0" xfId="25" applyFont="1" applyBorder="1" applyAlignment="1">
      <alignment horizontal="left" indent="1"/>
    </xf>
    <xf numFmtId="164" fontId="33" fillId="0" borderId="0" xfId="27" applyNumberFormat="1" applyFont="1" applyAlignment="1">
      <alignment horizontal="right"/>
    </xf>
    <xf numFmtId="164" fontId="31" fillId="0" borderId="0" xfId="27" applyNumberFormat="1" applyFont="1" applyAlignment="1">
      <alignment horizontal="right"/>
    </xf>
    <xf numFmtId="164" fontId="34" fillId="0" borderId="9" xfId="27" applyNumberFormat="1" applyFont="1" applyBorder="1" applyAlignment="1">
      <alignment horizontal="right"/>
    </xf>
    <xf numFmtId="164" fontId="30" fillId="0" borderId="9" xfId="27" applyNumberFormat="1" applyFont="1" applyBorder="1" applyAlignment="1">
      <alignment horizontal="right"/>
    </xf>
    <xf numFmtId="164" fontId="34" fillId="0" borderId="0" xfId="27" applyNumberFormat="1" applyFont="1" applyAlignment="1">
      <alignment horizontal="right"/>
    </xf>
    <xf numFmtId="164" fontId="30" fillId="0" borderId="0" xfId="27" applyNumberFormat="1" applyFont="1" applyAlignment="1">
      <alignment horizontal="right"/>
    </xf>
    <xf numFmtId="164" fontId="34" fillId="0" borderId="3" xfId="27" applyNumberFormat="1" applyFont="1" applyBorder="1" applyAlignment="1">
      <alignment horizontal="right"/>
    </xf>
    <xf numFmtId="164" fontId="30" fillId="0" borderId="3" xfId="27" applyNumberFormat="1" applyFont="1" applyBorder="1" applyAlignment="1">
      <alignment horizontal="right"/>
    </xf>
    <xf numFmtId="164" fontId="33" fillId="0" borderId="9" xfId="27" applyNumberFormat="1" applyFont="1" applyBorder="1" applyAlignment="1">
      <alignment horizontal="right"/>
    </xf>
    <xf numFmtId="164" fontId="33" fillId="0" borderId="0" xfId="27" applyNumberFormat="1" applyFont="1"/>
    <xf numFmtId="164" fontId="31" fillId="0" borderId="0" xfId="27" applyNumberFormat="1" applyFont="1"/>
    <xf numFmtId="164" fontId="38" fillId="0" borderId="0" xfId="27" applyNumberFormat="1" applyFont="1"/>
    <xf numFmtId="164" fontId="34" fillId="0" borderId="9" xfId="27" applyNumberFormat="1" applyFont="1" applyBorder="1"/>
    <xf numFmtId="164" fontId="34" fillId="0" borderId="3" xfId="27" applyNumberFormat="1" applyFont="1" applyBorder="1"/>
    <xf numFmtId="164" fontId="34" fillId="0" borderId="10" xfId="27" applyNumberFormat="1" applyFont="1" applyBorder="1"/>
    <xf numFmtId="0" fontId="32" fillId="0" borderId="0" xfId="26" applyNumberFormat="1" applyFont="1" applyBorder="1" applyAlignment="1">
      <alignment horizontal="left"/>
    </xf>
    <xf numFmtId="0" fontId="34" fillId="0" borderId="0" xfId="25" applyFont="1" applyBorder="1" applyAlignment="1">
      <alignment horizontal="center"/>
    </xf>
    <xf numFmtId="0" fontId="33" fillId="0" borderId="0" xfId="25" applyFont="1" applyBorder="1" applyAlignment="1">
      <alignment horizontal="center"/>
    </xf>
    <xf numFmtId="0" fontId="34" fillId="0" borderId="0" xfId="25" applyFont="1" applyBorder="1" applyAlignment="1">
      <alignment horizontal="center" vertical="center"/>
    </xf>
    <xf numFmtId="0" fontId="34" fillId="0" borderId="1" xfId="25" applyFont="1" applyBorder="1" applyAlignment="1">
      <alignment horizontal="center" vertical="center"/>
    </xf>
    <xf numFmtId="168" fontId="34" fillId="0" borderId="1" xfId="27" applyNumberFormat="1" applyFont="1" applyBorder="1" applyAlignment="1">
      <alignment horizontal="center" vertical="center"/>
    </xf>
    <xf numFmtId="168" fontId="34" fillId="0" borderId="0" xfId="27" applyNumberFormat="1" applyFont="1" applyBorder="1" applyAlignment="1">
      <alignment horizontal="center" vertical="center" wrapText="1"/>
    </xf>
    <xf numFmtId="168" fontId="34" fillId="0" borderId="1" xfId="27" applyNumberFormat="1" applyFont="1" applyBorder="1" applyAlignment="1">
      <alignment horizontal="center" vertical="center" wrapText="1"/>
    </xf>
    <xf numFmtId="168" fontId="30" fillId="0" borderId="0" xfId="27" applyNumberFormat="1" applyFont="1" applyBorder="1" applyAlignment="1">
      <alignment horizontal="center" vertical="center"/>
    </xf>
    <xf numFmtId="168" fontId="30" fillId="0" borderId="1" xfId="27" applyNumberFormat="1" applyFont="1" applyBorder="1" applyAlignment="1">
      <alignment horizontal="center" vertical="center"/>
    </xf>
    <xf numFmtId="49" fontId="51" fillId="0" borderId="0" xfId="0" applyNumberFormat="1" applyFont="1" applyAlignment="1">
      <alignment horizontal="center" vertical="top"/>
    </xf>
    <xf numFmtId="0" fontId="31" fillId="0" borderId="1" xfId="0" applyFont="1" applyBorder="1" applyAlignment="1">
      <alignment vertical="center"/>
    </xf>
    <xf numFmtId="0" fontId="17" fillId="0" borderId="8" xfId="2" applyFont="1" applyFill="1" applyBorder="1" applyAlignment="1">
      <alignment horizontal="center"/>
    </xf>
    <xf numFmtId="0" fontId="17" fillId="0" borderId="8" xfId="2" applyFont="1" applyFill="1" applyBorder="1" applyAlignment="1">
      <alignment horizontal="center" vertical="center"/>
    </xf>
    <xf numFmtId="0" fontId="17" fillId="0" borderId="11" xfId="2" applyFont="1" applyFill="1" applyBorder="1" applyAlignment="1">
      <alignment horizontal="center"/>
    </xf>
    <xf numFmtId="0" fontId="17" fillId="0" borderId="12" xfId="2" applyFont="1" applyFill="1" applyBorder="1" applyAlignment="1">
      <alignment horizontal="center"/>
    </xf>
  </cellXfs>
  <cellStyles count="147">
    <cellStyle name="Comma" xfId="1" builtinId="3"/>
    <cellStyle name="Comma 10" xfId="30" xr:uid="{00000000-0005-0000-0000-000001000000}"/>
    <cellStyle name="Comma 10 2" xfId="56" xr:uid="{00000000-0005-0000-0000-000002000000}"/>
    <cellStyle name="Comma 10 2 2" xfId="146" xr:uid="{00000000-0005-0000-0000-000003000000}"/>
    <cellStyle name="Comma 10 2 3" xfId="58" xr:uid="{00000000-0005-0000-0000-000004000000}"/>
    <cellStyle name="Comma 10 3" xfId="123" xr:uid="{00000000-0005-0000-0000-000005000000}"/>
    <cellStyle name="Comma 10 4" xfId="57" xr:uid="{00000000-0005-0000-0000-000006000000}"/>
    <cellStyle name="Comma 11" xfId="33" xr:uid="{00000000-0005-0000-0000-000007000000}"/>
    <cellStyle name="Comma 2" xfId="4" xr:uid="{00000000-0005-0000-0000-000008000000}"/>
    <cellStyle name="Comma 2 2" xfId="6" xr:uid="{00000000-0005-0000-0000-000009000000}"/>
    <cellStyle name="Comma 3" xfId="8" xr:uid="{00000000-0005-0000-0000-00000A000000}"/>
    <cellStyle name="Comma 3 2" xfId="13" xr:uid="{00000000-0005-0000-0000-00000B000000}"/>
    <cellStyle name="Comma 3 2 2" xfId="28" xr:uid="{00000000-0005-0000-0000-00000C000000}"/>
    <cellStyle name="Comma 3 2 2 2" xfId="54" xr:uid="{00000000-0005-0000-0000-00000D000000}"/>
    <cellStyle name="Comma 3 2 2 2 2" xfId="144" xr:uid="{00000000-0005-0000-0000-00000E000000}"/>
    <cellStyle name="Comma 3 2 2 2 3" xfId="62" xr:uid="{00000000-0005-0000-0000-00000F000000}"/>
    <cellStyle name="Comma 3 2 2 3" xfId="121" xr:uid="{00000000-0005-0000-0000-000010000000}"/>
    <cellStyle name="Comma 3 2 2 4" xfId="61" xr:uid="{00000000-0005-0000-0000-000011000000}"/>
    <cellStyle name="Comma 3 2 3" xfId="39" xr:uid="{00000000-0005-0000-0000-000012000000}"/>
    <cellStyle name="Comma 3 2 3 2" xfId="130" xr:uid="{00000000-0005-0000-0000-000013000000}"/>
    <cellStyle name="Comma 3 2 3 3" xfId="63" xr:uid="{00000000-0005-0000-0000-000014000000}"/>
    <cellStyle name="Comma 3 2 4" xfId="107" xr:uid="{00000000-0005-0000-0000-000015000000}"/>
    <cellStyle name="Comma 3 2 5" xfId="60" xr:uid="{00000000-0005-0000-0000-000016000000}"/>
    <cellStyle name="Comma 3 3" xfId="35" xr:uid="{00000000-0005-0000-0000-000017000000}"/>
    <cellStyle name="Comma 3 3 2" xfId="126" xr:uid="{00000000-0005-0000-0000-000018000000}"/>
    <cellStyle name="Comma 3 3 3" xfId="64" xr:uid="{00000000-0005-0000-0000-000019000000}"/>
    <cellStyle name="Comma 3 4" xfId="103" xr:uid="{00000000-0005-0000-0000-00001A000000}"/>
    <cellStyle name="Comma 3 5" xfId="59" xr:uid="{00000000-0005-0000-0000-00001B000000}"/>
    <cellStyle name="Comma 4" xfId="11" xr:uid="{00000000-0005-0000-0000-00001C000000}"/>
    <cellStyle name="Comma 4 2" xfId="27" xr:uid="{00000000-0005-0000-0000-00001D000000}"/>
    <cellStyle name="Comma 4 2 2" xfId="53" xr:uid="{00000000-0005-0000-0000-00001E000000}"/>
    <cellStyle name="Comma 4 2 2 2" xfId="143" xr:uid="{00000000-0005-0000-0000-00001F000000}"/>
    <cellStyle name="Comma 4 2 2 3" xfId="67" xr:uid="{00000000-0005-0000-0000-000020000000}"/>
    <cellStyle name="Comma 4 2 3" xfId="120" xr:uid="{00000000-0005-0000-0000-000021000000}"/>
    <cellStyle name="Comma 4 2 4" xfId="66" xr:uid="{00000000-0005-0000-0000-000022000000}"/>
    <cellStyle name="Comma 4 3" xfId="37" xr:uid="{00000000-0005-0000-0000-000023000000}"/>
    <cellStyle name="Comma 4 3 2" xfId="128" xr:uid="{00000000-0005-0000-0000-000024000000}"/>
    <cellStyle name="Comma 4 3 3" xfId="68" xr:uid="{00000000-0005-0000-0000-000025000000}"/>
    <cellStyle name="Comma 4 4" xfId="105" xr:uid="{00000000-0005-0000-0000-000026000000}"/>
    <cellStyle name="Comma 4 5" xfId="65" xr:uid="{00000000-0005-0000-0000-000027000000}"/>
    <cellStyle name="Comma 5" xfId="15" xr:uid="{00000000-0005-0000-0000-000028000000}"/>
    <cellStyle name="Comma 5 2" xfId="41" xr:uid="{00000000-0005-0000-0000-000029000000}"/>
    <cellStyle name="Comma 5 2 2" xfId="132" xr:uid="{00000000-0005-0000-0000-00002A000000}"/>
    <cellStyle name="Comma 5 2 3" xfId="70" xr:uid="{00000000-0005-0000-0000-00002B000000}"/>
    <cellStyle name="Comma 5 3" xfId="109" xr:uid="{00000000-0005-0000-0000-00002C000000}"/>
    <cellStyle name="Comma 5 4" xfId="69" xr:uid="{00000000-0005-0000-0000-00002D000000}"/>
    <cellStyle name="Comma 6" xfId="17" xr:uid="{00000000-0005-0000-0000-00002E000000}"/>
    <cellStyle name="Comma 6 2" xfId="43" xr:uid="{00000000-0005-0000-0000-00002F000000}"/>
    <cellStyle name="Comma 6 2 2" xfId="134" xr:uid="{00000000-0005-0000-0000-000030000000}"/>
    <cellStyle name="Comma 6 2 3" xfId="72" xr:uid="{00000000-0005-0000-0000-000031000000}"/>
    <cellStyle name="Comma 6 3" xfId="111" xr:uid="{00000000-0005-0000-0000-000032000000}"/>
    <cellStyle name="Comma 6 4" xfId="71" xr:uid="{00000000-0005-0000-0000-000033000000}"/>
    <cellStyle name="Comma 7" xfId="19" xr:uid="{00000000-0005-0000-0000-000034000000}"/>
    <cellStyle name="Comma 7 2" xfId="45" xr:uid="{00000000-0005-0000-0000-000035000000}"/>
    <cellStyle name="Comma 7 2 2" xfId="136" xr:uid="{00000000-0005-0000-0000-000036000000}"/>
    <cellStyle name="Comma 7 2 3" xfId="74" xr:uid="{00000000-0005-0000-0000-000037000000}"/>
    <cellStyle name="Comma 7 3" xfId="113" xr:uid="{00000000-0005-0000-0000-000038000000}"/>
    <cellStyle name="Comma 7 4" xfId="73" xr:uid="{00000000-0005-0000-0000-000039000000}"/>
    <cellStyle name="Comma 8" xfId="22" xr:uid="{00000000-0005-0000-0000-00003A000000}"/>
    <cellStyle name="Comma 8 2" xfId="48" xr:uid="{00000000-0005-0000-0000-00003B000000}"/>
    <cellStyle name="Comma 8 2 2" xfId="138" xr:uid="{00000000-0005-0000-0000-00003C000000}"/>
    <cellStyle name="Comma 8 2 3" xfId="76" xr:uid="{00000000-0005-0000-0000-00003D000000}"/>
    <cellStyle name="Comma 8 3" xfId="115" xr:uid="{00000000-0005-0000-0000-00003E000000}"/>
    <cellStyle name="Comma 8 4" xfId="75" xr:uid="{00000000-0005-0000-0000-00003F000000}"/>
    <cellStyle name="Comma 9" xfId="24" xr:uid="{00000000-0005-0000-0000-000040000000}"/>
    <cellStyle name="Comma 9 2" xfId="50" xr:uid="{00000000-0005-0000-0000-000041000000}"/>
    <cellStyle name="Comma 9 2 2" xfId="140" xr:uid="{00000000-0005-0000-0000-000042000000}"/>
    <cellStyle name="Comma 9 2 3" xfId="78" xr:uid="{00000000-0005-0000-0000-000043000000}"/>
    <cellStyle name="Comma 9 3" xfId="117" xr:uid="{00000000-0005-0000-0000-000044000000}"/>
    <cellStyle name="Comma 9 4" xfId="77" xr:uid="{00000000-0005-0000-0000-000045000000}"/>
    <cellStyle name="Excel Built-in Comma" xfId="9" xr:uid="{00000000-0005-0000-0000-000046000000}"/>
    <cellStyle name="Normal" xfId="0" builtinId="0"/>
    <cellStyle name="Normal 10" xfId="23" xr:uid="{00000000-0005-0000-0000-000048000000}"/>
    <cellStyle name="Normal 10 2" xfId="49" xr:uid="{00000000-0005-0000-0000-000049000000}"/>
    <cellStyle name="Normal 10 2 2" xfId="139" xr:uid="{00000000-0005-0000-0000-00004A000000}"/>
    <cellStyle name="Normal 10 2 3" xfId="80" xr:uid="{00000000-0005-0000-0000-00004B000000}"/>
    <cellStyle name="Normal 10 3" xfId="116" xr:uid="{00000000-0005-0000-0000-00004C000000}"/>
    <cellStyle name="Normal 10 4" xfId="79" xr:uid="{00000000-0005-0000-0000-00004D000000}"/>
    <cellStyle name="Normal 11" xfId="29" xr:uid="{00000000-0005-0000-0000-00004E000000}"/>
    <cellStyle name="Normal 11 2" xfId="55" xr:uid="{00000000-0005-0000-0000-00004F000000}"/>
    <cellStyle name="Normal 11 2 2" xfId="145" xr:uid="{00000000-0005-0000-0000-000050000000}"/>
    <cellStyle name="Normal 11 2 3" xfId="82" xr:uid="{00000000-0005-0000-0000-000051000000}"/>
    <cellStyle name="Normal 11 3" xfId="122" xr:uid="{00000000-0005-0000-0000-000052000000}"/>
    <cellStyle name="Normal 11 4" xfId="81" xr:uid="{00000000-0005-0000-0000-000053000000}"/>
    <cellStyle name="Normal 12" xfId="32" xr:uid="{00000000-0005-0000-0000-000054000000}"/>
    <cellStyle name="Normal 13" xfId="31" xr:uid="{00000000-0005-0000-0000-000055000000}"/>
    <cellStyle name="Normal 13 2" xfId="124" xr:uid="{00000000-0005-0000-0000-000056000000}"/>
    <cellStyle name="Normal 13 3" xfId="83" xr:uid="{00000000-0005-0000-0000-000057000000}"/>
    <cellStyle name="Normal 2" xfId="2" xr:uid="{00000000-0005-0000-0000-000058000000}"/>
    <cellStyle name="Normal 2 2" xfId="3" xr:uid="{00000000-0005-0000-0000-000059000000}"/>
    <cellStyle name="Normal 3" xfId="5" xr:uid="{00000000-0005-0000-0000-00005A000000}"/>
    <cellStyle name="Normal 4" xfId="7" xr:uid="{00000000-0005-0000-0000-00005B000000}"/>
    <cellStyle name="Normal 4 2" xfId="12" xr:uid="{00000000-0005-0000-0000-00005C000000}"/>
    <cellStyle name="Normal 4 2 2" xfId="25" xr:uid="{00000000-0005-0000-0000-00005D000000}"/>
    <cellStyle name="Normal 4 2 2 2" xfId="51" xr:uid="{00000000-0005-0000-0000-00005E000000}"/>
    <cellStyle name="Normal 4 2 2 2 2" xfId="141" xr:uid="{00000000-0005-0000-0000-00005F000000}"/>
    <cellStyle name="Normal 4 2 2 2 3" xfId="87" xr:uid="{00000000-0005-0000-0000-000060000000}"/>
    <cellStyle name="Normal 4 2 2 3" xfId="118" xr:uid="{00000000-0005-0000-0000-000061000000}"/>
    <cellStyle name="Normal 4 2 2 4" xfId="86" xr:uid="{00000000-0005-0000-0000-000062000000}"/>
    <cellStyle name="Normal 4 2 3" xfId="38" xr:uid="{00000000-0005-0000-0000-000063000000}"/>
    <cellStyle name="Normal 4 2 3 2" xfId="129" xr:uid="{00000000-0005-0000-0000-000064000000}"/>
    <cellStyle name="Normal 4 2 3 3" xfId="88" xr:uid="{00000000-0005-0000-0000-000065000000}"/>
    <cellStyle name="Normal 4 2 4" xfId="106" xr:uid="{00000000-0005-0000-0000-000066000000}"/>
    <cellStyle name="Normal 4 2 5" xfId="85" xr:uid="{00000000-0005-0000-0000-000067000000}"/>
    <cellStyle name="Normal 4 3" xfId="34" xr:uid="{00000000-0005-0000-0000-000068000000}"/>
    <cellStyle name="Normal 4 3 2" xfId="125" xr:uid="{00000000-0005-0000-0000-000069000000}"/>
    <cellStyle name="Normal 4 3 3" xfId="89" xr:uid="{00000000-0005-0000-0000-00006A000000}"/>
    <cellStyle name="Normal 4 4" xfId="102" xr:uid="{00000000-0005-0000-0000-00006B000000}"/>
    <cellStyle name="Normal 4 5" xfId="84" xr:uid="{00000000-0005-0000-0000-00006C000000}"/>
    <cellStyle name="Normal 5" xfId="10" xr:uid="{00000000-0005-0000-0000-00006D000000}"/>
    <cellStyle name="Normal 5 2" xfId="26" xr:uid="{00000000-0005-0000-0000-00006E000000}"/>
    <cellStyle name="Normal 5 2 2" xfId="52" xr:uid="{00000000-0005-0000-0000-00006F000000}"/>
    <cellStyle name="Normal 5 2 2 2" xfId="142" xr:uid="{00000000-0005-0000-0000-000070000000}"/>
    <cellStyle name="Normal 5 2 2 3" xfId="92" xr:uid="{00000000-0005-0000-0000-000071000000}"/>
    <cellStyle name="Normal 5 2 3" xfId="119" xr:uid="{00000000-0005-0000-0000-000072000000}"/>
    <cellStyle name="Normal 5 2 4" xfId="91" xr:uid="{00000000-0005-0000-0000-000073000000}"/>
    <cellStyle name="Normal 5 3" xfId="36" xr:uid="{00000000-0005-0000-0000-000074000000}"/>
    <cellStyle name="Normal 5 3 2" xfId="127" xr:uid="{00000000-0005-0000-0000-000075000000}"/>
    <cellStyle name="Normal 5 3 3" xfId="93" xr:uid="{00000000-0005-0000-0000-000076000000}"/>
    <cellStyle name="Normal 5 4" xfId="104" xr:uid="{00000000-0005-0000-0000-000077000000}"/>
    <cellStyle name="Normal 5 5" xfId="90" xr:uid="{00000000-0005-0000-0000-000078000000}"/>
    <cellStyle name="Normal 6" xfId="14" xr:uid="{00000000-0005-0000-0000-000079000000}"/>
    <cellStyle name="Normal 6 2" xfId="40" xr:uid="{00000000-0005-0000-0000-00007A000000}"/>
    <cellStyle name="Normal 6 2 2" xfId="131" xr:uid="{00000000-0005-0000-0000-00007B000000}"/>
    <cellStyle name="Normal 6 2 3" xfId="95" xr:uid="{00000000-0005-0000-0000-00007C000000}"/>
    <cellStyle name="Normal 6 3" xfId="108" xr:uid="{00000000-0005-0000-0000-00007D000000}"/>
    <cellStyle name="Normal 6 4" xfId="94" xr:uid="{00000000-0005-0000-0000-00007E000000}"/>
    <cellStyle name="Normal 7" xfId="16" xr:uid="{00000000-0005-0000-0000-00007F000000}"/>
    <cellStyle name="Normal 7 2" xfId="42" xr:uid="{00000000-0005-0000-0000-000080000000}"/>
    <cellStyle name="Normal 7 2 2" xfId="133" xr:uid="{00000000-0005-0000-0000-000081000000}"/>
    <cellStyle name="Normal 7 2 3" xfId="97" xr:uid="{00000000-0005-0000-0000-000082000000}"/>
    <cellStyle name="Normal 7 3" xfId="110" xr:uid="{00000000-0005-0000-0000-000083000000}"/>
    <cellStyle name="Normal 7 4" xfId="96" xr:uid="{00000000-0005-0000-0000-000084000000}"/>
    <cellStyle name="Normal 8" xfId="18" xr:uid="{00000000-0005-0000-0000-000085000000}"/>
    <cellStyle name="Normal 8 2" xfId="44" xr:uid="{00000000-0005-0000-0000-000086000000}"/>
    <cellStyle name="Normal 8 2 2" xfId="135" xr:uid="{00000000-0005-0000-0000-000087000000}"/>
    <cellStyle name="Normal 8 2 3" xfId="99" xr:uid="{00000000-0005-0000-0000-000088000000}"/>
    <cellStyle name="Normal 8 3" xfId="112" xr:uid="{00000000-0005-0000-0000-000089000000}"/>
    <cellStyle name="Normal 8 4" xfId="98" xr:uid="{00000000-0005-0000-0000-00008A000000}"/>
    <cellStyle name="Normal 9" xfId="21" xr:uid="{00000000-0005-0000-0000-00008B000000}"/>
    <cellStyle name="Normal 9 2" xfId="47" xr:uid="{00000000-0005-0000-0000-00008C000000}"/>
    <cellStyle name="Normal 9 2 2" xfId="137" xr:uid="{00000000-0005-0000-0000-00008D000000}"/>
    <cellStyle name="Normal 9 2 3" xfId="101" xr:uid="{00000000-0005-0000-0000-00008E000000}"/>
    <cellStyle name="Normal 9 3" xfId="114" xr:uid="{00000000-0005-0000-0000-00008F000000}"/>
    <cellStyle name="Normal 9 4" xfId="100" xr:uid="{00000000-0005-0000-0000-000090000000}"/>
    <cellStyle name="Percent" xfId="20" builtinId="5"/>
    <cellStyle name="Percent 2" xfId="46" xr:uid="{00000000-0005-0000-0000-000093000000}"/>
  </cellStyles>
  <dxfs count="0"/>
  <tableStyles count="0" defaultTableStyle="TableStyleMedium2" defaultPivotStyle="PivotStyleLight16"/>
  <colors>
    <mruColors>
      <color rgb="FFFFFF66"/>
      <color rgb="FF00FFFF"/>
      <color rgb="FFCCFFFF"/>
      <color rgb="FFFF33CC"/>
      <color rgb="FFCCCCFF"/>
      <color rgb="FF9999FF"/>
      <color rgb="FFFF66CC"/>
      <color rgb="FF0099FF"/>
      <color rgb="FFCCFF33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28575</xdr:rowOff>
    </xdr:from>
    <xdr:to>
      <xdr:col>6</xdr:col>
      <xdr:colOff>0</xdr:colOff>
      <xdr:row>7</xdr:row>
      <xdr:rowOff>133350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8924925" y="1009650"/>
          <a:ext cx="0" cy="4286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20</xdr:row>
      <xdr:rowOff>19050</xdr:rowOff>
    </xdr:from>
    <xdr:to>
      <xdr:col>6</xdr:col>
      <xdr:colOff>0</xdr:colOff>
      <xdr:row>26</xdr:row>
      <xdr:rowOff>152400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8924925" y="3429000"/>
          <a:ext cx="0" cy="1104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92</xdr:row>
      <xdr:rowOff>28575</xdr:rowOff>
    </xdr:from>
    <xdr:to>
      <xdr:col>6</xdr:col>
      <xdr:colOff>0</xdr:colOff>
      <xdr:row>96</xdr:row>
      <xdr:rowOff>142875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>
          <a:off x="8924925" y="15097125"/>
          <a:ext cx="0" cy="7620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98</xdr:row>
      <xdr:rowOff>9525</xdr:rowOff>
    </xdr:from>
    <xdr:to>
      <xdr:col>6</xdr:col>
      <xdr:colOff>0</xdr:colOff>
      <xdr:row>100</xdr:row>
      <xdr:rowOff>133350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/>
      </xdr:nvSpPr>
      <xdr:spPr>
        <a:xfrm>
          <a:off x="8924925" y="16049625"/>
          <a:ext cx="0" cy="4476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105</xdr:row>
      <xdr:rowOff>27709</xdr:rowOff>
    </xdr:from>
    <xdr:to>
      <xdr:col>6</xdr:col>
      <xdr:colOff>0</xdr:colOff>
      <xdr:row>118</xdr:row>
      <xdr:rowOff>138546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/>
      </xdr:nvSpPr>
      <xdr:spPr>
        <a:xfrm>
          <a:off x="8924925" y="17201284"/>
          <a:ext cx="0" cy="2215862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119</xdr:row>
      <xdr:rowOff>13855</xdr:rowOff>
    </xdr:from>
    <xdr:to>
      <xdr:col>6</xdr:col>
      <xdr:colOff>0</xdr:colOff>
      <xdr:row>127</xdr:row>
      <xdr:rowOff>159327</xdr:rowOff>
    </xdr:to>
    <xdr:sp macro="" textlink="">
      <xdr:nvSpPr>
        <xdr:cNvPr id="7" name="Right Brace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/>
      </xdr:nvSpPr>
      <xdr:spPr>
        <a:xfrm>
          <a:off x="8924925" y="19454380"/>
          <a:ext cx="0" cy="1431347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128</xdr:row>
      <xdr:rowOff>20781</xdr:rowOff>
    </xdr:from>
    <xdr:to>
      <xdr:col>6</xdr:col>
      <xdr:colOff>0</xdr:colOff>
      <xdr:row>136</xdr:row>
      <xdr:rowOff>166255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/>
      </xdr:nvSpPr>
      <xdr:spPr>
        <a:xfrm>
          <a:off x="8924925" y="20909106"/>
          <a:ext cx="0" cy="152659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coa\Desktop\2016%20AAR-San%20Juan\@FS%20San%20Juan-BvsA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vsA-combined"/>
      <sheetName val="Annex-BvsA"/>
      <sheetName val="BvsA-GF"/>
      <sheetName val="BvsA-SEF"/>
      <sheetName val="Notes-recon"/>
      <sheetName val="sample-Makati"/>
      <sheetName val="BvsA"/>
    </sheetNames>
    <sheetDataSet>
      <sheetData sheetId="0" refreshError="1"/>
      <sheetData sheetId="1" refreshError="1"/>
      <sheetData sheetId="2" refreshError="1">
        <row r="12">
          <cell r="C12">
            <v>183500000</v>
          </cell>
        </row>
        <row r="30">
          <cell r="F30">
            <v>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I110"/>
  <sheetViews>
    <sheetView tabSelected="1" zoomScaleNormal="100" zoomScaleSheetLayoutView="100" workbookViewId="0">
      <selection activeCell="H6" sqref="H6"/>
    </sheetView>
  </sheetViews>
  <sheetFormatPr defaultColWidth="9.140625" defaultRowHeight="14.1" customHeight="1" x14ac:dyDescent="0.25"/>
  <cols>
    <col min="1" max="1" width="43" style="127" customWidth="1"/>
    <col min="2" max="2" width="0" style="153" hidden="1" customWidth="1"/>
    <col min="3" max="4" width="15.5703125" style="129" bestFit="1" customWidth="1"/>
    <col min="5" max="5" width="20" style="129" customWidth="1"/>
    <col min="6" max="6" width="15.7109375" style="130" customWidth="1"/>
    <col min="7" max="7" width="21.28515625" style="129" customWidth="1"/>
    <col min="8" max="8" width="9.140625" style="127"/>
    <col min="9" max="9" width="16.42578125" style="127" bestFit="1" customWidth="1"/>
    <col min="10" max="16384" width="9.140625" style="127"/>
  </cols>
  <sheetData>
    <row r="1" spans="1:7" ht="14.1" customHeight="1" x14ac:dyDescent="0.25">
      <c r="A1" s="582" t="s">
        <v>0</v>
      </c>
      <c r="B1" s="582"/>
      <c r="C1" s="582"/>
      <c r="D1" s="582"/>
      <c r="E1" s="582"/>
      <c r="F1" s="582"/>
      <c r="G1" s="582"/>
    </row>
    <row r="2" spans="1:7" ht="14.1" customHeight="1" x14ac:dyDescent="0.25">
      <c r="A2" s="582" t="s">
        <v>645</v>
      </c>
      <c r="B2" s="582"/>
      <c r="C2" s="582"/>
      <c r="D2" s="582"/>
      <c r="E2" s="582"/>
      <c r="F2" s="582"/>
      <c r="G2" s="582"/>
    </row>
    <row r="3" spans="1:7" ht="14.1" customHeight="1" x14ac:dyDescent="0.25">
      <c r="A3" s="583" t="s">
        <v>980</v>
      </c>
      <c r="B3" s="583"/>
      <c r="C3" s="583"/>
      <c r="D3" s="583"/>
      <c r="E3" s="583"/>
      <c r="F3" s="583"/>
      <c r="G3" s="583"/>
    </row>
    <row r="4" spans="1:7" ht="14.1" customHeight="1" x14ac:dyDescent="0.25">
      <c r="A4" s="128"/>
    </row>
    <row r="5" spans="1:7" ht="14.1" customHeight="1" x14ac:dyDescent="0.25">
      <c r="A5" s="131"/>
      <c r="B5" s="154"/>
      <c r="C5" s="132"/>
      <c r="D5" s="132"/>
      <c r="E5" s="132"/>
      <c r="F5" s="133"/>
      <c r="G5" s="132"/>
    </row>
    <row r="6" spans="1:7" ht="14.1" customHeight="1" x14ac:dyDescent="0.25">
      <c r="A6" s="134"/>
      <c r="B6" s="584" t="s">
        <v>646</v>
      </c>
      <c r="C6" s="586" t="s">
        <v>647</v>
      </c>
      <c r="D6" s="586"/>
      <c r="E6" s="587" t="s">
        <v>648</v>
      </c>
      <c r="F6" s="589" t="s">
        <v>649</v>
      </c>
      <c r="G6" s="587" t="s">
        <v>650</v>
      </c>
    </row>
    <row r="7" spans="1:7" ht="14.1" customHeight="1" x14ac:dyDescent="0.25">
      <c r="A7" s="134"/>
      <c r="B7" s="585"/>
      <c r="C7" s="150" t="s">
        <v>651</v>
      </c>
      <c r="D7" s="150" t="s">
        <v>652</v>
      </c>
      <c r="E7" s="588"/>
      <c r="F7" s="590"/>
      <c r="G7" s="588"/>
    </row>
    <row r="8" spans="1:7" ht="14.1" customHeight="1" x14ac:dyDescent="0.25">
      <c r="A8" s="128" t="s">
        <v>449</v>
      </c>
    </row>
    <row r="9" spans="1:7" s="138" customFormat="1" ht="14.1" customHeight="1" x14ac:dyDescent="0.25">
      <c r="A9" s="135" t="s">
        <v>963</v>
      </c>
      <c r="B9" s="155"/>
      <c r="C9" s="136"/>
      <c r="D9" s="136"/>
      <c r="E9" s="136"/>
      <c r="F9" s="137"/>
      <c r="G9" s="136"/>
    </row>
    <row r="10" spans="1:7" ht="14.1" customHeight="1" x14ac:dyDescent="0.25">
      <c r="A10" s="139" t="s">
        <v>964</v>
      </c>
      <c r="B10" s="153">
        <v>17</v>
      </c>
    </row>
    <row r="11" spans="1:7" ht="14.1" customHeight="1" x14ac:dyDescent="0.25">
      <c r="A11" s="140" t="s">
        <v>965</v>
      </c>
      <c r="C11" s="566">
        <v>724806295</v>
      </c>
      <c r="D11" s="566">
        <v>724806295</v>
      </c>
      <c r="E11" s="566">
        <f>+C11-D11</f>
        <v>0</v>
      </c>
      <c r="F11" s="567">
        <v>635300535</v>
      </c>
      <c r="G11" s="566">
        <f>+D11-F11</f>
        <v>89505760</v>
      </c>
    </row>
    <row r="12" spans="1:7" ht="14.1" customHeight="1" x14ac:dyDescent="0.25">
      <c r="A12" s="140" t="s">
        <v>966</v>
      </c>
      <c r="C12" s="566">
        <v>1180000000</v>
      </c>
      <c r="D12" s="566">
        <v>1180000000</v>
      </c>
      <c r="E12" s="566">
        <f>+C12-D12</f>
        <v>0</v>
      </c>
      <c r="F12" s="567">
        <v>914589367</v>
      </c>
      <c r="G12" s="566">
        <f>+D12-F12</f>
        <v>265410633</v>
      </c>
    </row>
    <row r="13" spans="1:7" ht="14.1" customHeight="1" x14ac:dyDescent="0.25">
      <c r="A13" s="140" t="s">
        <v>967</v>
      </c>
      <c r="C13" s="566">
        <v>97450000</v>
      </c>
      <c r="D13" s="566">
        <v>97450000</v>
      </c>
      <c r="E13" s="566">
        <f>+C13-D13</f>
        <v>0</v>
      </c>
      <c r="F13" s="567">
        <v>48916425</v>
      </c>
      <c r="G13" s="566">
        <f>+D13-F13</f>
        <v>48533575</v>
      </c>
    </row>
    <row r="14" spans="1:7" ht="14.1" customHeight="1" x14ac:dyDescent="0.25">
      <c r="A14" s="128"/>
      <c r="B14" s="156"/>
      <c r="C14" s="568">
        <f>SUM(C11:C13)</f>
        <v>2002256295</v>
      </c>
      <c r="D14" s="568">
        <f>SUM(D11:D13)</f>
        <v>2002256295</v>
      </c>
      <c r="E14" s="568">
        <f>+C14-D14</f>
        <v>0</v>
      </c>
      <c r="F14" s="569">
        <f>SUM(F11:F13)</f>
        <v>1598806327</v>
      </c>
      <c r="G14" s="568">
        <f>SUM(G11:G13)</f>
        <v>403449968</v>
      </c>
    </row>
    <row r="15" spans="1:7" ht="14.1" customHeight="1" x14ac:dyDescent="0.25">
      <c r="A15" s="139" t="s">
        <v>968</v>
      </c>
      <c r="C15" s="566"/>
      <c r="D15" s="566"/>
      <c r="E15" s="566"/>
      <c r="F15" s="567"/>
      <c r="G15" s="566"/>
    </row>
    <row r="16" spans="1:7" ht="14.1" customHeight="1" x14ac:dyDescent="0.25">
      <c r="A16" s="140" t="s">
        <v>969</v>
      </c>
      <c r="B16" s="153">
        <v>18</v>
      </c>
      <c r="C16" s="566">
        <v>128960000</v>
      </c>
      <c r="D16" s="566">
        <v>128960000</v>
      </c>
      <c r="E16" s="566">
        <f>+C16-D16</f>
        <v>0</v>
      </c>
      <c r="F16" s="567">
        <v>94273232</v>
      </c>
      <c r="G16" s="566">
        <f>+D16-F16</f>
        <v>34686768</v>
      </c>
    </row>
    <row r="17" spans="1:9" ht="14.1" customHeight="1" x14ac:dyDescent="0.25">
      <c r="A17" s="140" t="s">
        <v>970</v>
      </c>
      <c r="B17" s="153">
        <v>18</v>
      </c>
      <c r="C17" s="566">
        <v>122890000</v>
      </c>
      <c r="D17" s="566">
        <v>122890000</v>
      </c>
      <c r="E17" s="566">
        <f>+C17-D17</f>
        <v>0</v>
      </c>
      <c r="F17" s="567">
        <v>104144851</v>
      </c>
      <c r="G17" s="566">
        <f>+D17-F17</f>
        <v>18745149</v>
      </c>
    </row>
    <row r="18" spans="1:9" ht="14.1" customHeight="1" x14ac:dyDescent="0.25">
      <c r="A18" s="140" t="s">
        <v>971</v>
      </c>
      <c r="C18" s="566">
        <v>20000000</v>
      </c>
      <c r="D18" s="566">
        <v>20000000</v>
      </c>
      <c r="E18" s="566">
        <f>+C18-D18</f>
        <v>0</v>
      </c>
      <c r="F18" s="567">
        <v>1632715</v>
      </c>
      <c r="G18" s="566">
        <f>+D18-F18</f>
        <v>18367285</v>
      </c>
    </row>
    <row r="19" spans="1:9" ht="14.1" customHeight="1" x14ac:dyDescent="0.25">
      <c r="A19" s="128"/>
      <c r="B19" s="156"/>
      <c r="C19" s="568">
        <f>SUM(C16:C18)</f>
        <v>271850000</v>
      </c>
      <c r="D19" s="568">
        <f>SUM(D16:D18)</f>
        <v>271850000</v>
      </c>
      <c r="E19" s="568">
        <f>+C19-D19</f>
        <v>0</v>
      </c>
      <c r="F19" s="569">
        <f>SUM(F16:F18)</f>
        <v>200050798</v>
      </c>
      <c r="G19" s="568">
        <f>SUM(G16:G18)</f>
        <v>71799202</v>
      </c>
    </row>
    <row r="20" spans="1:9" s="138" customFormat="1" ht="14.1" customHeight="1" x14ac:dyDescent="0.25">
      <c r="A20" s="135" t="s">
        <v>972</v>
      </c>
      <c r="B20" s="155"/>
      <c r="C20" s="570"/>
      <c r="D20" s="570"/>
      <c r="E20" s="570"/>
      <c r="F20" s="571"/>
      <c r="G20" s="570"/>
    </row>
    <row r="21" spans="1:9" ht="14.1" customHeight="1" x14ac:dyDescent="0.25">
      <c r="A21" s="561" t="s">
        <v>974</v>
      </c>
      <c r="B21" s="153">
        <v>17</v>
      </c>
      <c r="C21" s="566">
        <v>485797956</v>
      </c>
      <c r="D21" s="566">
        <v>485797956</v>
      </c>
      <c r="E21" s="566">
        <f>+C21-D21</f>
        <v>0</v>
      </c>
      <c r="F21" s="567">
        <v>483046834</v>
      </c>
      <c r="G21" s="566">
        <f t="shared" ref="G21:G26" si="0">+D21-F21</f>
        <v>2751122</v>
      </c>
    </row>
    <row r="22" spans="1:9" ht="14.1" customHeight="1" x14ac:dyDescent="0.25">
      <c r="A22" s="139" t="s">
        <v>973</v>
      </c>
      <c r="B22" s="153">
        <v>17</v>
      </c>
      <c r="C22" s="566">
        <v>3500000</v>
      </c>
      <c r="D22" s="566">
        <v>3500000</v>
      </c>
      <c r="E22" s="566">
        <f>+C22-D22</f>
        <v>0</v>
      </c>
      <c r="F22" s="567">
        <v>456268</v>
      </c>
      <c r="G22" s="566">
        <f t="shared" si="0"/>
        <v>3043732</v>
      </c>
    </row>
    <row r="23" spans="1:9" ht="14.1" customHeight="1" x14ac:dyDescent="0.25">
      <c r="A23" s="139" t="s">
        <v>975</v>
      </c>
      <c r="C23" s="566"/>
      <c r="D23" s="566"/>
      <c r="E23" s="566"/>
      <c r="F23" s="567"/>
      <c r="G23" s="566">
        <f t="shared" si="0"/>
        <v>0</v>
      </c>
    </row>
    <row r="24" spans="1:9" ht="14.1" customHeight="1" x14ac:dyDescent="0.25">
      <c r="A24" s="563" t="s">
        <v>976</v>
      </c>
      <c r="C24" s="566">
        <v>1500000</v>
      </c>
      <c r="D24" s="566">
        <v>1500000</v>
      </c>
      <c r="E24" s="566"/>
      <c r="F24" s="567">
        <v>3316701</v>
      </c>
      <c r="G24" s="566">
        <f t="shared" si="0"/>
        <v>-1816701</v>
      </c>
    </row>
    <row r="25" spans="1:9" ht="14.1" customHeight="1" x14ac:dyDescent="0.25">
      <c r="A25" s="563" t="s">
        <v>977</v>
      </c>
      <c r="B25" s="153">
        <v>17</v>
      </c>
      <c r="C25" s="566">
        <v>0</v>
      </c>
      <c r="D25" s="566">
        <v>0</v>
      </c>
      <c r="E25" s="566">
        <v>0</v>
      </c>
      <c r="F25" s="567">
        <v>0</v>
      </c>
      <c r="G25" s="566">
        <f t="shared" si="0"/>
        <v>0</v>
      </c>
    </row>
    <row r="26" spans="1:9" ht="14.1" customHeight="1" x14ac:dyDescent="0.25">
      <c r="A26" s="564" t="s">
        <v>978</v>
      </c>
      <c r="C26" s="566">
        <v>0</v>
      </c>
      <c r="D26" s="566">
        <v>0</v>
      </c>
      <c r="E26" s="566">
        <v>0</v>
      </c>
      <c r="F26" s="567">
        <v>0</v>
      </c>
      <c r="G26" s="566">
        <f t="shared" si="0"/>
        <v>0</v>
      </c>
    </row>
    <row r="27" spans="1:9" ht="14.1" customHeight="1" x14ac:dyDescent="0.25">
      <c r="A27" s="131"/>
      <c r="B27" s="157"/>
      <c r="C27" s="572">
        <f>SUM(C21:C25)</f>
        <v>490797956</v>
      </c>
      <c r="D27" s="572">
        <f>SUM(D21:D25)</f>
        <v>490797956</v>
      </c>
      <c r="E27" s="572">
        <f>+C27-D27</f>
        <v>0</v>
      </c>
      <c r="F27" s="573">
        <f>SUM(F21:F26)</f>
        <v>486819803</v>
      </c>
      <c r="G27" s="573">
        <f>SUM(G21:G26)</f>
        <v>3978153</v>
      </c>
    </row>
    <row r="28" spans="1:9" s="138" customFormat="1" ht="14.1" customHeight="1" x14ac:dyDescent="0.25">
      <c r="A28" s="135" t="s">
        <v>653</v>
      </c>
      <c r="B28" s="158"/>
      <c r="C28" s="574">
        <v>0</v>
      </c>
      <c r="D28" s="574">
        <v>0</v>
      </c>
      <c r="E28" s="568">
        <f>+C28-D28</f>
        <v>0</v>
      </c>
      <c r="F28" s="569">
        <f>+'[1]BvsA-GF'!F30</f>
        <v>0</v>
      </c>
      <c r="G28" s="568">
        <f>+D28-F28</f>
        <v>0</v>
      </c>
    </row>
    <row r="29" spans="1:9" s="138" customFormat="1" ht="14.1" customHeight="1" x14ac:dyDescent="0.25">
      <c r="A29" s="128" t="s">
        <v>654</v>
      </c>
      <c r="B29" s="156"/>
      <c r="C29" s="568">
        <f>+C14+C19+C27+C28</f>
        <v>2764904251</v>
      </c>
      <c r="D29" s="568">
        <f>+D14+D19+D27+D28</f>
        <v>2764904251</v>
      </c>
      <c r="E29" s="568">
        <f>+E14+E19+E27+E28</f>
        <v>0</v>
      </c>
      <c r="F29" s="568">
        <f>+F14+F19+F27+F28</f>
        <v>2285676928</v>
      </c>
      <c r="G29" s="568">
        <f>+G14+G19+G27+G28</f>
        <v>479227323</v>
      </c>
      <c r="I29" s="141"/>
    </row>
    <row r="30" spans="1:9" ht="14.1" customHeight="1" x14ac:dyDescent="0.25">
      <c r="A30" s="128"/>
      <c r="C30" s="575"/>
      <c r="D30" s="575"/>
      <c r="E30" s="575"/>
      <c r="F30" s="576"/>
      <c r="G30" s="575"/>
    </row>
    <row r="31" spans="1:9" ht="14.1" customHeight="1" x14ac:dyDescent="0.25">
      <c r="A31" s="128" t="s">
        <v>655</v>
      </c>
      <c r="C31" s="575"/>
      <c r="D31" s="575"/>
      <c r="E31" s="575"/>
      <c r="F31" s="576"/>
      <c r="G31" s="575"/>
    </row>
    <row r="32" spans="1:9" ht="14.1" customHeight="1" x14ac:dyDescent="0.25">
      <c r="A32" s="139" t="s">
        <v>656</v>
      </c>
      <c r="C32" s="577">
        <f>SUM(C33:C35)</f>
        <v>1163949717</v>
      </c>
      <c r="D32" s="577">
        <f>SUM(D33:D35)</f>
        <v>1286927824.5900002</v>
      </c>
      <c r="E32" s="577">
        <f>SUM(E33:E35)</f>
        <v>-122978107.59000003</v>
      </c>
      <c r="F32" s="577">
        <f>SUM(F33:F35)</f>
        <v>656764042</v>
      </c>
      <c r="G32" s="577">
        <f>SUM(G33:G35)</f>
        <v>630163782.59000003</v>
      </c>
    </row>
    <row r="33" spans="1:9" ht="14.1" customHeight="1" x14ac:dyDescent="0.25">
      <c r="A33" s="140" t="s">
        <v>657</v>
      </c>
      <c r="C33" s="575">
        <v>255096220</v>
      </c>
      <c r="D33" s="575">
        <v>262682189</v>
      </c>
      <c r="E33" s="575">
        <f>+C33-D33</f>
        <v>-7585969</v>
      </c>
      <c r="F33" s="576">
        <v>214239053</v>
      </c>
      <c r="G33" s="575">
        <f>+D33-F33</f>
        <v>48443136</v>
      </c>
    </row>
    <row r="34" spans="1:9" ht="14.1" customHeight="1" x14ac:dyDescent="0.25">
      <c r="A34" s="140" t="s">
        <v>433</v>
      </c>
      <c r="C34" s="575">
        <v>768257827</v>
      </c>
      <c r="D34" s="575">
        <v>852071424.59000003</v>
      </c>
      <c r="E34" s="575">
        <f>+C34-D34</f>
        <v>-83813597.590000033</v>
      </c>
      <c r="F34" s="576">
        <v>414160822</v>
      </c>
      <c r="G34" s="575">
        <f>+D34-F34</f>
        <v>437910602.59000003</v>
      </c>
    </row>
    <row r="35" spans="1:9" ht="14.1" customHeight="1" x14ac:dyDescent="0.25">
      <c r="A35" s="140" t="s">
        <v>587</v>
      </c>
      <c r="C35" s="575">
        <v>140595670</v>
      </c>
      <c r="D35" s="575">
        <v>172174211</v>
      </c>
      <c r="E35" s="575">
        <f>+C35-D35</f>
        <v>-31578541</v>
      </c>
      <c r="F35" s="576">
        <v>28364167</v>
      </c>
      <c r="G35" s="575">
        <f>+D35-F35</f>
        <v>143810044</v>
      </c>
    </row>
    <row r="36" spans="1:9" ht="14.1" customHeight="1" x14ac:dyDescent="0.25">
      <c r="A36" s="139" t="s">
        <v>658</v>
      </c>
      <c r="C36" s="577">
        <v>266726310</v>
      </c>
      <c r="D36" s="577">
        <v>333674415</v>
      </c>
      <c r="E36" s="577">
        <f>SUM(E37:E39)</f>
        <v>-66948105</v>
      </c>
      <c r="F36" s="577">
        <v>131004158</v>
      </c>
      <c r="G36" s="577">
        <f>SUM(G37:G39)</f>
        <v>202670257</v>
      </c>
    </row>
    <row r="37" spans="1:9" ht="14.1" customHeight="1" x14ac:dyDescent="0.25">
      <c r="A37" s="140" t="s">
        <v>657</v>
      </c>
      <c r="C37" s="575">
        <v>22798710</v>
      </c>
      <c r="D37" s="575">
        <v>23722649</v>
      </c>
      <c r="E37" s="575">
        <f>+C37-D37</f>
        <v>-923939</v>
      </c>
      <c r="F37" s="576">
        <v>16062599</v>
      </c>
      <c r="G37" s="575">
        <f>+D37-F37</f>
        <v>7660050</v>
      </c>
    </row>
    <row r="38" spans="1:9" ht="14.1" customHeight="1" x14ac:dyDescent="0.25">
      <c r="A38" s="140" t="s">
        <v>433</v>
      </c>
      <c r="C38" s="575">
        <v>196757600</v>
      </c>
      <c r="D38" s="575">
        <v>262781766</v>
      </c>
      <c r="E38" s="575">
        <f>+C38-D38</f>
        <v>-66024166</v>
      </c>
      <c r="F38" s="576">
        <v>114491109</v>
      </c>
      <c r="G38" s="575">
        <f>+D38-F38</f>
        <v>148290657</v>
      </c>
      <c r="I38" s="142"/>
    </row>
    <row r="39" spans="1:9" ht="14.1" customHeight="1" x14ac:dyDescent="0.25">
      <c r="A39" s="140" t="s">
        <v>587</v>
      </c>
      <c r="C39" s="575">
        <v>47170000</v>
      </c>
      <c r="D39" s="575">
        <v>47170000</v>
      </c>
      <c r="E39" s="575">
        <f>+C39-D39</f>
        <v>0</v>
      </c>
      <c r="F39" s="576">
        <v>450450</v>
      </c>
      <c r="G39" s="575">
        <f>+D39-F39</f>
        <v>46719550</v>
      </c>
    </row>
    <row r="40" spans="1:9" ht="14.1" customHeight="1" x14ac:dyDescent="0.25">
      <c r="A40" s="139" t="s">
        <v>659</v>
      </c>
      <c r="C40" s="577">
        <v>161585387</v>
      </c>
      <c r="D40" s="577">
        <v>171546345</v>
      </c>
      <c r="E40" s="577">
        <f>SUM(E41:E43)</f>
        <v>-9960958</v>
      </c>
      <c r="F40" s="577">
        <v>93887927</v>
      </c>
      <c r="G40" s="577">
        <f>SUM(G41:G43)</f>
        <v>77658418</v>
      </c>
    </row>
    <row r="41" spans="1:9" ht="14.1" customHeight="1" x14ac:dyDescent="0.25">
      <c r="A41" s="140" t="s">
        <v>657</v>
      </c>
      <c r="C41" s="575">
        <v>90871621</v>
      </c>
      <c r="D41" s="575">
        <v>96832579</v>
      </c>
      <c r="E41" s="575">
        <f>+C41-D41</f>
        <v>-5960958</v>
      </c>
      <c r="F41" s="576">
        <v>76198755</v>
      </c>
      <c r="G41" s="575">
        <f>+D41-F41</f>
        <v>20633824</v>
      </c>
    </row>
    <row r="42" spans="1:9" ht="14.1" customHeight="1" x14ac:dyDescent="0.25">
      <c r="A42" s="140" t="s">
        <v>433</v>
      </c>
      <c r="C42" s="575">
        <v>64433566</v>
      </c>
      <c r="D42" s="575">
        <v>68433566</v>
      </c>
      <c r="E42" s="575">
        <f>+C42-D42</f>
        <v>-4000000</v>
      </c>
      <c r="F42" s="576">
        <v>17489672</v>
      </c>
      <c r="G42" s="575">
        <f>+D42-F42</f>
        <v>50943894</v>
      </c>
    </row>
    <row r="43" spans="1:9" ht="14.1" customHeight="1" x14ac:dyDescent="0.25">
      <c r="A43" s="140" t="s">
        <v>587</v>
      </c>
      <c r="C43" s="575">
        <v>6280200</v>
      </c>
      <c r="D43" s="575">
        <v>6280200</v>
      </c>
      <c r="E43" s="575">
        <f>+C43-D43</f>
        <v>0</v>
      </c>
      <c r="F43" s="576">
        <v>199500</v>
      </c>
      <c r="G43" s="575">
        <f>+D43-F43</f>
        <v>6080700</v>
      </c>
    </row>
    <row r="44" spans="1:9" ht="14.1" customHeight="1" x14ac:dyDescent="0.25">
      <c r="A44" s="139" t="s">
        <v>660</v>
      </c>
      <c r="C44" s="577">
        <v>13862620</v>
      </c>
      <c r="D44" s="577">
        <v>13959155</v>
      </c>
      <c r="E44" s="577" t="b">
        <f>E40=SUM(E45:E47)</f>
        <v>0</v>
      </c>
      <c r="F44" s="577">
        <v>3972645</v>
      </c>
      <c r="G44" s="577">
        <f>SUM(G45:G47)</f>
        <v>9986510</v>
      </c>
    </row>
    <row r="45" spans="1:9" ht="14.1" customHeight="1" x14ac:dyDescent="0.25">
      <c r="A45" s="140" t="s">
        <v>657</v>
      </c>
      <c r="C45" s="575">
        <v>2525620</v>
      </c>
      <c r="D45" s="575">
        <v>2622155</v>
      </c>
      <c r="E45" s="575">
        <f>+C45-D45</f>
        <v>-96535</v>
      </c>
      <c r="F45" s="576">
        <v>2580083</v>
      </c>
      <c r="G45" s="575">
        <f>+D45-F45</f>
        <v>42072</v>
      </c>
    </row>
    <row r="46" spans="1:9" ht="14.1" customHeight="1" x14ac:dyDescent="0.25">
      <c r="A46" s="140" t="s">
        <v>433</v>
      </c>
      <c r="C46" s="575">
        <v>9172000</v>
      </c>
      <c r="D46" s="575">
        <v>9172000</v>
      </c>
      <c r="E46" s="575">
        <f>+C46-D46</f>
        <v>0</v>
      </c>
      <c r="F46" s="576">
        <v>1392562</v>
      </c>
      <c r="G46" s="575">
        <f>+D46-F46</f>
        <v>7779438</v>
      </c>
    </row>
    <row r="47" spans="1:9" ht="14.1" customHeight="1" x14ac:dyDescent="0.25">
      <c r="A47" s="140" t="s">
        <v>587</v>
      </c>
      <c r="C47" s="575">
        <v>2165000</v>
      </c>
      <c r="D47" s="575">
        <v>2165000</v>
      </c>
      <c r="E47" s="575">
        <f>+C47-D47</f>
        <v>0</v>
      </c>
      <c r="F47" s="576">
        <v>0</v>
      </c>
      <c r="G47" s="575">
        <f>+D47-F47</f>
        <v>2165000</v>
      </c>
    </row>
    <row r="48" spans="1:9" ht="14.1" customHeight="1" x14ac:dyDescent="0.25">
      <c r="A48" s="139" t="s">
        <v>661</v>
      </c>
      <c r="C48" s="577">
        <v>48570816</v>
      </c>
      <c r="D48" s="577">
        <v>53222331</v>
      </c>
      <c r="E48" s="577">
        <f>SUM(E49:E51)</f>
        <v>-4651515</v>
      </c>
      <c r="F48" s="577">
        <v>40539306</v>
      </c>
      <c r="G48" s="577">
        <f>SUM(G49:G51)</f>
        <v>12683025</v>
      </c>
    </row>
    <row r="49" spans="1:7" ht="14.1" customHeight="1" x14ac:dyDescent="0.25">
      <c r="A49" s="140" t="s">
        <v>657</v>
      </c>
      <c r="C49" s="575">
        <v>26167316</v>
      </c>
      <c r="D49" s="575">
        <v>27042471</v>
      </c>
      <c r="E49" s="575">
        <f>+C49-D49</f>
        <v>-875155</v>
      </c>
      <c r="F49" s="576">
        <v>24581681</v>
      </c>
      <c r="G49" s="575">
        <f>D49-F49</f>
        <v>2460790</v>
      </c>
    </row>
    <row r="50" spans="1:7" ht="14.1" customHeight="1" x14ac:dyDescent="0.25">
      <c r="A50" s="140" t="s">
        <v>433</v>
      </c>
      <c r="C50" s="575">
        <v>21009000</v>
      </c>
      <c r="D50" s="575">
        <v>24785360</v>
      </c>
      <c r="E50" s="575">
        <f>+C50-D50</f>
        <v>-3776360</v>
      </c>
      <c r="F50" s="576">
        <v>15651425</v>
      </c>
      <c r="G50" s="575">
        <f>D50-F50</f>
        <v>9133935</v>
      </c>
    </row>
    <row r="51" spans="1:7" ht="14.1" customHeight="1" x14ac:dyDescent="0.25">
      <c r="A51" s="140" t="s">
        <v>587</v>
      </c>
      <c r="C51" s="575">
        <v>1394500</v>
      </c>
      <c r="D51" s="575">
        <v>1394500</v>
      </c>
      <c r="E51" s="575">
        <f>+C51-D51</f>
        <v>0</v>
      </c>
      <c r="F51" s="576">
        <v>306200</v>
      </c>
      <c r="G51" s="575">
        <f>D51-F51</f>
        <v>1088300</v>
      </c>
    </row>
    <row r="52" spans="1:7" ht="14.1" customHeight="1" x14ac:dyDescent="0.25">
      <c r="A52" s="143" t="s">
        <v>663</v>
      </c>
      <c r="C52" s="575"/>
      <c r="D52" s="575"/>
      <c r="E52" s="575"/>
      <c r="F52" s="576"/>
      <c r="G52" s="575"/>
    </row>
    <row r="53" spans="1:7" ht="14.1" customHeight="1" x14ac:dyDescent="0.25">
      <c r="A53" s="143"/>
      <c r="C53" s="575"/>
      <c r="D53" s="575"/>
      <c r="E53" s="575"/>
      <c r="F53" s="576"/>
      <c r="G53" s="575"/>
    </row>
    <row r="54" spans="1:7" ht="14.1" customHeight="1" x14ac:dyDescent="0.25">
      <c r="A54" s="139" t="s">
        <v>662</v>
      </c>
      <c r="C54" s="577">
        <v>233334011</v>
      </c>
      <c r="D54" s="577">
        <v>243827573</v>
      </c>
      <c r="E54" s="577">
        <f>SUM(E55:E57)</f>
        <v>-10493562</v>
      </c>
      <c r="F54" s="577">
        <v>178664658</v>
      </c>
      <c r="G54" s="577">
        <f>SUM(G55:G57)</f>
        <v>65162915</v>
      </c>
    </row>
    <row r="55" spans="1:7" ht="14.1" customHeight="1" x14ac:dyDescent="0.25">
      <c r="A55" s="140" t="s">
        <v>657</v>
      </c>
      <c r="C55" s="575">
        <v>52286031</v>
      </c>
      <c r="D55" s="575">
        <v>54079593</v>
      </c>
      <c r="E55" s="575">
        <f>+C55-D55</f>
        <v>-1793562</v>
      </c>
      <c r="F55" s="576">
        <v>49833695</v>
      </c>
      <c r="G55" s="575">
        <f>D55-F55</f>
        <v>4245898</v>
      </c>
    </row>
    <row r="56" spans="1:7" ht="14.1" customHeight="1" x14ac:dyDescent="0.25">
      <c r="A56" s="140" t="s">
        <v>433</v>
      </c>
      <c r="C56" s="575">
        <v>177976787</v>
      </c>
      <c r="D56" s="575">
        <v>184976787</v>
      </c>
      <c r="E56" s="575">
        <f>+C56-D56</f>
        <v>-7000000</v>
      </c>
      <c r="F56" s="576">
        <v>128830963</v>
      </c>
      <c r="G56" s="575">
        <f>D56-F56</f>
        <v>56145824</v>
      </c>
    </row>
    <row r="57" spans="1:7" ht="14.1" customHeight="1" x14ac:dyDescent="0.25">
      <c r="A57" s="140" t="s">
        <v>587</v>
      </c>
      <c r="C57" s="575">
        <v>3071193</v>
      </c>
      <c r="D57" s="575">
        <v>4771193</v>
      </c>
      <c r="E57" s="575">
        <f>+C57-D57</f>
        <v>-1700000</v>
      </c>
      <c r="F57" s="576">
        <v>0</v>
      </c>
      <c r="G57" s="575">
        <f>D57-F57</f>
        <v>4771193</v>
      </c>
    </row>
    <row r="58" spans="1:7" ht="14.1" customHeight="1" x14ac:dyDescent="0.25">
      <c r="A58" s="139" t="s">
        <v>664</v>
      </c>
      <c r="C58" s="577">
        <v>425795134</v>
      </c>
      <c r="D58" s="577">
        <v>475402585</v>
      </c>
      <c r="E58" s="577">
        <f>SUM(E59:E61)</f>
        <v>-49607451</v>
      </c>
      <c r="F58" s="577">
        <v>280067727</v>
      </c>
      <c r="G58" s="577">
        <f>SUM(G59:G61)</f>
        <v>195334858</v>
      </c>
    </row>
    <row r="59" spans="1:7" ht="14.1" customHeight="1" x14ac:dyDescent="0.25">
      <c r="A59" s="140" t="s">
        <v>657</v>
      </c>
      <c r="C59" s="575">
        <v>253820469</v>
      </c>
      <c r="D59" s="575">
        <v>293077920</v>
      </c>
      <c r="E59" s="575">
        <f>+C59-D59</f>
        <v>-39257451</v>
      </c>
      <c r="F59" s="576">
        <v>198469137</v>
      </c>
      <c r="G59" s="575">
        <f>D59-F59</f>
        <v>94608783</v>
      </c>
    </row>
    <row r="60" spans="1:7" ht="14.1" customHeight="1" x14ac:dyDescent="0.25">
      <c r="A60" s="140" t="s">
        <v>433</v>
      </c>
      <c r="C60" s="575">
        <v>164003165</v>
      </c>
      <c r="D60" s="575">
        <v>174353165</v>
      </c>
      <c r="E60" s="575">
        <f>+C60-D60</f>
        <v>-10350000</v>
      </c>
      <c r="F60" s="576">
        <v>81098390</v>
      </c>
      <c r="G60" s="575">
        <f>D60-F60</f>
        <v>93254775</v>
      </c>
    </row>
    <row r="61" spans="1:7" ht="14.1" customHeight="1" x14ac:dyDescent="0.25">
      <c r="A61" s="140" t="s">
        <v>587</v>
      </c>
      <c r="C61" s="575">
        <v>7971500</v>
      </c>
      <c r="D61" s="575">
        <v>7971500</v>
      </c>
      <c r="E61" s="575">
        <f>+C61-D61</f>
        <v>0</v>
      </c>
      <c r="F61" s="576">
        <v>500200</v>
      </c>
      <c r="G61" s="575">
        <f>D61-F61</f>
        <v>7471300</v>
      </c>
    </row>
    <row r="62" spans="1:7" ht="14.1" customHeight="1" x14ac:dyDescent="0.25">
      <c r="A62" s="135" t="s">
        <v>665</v>
      </c>
      <c r="C62" s="575"/>
      <c r="D62" s="575"/>
      <c r="E62" s="575"/>
      <c r="F62" s="576"/>
      <c r="G62" s="575"/>
    </row>
    <row r="63" spans="1:7" ht="14.1" customHeight="1" x14ac:dyDescent="0.25">
      <c r="A63" s="139" t="s">
        <v>666</v>
      </c>
      <c r="C63" s="577">
        <v>144074343</v>
      </c>
      <c r="D63" s="577">
        <v>144074343</v>
      </c>
      <c r="E63" s="577">
        <f>SUM(E64:E65)</f>
        <v>0</v>
      </c>
      <c r="F63" s="577">
        <v>90743499</v>
      </c>
      <c r="G63" s="577">
        <f>SUM(G64:G65)</f>
        <v>53330844</v>
      </c>
    </row>
    <row r="64" spans="1:7" ht="14.1" customHeight="1" x14ac:dyDescent="0.25">
      <c r="A64" s="140" t="s">
        <v>434</v>
      </c>
      <c r="C64" s="575">
        <v>38632532</v>
      </c>
      <c r="D64" s="575">
        <v>38632532</v>
      </c>
      <c r="E64" s="575">
        <f>+C64-D64</f>
        <v>0</v>
      </c>
      <c r="F64" s="576">
        <v>38022594</v>
      </c>
      <c r="G64" s="575">
        <f>D64-F64</f>
        <v>609938</v>
      </c>
    </row>
    <row r="65" spans="1:7" ht="14.1" customHeight="1" x14ac:dyDescent="0.25">
      <c r="A65" s="140" t="s">
        <v>572</v>
      </c>
      <c r="C65" s="575">
        <v>105441811</v>
      </c>
      <c r="D65" s="575">
        <v>105441811</v>
      </c>
      <c r="E65" s="575">
        <f>+C65-D65</f>
        <v>0</v>
      </c>
      <c r="F65" s="576">
        <v>52720905</v>
      </c>
      <c r="G65" s="575">
        <f>D65-F65</f>
        <v>52720906</v>
      </c>
    </row>
    <row r="66" spans="1:7" ht="14.1" customHeight="1" x14ac:dyDescent="0.25">
      <c r="A66" s="139" t="s">
        <v>667</v>
      </c>
      <c r="C66" s="577">
        <v>127729898</v>
      </c>
      <c r="D66" s="577">
        <v>127729898</v>
      </c>
      <c r="E66" s="577">
        <f>SUM(E67:E68)</f>
        <v>0</v>
      </c>
      <c r="F66" s="577">
        <v>75072641</v>
      </c>
      <c r="G66" s="577">
        <f>SUM(G67:G68)</f>
        <v>52657257</v>
      </c>
    </row>
    <row r="67" spans="1:7" ht="14.1" customHeight="1" x14ac:dyDescent="0.25">
      <c r="A67" s="140" t="s">
        <v>433</v>
      </c>
      <c r="C67" s="575">
        <v>119629898</v>
      </c>
      <c r="D67" s="575">
        <v>119629898</v>
      </c>
      <c r="E67" s="575">
        <f>+C67-D67</f>
        <v>0</v>
      </c>
      <c r="F67" s="576">
        <v>74972641</v>
      </c>
      <c r="G67" s="575">
        <f>D67-F67</f>
        <v>44657257</v>
      </c>
    </row>
    <row r="68" spans="1:7" ht="14.1" customHeight="1" x14ac:dyDescent="0.25">
      <c r="A68" s="140" t="s">
        <v>587</v>
      </c>
      <c r="C68" s="575">
        <v>8100000</v>
      </c>
      <c r="D68" s="575">
        <v>8100000</v>
      </c>
      <c r="E68" s="575">
        <f>+C68-D68</f>
        <v>0</v>
      </c>
      <c r="F68" s="576">
        <v>100000</v>
      </c>
      <c r="G68" s="575">
        <f>D68-F68</f>
        <v>8000000</v>
      </c>
    </row>
    <row r="69" spans="1:7" ht="14.1" customHeight="1" x14ac:dyDescent="0.25">
      <c r="A69" s="139" t="s">
        <v>668</v>
      </c>
      <c r="C69" s="577">
        <v>28970000</v>
      </c>
      <c r="D69" s="577">
        <v>28970000</v>
      </c>
      <c r="E69" s="577">
        <f>SUM(E70:E71)</f>
        <v>0</v>
      </c>
      <c r="F69" s="577">
        <v>24699000</v>
      </c>
      <c r="G69" s="577">
        <f>SUM(G70:G71)</f>
        <v>4271000</v>
      </c>
    </row>
    <row r="70" spans="1:7" ht="14.1" customHeight="1" x14ac:dyDescent="0.25">
      <c r="A70" s="140" t="s">
        <v>433</v>
      </c>
      <c r="C70" s="575">
        <v>25000000</v>
      </c>
      <c r="D70" s="575">
        <v>25000000</v>
      </c>
      <c r="E70" s="575">
        <f>+C70-D70</f>
        <v>0</v>
      </c>
      <c r="F70" s="576">
        <v>24699000</v>
      </c>
      <c r="G70" s="575">
        <f>D70-F70</f>
        <v>301000</v>
      </c>
    </row>
    <row r="71" spans="1:7" ht="14.1" customHeight="1" x14ac:dyDescent="0.25">
      <c r="A71" s="140" t="s">
        <v>587</v>
      </c>
      <c r="C71" s="575">
        <v>3970000</v>
      </c>
      <c r="D71" s="575">
        <v>3970000</v>
      </c>
      <c r="E71" s="575">
        <f>+C71-D71</f>
        <v>0</v>
      </c>
      <c r="F71" s="576">
        <v>0</v>
      </c>
      <c r="G71" s="575">
        <f>D71-F71</f>
        <v>3970000</v>
      </c>
    </row>
    <row r="72" spans="1:7" ht="14.1" customHeight="1" x14ac:dyDescent="0.25">
      <c r="A72" s="139" t="s">
        <v>669</v>
      </c>
      <c r="C72" s="577">
        <v>39830321</v>
      </c>
      <c r="D72" s="577">
        <v>39928701</v>
      </c>
      <c r="E72" s="577">
        <f>SUM(E73:E75)</f>
        <v>-98380</v>
      </c>
      <c r="F72" s="577">
        <v>20195044</v>
      </c>
      <c r="G72" s="577">
        <f>SUM(G73:G75)</f>
        <v>19733657</v>
      </c>
    </row>
    <row r="73" spans="1:7" ht="14.1" customHeight="1" x14ac:dyDescent="0.25">
      <c r="A73" s="140" t="s">
        <v>657</v>
      </c>
      <c r="C73" s="575">
        <v>2634720</v>
      </c>
      <c r="D73" s="575">
        <v>2733100</v>
      </c>
      <c r="E73" s="575">
        <f>+C73-D73</f>
        <v>-98380</v>
      </c>
      <c r="F73" s="576">
        <v>2482832</v>
      </c>
      <c r="G73" s="575">
        <f>D73-F73</f>
        <v>250268</v>
      </c>
    </row>
    <row r="74" spans="1:7" ht="14.1" customHeight="1" x14ac:dyDescent="0.25">
      <c r="A74" s="140" t="s">
        <v>433</v>
      </c>
      <c r="C74" s="575">
        <v>37020601</v>
      </c>
      <c r="D74" s="575">
        <v>37020601</v>
      </c>
      <c r="E74" s="575">
        <f>+C74-D74</f>
        <v>0</v>
      </c>
      <c r="F74" s="576">
        <v>17642362</v>
      </c>
      <c r="G74" s="575">
        <f>D74-F74</f>
        <v>19378239</v>
      </c>
    </row>
    <row r="75" spans="1:7" ht="14.1" customHeight="1" x14ac:dyDescent="0.25">
      <c r="A75" s="140" t="s">
        <v>587</v>
      </c>
      <c r="C75" s="575">
        <v>175000</v>
      </c>
      <c r="D75" s="575">
        <v>175000</v>
      </c>
      <c r="E75" s="575">
        <f>+C75-D75</f>
        <v>0</v>
      </c>
      <c r="F75" s="576">
        <v>69850</v>
      </c>
      <c r="G75" s="575">
        <f>D75-F75</f>
        <v>105150</v>
      </c>
    </row>
    <row r="76" spans="1:7" ht="14.1" customHeight="1" x14ac:dyDescent="0.25">
      <c r="A76" s="139" t="s">
        <v>670</v>
      </c>
      <c r="C76" s="577">
        <v>110475694</v>
      </c>
      <c r="D76" s="577">
        <v>121930354</v>
      </c>
      <c r="E76" s="577">
        <f>SUM(E77:E79)</f>
        <v>-11454660</v>
      </c>
      <c r="F76" s="577">
        <v>92055149</v>
      </c>
      <c r="G76" s="577">
        <f>SUM(G77:G79)</f>
        <v>29875205</v>
      </c>
    </row>
    <row r="77" spans="1:7" ht="14.1" customHeight="1" x14ac:dyDescent="0.25">
      <c r="A77" s="140" t="s">
        <v>657</v>
      </c>
      <c r="C77" s="575">
        <v>30000000</v>
      </c>
      <c r="D77" s="575">
        <v>37000000</v>
      </c>
      <c r="E77" s="575">
        <f>+C77-D77</f>
        <v>-7000000</v>
      </c>
      <c r="F77" s="576">
        <v>11802745</v>
      </c>
      <c r="G77" s="575">
        <f>D77-F77</f>
        <v>25197255</v>
      </c>
    </row>
    <row r="78" spans="1:7" ht="14.1" customHeight="1" x14ac:dyDescent="0.25">
      <c r="A78" s="140" t="s">
        <v>433</v>
      </c>
      <c r="C78" s="575">
        <v>80475694</v>
      </c>
      <c r="D78" s="575">
        <v>84930354</v>
      </c>
      <c r="E78" s="575">
        <f>+C78-D78</f>
        <v>-4454660</v>
      </c>
      <c r="F78" s="576">
        <v>80252404</v>
      </c>
      <c r="G78" s="575">
        <f>D78-F78</f>
        <v>4677950</v>
      </c>
    </row>
    <row r="79" spans="1:7" ht="14.1" customHeight="1" x14ac:dyDescent="0.25">
      <c r="A79" s="140" t="s">
        <v>587</v>
      </c>
      <c r="C79" s="575">
        <v>0</v>
      </c>
      <c r="D79" s="575">
        <v>0</v>
      </c>
      <c r="E79" s="575">
        <f>+C79-D79</f>
        <v>0</v>
      </c>
      <c r="F79" s="576">
        <v>0</v>
      </c>
      <c r="G79" s="575">
        <f>D79-F79</f>
        <v>0</v>
      </c>
    </row>
    <row r="80" spans="1:7" s="138" customFormat="1" ht="14.1" customHeight="1" x14ac:dyDescent="0.25">
      <c r="A80" s="565" t="s">
        <v>671</v>
      </c>
      <c r="B80" s="158"/>
      <c r="C80" s="578">
        <f>+C32+C36+C40+C44+C48+C54+C58+C63+C66+C69+C72+C76</f>
        <v>2764904251</v>
      </c>
      <c r="D80" s="578">
        <f>+D32+D36+D40+D44+D48+D54+D58+D63+D66+D69+D72+D76</f>
        <v>3041193524.5900002</v>
      </c>
      <c r="E80" s="578">
        <f>+E32+E36+E40+E44+E48+E54+E58+E63+E66+E69+E72+E76</f>
        <v>-276192738.59000003</v>
      </c>
      <c r="F80" s="578">
        <f>+F32+F36+F40+F44+F48+F54+F58+F63+F66+F69+F72+F76</f>
        <v>1687665796</v>
      </c>
      <c r="G80" s="578">
        <f>+G32+G36+G40+G44+G48+G54+G58+G63+G66+G69+G72+G76</f>
        <v>1353527728.5900002</v>
      </c>
    </row>
    <row r="81" spans="1:9" ht="14.1" customHeight="1" x14ac:dyDescent="0.25">
      <c r="A81" s="135" t="s">
        <v>672</v>
      </c>
      <c r="C81" s="577">
        <f>SUM(C82:C91)</f>
        <v>494969140</v>
      </c>
      <c r="D81" s="577">
        <f>SUM(D82:D91)</f>
        <v>494969140</v>
      </c>
      <c r="E81" s="577">
        <f>SUM(E82:E91)</f>
        <v>0</v>
      </c>
      <c r="F81" s="577">
        <f>SUM(F82:F91)</f>
        <v>59051189</v>
      </c>
      <c r="G81" s="577">
        <f>SUM(G82:G91)</f>
        <v>435917951</v>
      </c>
    </row>
    <row r="82" spans="1:9" ht="14.1" customHeight="1" x14ac:dyDescent="0.25">
      <c r="A82" s="139" t="s">
        <v>656</v>
      </c>
      <c r="C82" s="575">
        <v>315641611</v>
      </c>
      <c r="D82" s="575">
        <v>315641611</v>
      </c>
      <c r="E82" s="575">
        <f t="shared" ref="E82:E91" si="1">+C82-D82</f>
        <v>0</v>
      </c>
      <c r="F82" s="576">
        <v>11339783</v>
      </c>
      <c r="G82" s="575">
        <f t="shared" ref="G82:G91" si="2">D82-F82</f>
        <v>304301828</v>
      </c>
    </row>
    <row r="83" spans="1:9" ht="14.1" customHeight="1" x14ac:dyDescent="0.25">
      <c r="A83" s="139" t="s">
        <v>658</v>
      </c>
      <c r="C83" s="575">
        <v>19098206</v>
      </c>
      <c r="D83" s="575">
        <v>19098206</v>
      </c>
      <c r="E83" s="575">
        <f t="shared" si="1"/>
        <v>0</v>
      </c>
      <c r="F83" s="576">
        <v>579150</v>
      </c>
      <c r="G83" s="575">
        <f t="shared" si="2"/>
        <v>18519056</v>
      </c>
      <c r="I83" s="144"/>
    </row>
    <row r="84" spans="1:9" ht="14.1" customHeight="1" x14ac:dyDescent="0.25">
      <c r="A84" s="139" t="s">
        <v>659</v>
      </c>
      <c r="C84" s="575">
        <v>541271</v>
      </c>
      <c r="D84" s="575">
        <v>541271</v>
      </c>
      <c r="E84" s="575">
        <f t="shared" si="1"/>
        <v>0</v>
      </c>
      <c r="F84" s="576">
        <v>0</v>
      </c>
      <c r="G84" s="575">
        <f t="shared" si="2"/>
        <v>541271</v>
      </c>
    </row>
    <row r="85" spans="1:9" ht="14.1" customHeight="1" x14ac:dyDescent="0.25">
      <c r="A85" s="139" t="s">
        <v>660</v>
      </c>
      <c r="C85" s="575">
        <v>1317884</v>
      </c>
      <c r="D85" s="575">
        <v>1317884</v>
      </c>
      <c r="E85" s="575">
        <f t="shared" si="1"/>
        <v>0</v>
      </c>
      <c r="F85" s="576">
        <v>0</v>
      </c>
      <c r="G85" s="575">
        <f t="shared" si="2"/>
        <v>1317884</v>
      </c>
    </row>
    <row r="86" spans="1:9" ht="14.1" customHeight="1" x14ac:dyDescent="0.25">
      <c r="A86" s="139" t="s">
        <v>661</v>
      </c>
      <c r="C86" s="575">
        <v>2110411</v>
      </c>
      <c r="D86" s="575">
        <v>2110411</v>
      </c>
      <c r="E86" s="575">
        <f t="shared" si="1"/>
        <v>0</v>
      </c>
      <c r="F86" s="576">
        <v>97380</v>
      </c>
      <c r="G86" s="575">
        <f t="shared" si="2"/>
        <v>2013031</v>
      </c>
    </row>
    <row r="87" spans="1:9" ht="14.1" customHeight="1" x14ac:dyDescent="0.25">
      <c r="A87" s="139" t="s">
        <v>662</v>
      </c>
      <c r="C87" s="575">
        <v>6815991</v>
      </c>
      <c r="D87" s="575">
        <v>6815991</v>
      </c>
      <c r="E87" s="575">
        <f t="shared" si="1"/>
        <v>0</v>
      </c>
      <c r="F87" s="576">
        <v>758830</v>
      </c>
      <c r="G87" s="575">
        <f t="shared" si="2"/>
        <v>6057161</v>
      </c>
    </row>
    <row r="88" spans="1:9" ht="14.1" customHeight="1" x14ac:dyDescent="0.25">
      <c r="A88" s="139" t="s">
        <v>664</v>
      </c>
      <c r="C88" s="575">
        <v>6054906</v>
      </c>
      <c r="D88" s="575">
        <v>6054906</v>
      </c>
      <c r="E88" s="575">
        <f t="shared" si="1"/>
        <v>0</v>
      </c>
      <c r="F88" s="576">
        <v>243600</v>
      </c>
      <c r="G88" s="575">
        <f t="shared" si="2"/>
        <v>5811306</v>
      </c>
    </row>
    <row r="89" spans="1:9" ht="14.1" customHeight="1" x14ac:dyDescent="0.25">
      <c r="A89" s="139" t="s">
        <v>667</v>
      </c>
      <c r="C89" s="575">
        <v>64553669</v>
      </c>
      <c r="D89" s="575">
        <v>64553669</v>
      </c>
      <c r="E89" s="575">
        <f t="shared" si="1"/>
        <v>0</v>
      </c>
      <c r="F89" s="576">
        <v>38573000</v>
      </c>
      <c r="G89" s="575">
        <f t="shared" si="2"/>
        <v>25980669</v>
      </c>
    </row>
    <row r="90" spans="1:9" ht="14.1" customHeight="1" x14ac:dyDescent="0.25">
      <c r="A90" s="139" t="s">
        <v>675</v>
      </c>
      <c r="C90" s="575">
        <v>0</v>
      </c>
      <c r="D90" s="575">
        <v>0</v>
      </c>
      <c r="E90" s="575">
        <f t="shared" si="1"/>
        <v>0</v>
      </c>
      <c r="F90" s="576">
        <v>0</v>
      </c>
      <c r="G90" s="575">
        <f t="shared" si="2"/>
        <v>0</v>
      </c>
    </row>
    <row r="91" spans="1:9" ht="14.1" customHeight="1" x14ac:dyDescent="0.25">
      <c r="A91" s="139" t="s">
        <v>673</v>
      </c>
      <c r="C91" s="575">
        <v>78835191</v>
      </c>
      <c r="D91" s="575">
        <v>78835191</v>
      </c>
      <c r="E91" s="575">
        <f t="shared" si="1"/>
        <v>0</v>
      </c>
      <c r="F91" s="576">
        <v>7459446</v>
      </c>
      <c r="G91" s="575">
        <f t="shared" si="2"/>
        <v>71375745</v>
      </c>
    </row>
    <row r="92" spans="1:9" s="138" customFormat="1" ht="14.1" customHeight="1" x14ac:dyDescent="0.25">
      <c r="A92" s="565" t="s">
        <v>674</v>
      </c>
      <c r="B92" s="158"/>
      <c r="C92" s="578">
        <f>SUM(C82:C91)</f>
        <v>494969140</v>
      </c>
      <c r="D92" s="578">
        <f>SUM(D82:D91)</f>
        <v>494969140</v>
      </c>
      <c r="E92" s="578">
        <f>SUM(E82:E91)</f>
        <v>0</v>
      </c>
      <c r="F92" s="578">
        <f>SUM(F82:F91)</f>
        <v>59051189</v>
      </c>
      <c r="G92" s="578">
        <f>SUM(G82:G91)</f>
        <v>435917951</v>
      </c>
    </row>
    <row r="93" spans="1:9" s="138" customFormat="1" ht="14.1" customHeight="1" x14ac:dyDescent="0.25">
      <c r="A93" s="128" t="s">
        <v>981</v>
      </c>
      <c r="B93" s="157"/>
      <c r="C93" s="579">
        <f>+C80+C92</f>
        <v>3259873391</v>
      </c>
      <c r="D93" s="579">
        <f>+D80+D92</f>
        <v>3536162664.5900002</v>
      </c>
      <c r="E93" s="579">
        <f>+E80+E92</f>
        <v>-276192738.59000003</v>
      </c>
      <c r="F93" s="579">
        <f>+F80+F92</f>
        <v>1746716985</v>
      </c>
      <c r="G93" s="579">
        <f>+G80+G92</f>
        <v>1789445679.5900002</v>
      </c>
    </row>
    <row r="94" spans="1:9" ht="14.1" customHeight="1" thickBot="1" x14ac:dyDescent="0.3">
      <c r="A94" s="135" t="s">
        <v>436</v>
      </c>
      <c r="B94" s="159">
        <v>28</v>
      </c>
      <c r="C94" s="580">
        <f>+C29-C93</f>
        <v>-494969140</v>
      </c>
      <c r="D94" s="580">
        <f>+D29-D93</f>
        <v>-771258413.59000015</v>
      </c>
      <c r="E94" s="580">
        <f>+E29-E93</f>
        <v>276192738.59000003</v>
      </c>
      <c r="F94" s="580">
        <f>+F29-F93</f>
        <v>538959943</v>
      </c>
      <c r="G94" s="580">
        <f>+G29-G93</f>
        <v>-1310218356.5900002</v>
      </c>
      <c r="I94" s="144"/>
    </row>
    <row r="95" spans="1:9" ht="14.1" customHeight="1" thickTop="1" x14ac:dyDescent="0.25">
      <c r="A95" s="135"/>
      <c r="B95" s="164"/>
      <c r="C95" s="165"/>
      <c r="D95" s="165"/>
      <c r="E95" s="165"/>
      <c r="F95" s="166"/>
      <c r="G95" s="165"/>
      <c r="I95" s="144"/>
    </row>
    <row r="96" spans="1:9" ht="14.1" customHeight="1" x14ac:dyDescent="0.25">
      <c r="A96" s="581" t="s">
        <v>595</v>
      </c>
      <c r="B96" s="581"/>
      <c r="C96" s="581"/>
      <c r="D96" s="581"/>
      <c r="E96" s="581"/>
      <c r="F96" s="581"/>
      <c r="G96" s="581"/>
      <c r="H96" s="131"/>
    </row>
    <row r="104" spans="5:5" ht="14.1" customHeight="1" x14ac:dyDescent="0.25">
      <c r="E104" s="562"/>
    </row>
    <row r="105" spans="5:5" ht="14.1" customHeight="1" x14ac:dyDescent="0.25">
      <c r="E105" s="562"/>
    </row>
    <row r="106" spans="5:5" ht="14.1" customHeight="1" x14ac:dyDescent="0.25">
      <c r="E106" s="562"/>
    </row>
    <row r="107" spans="5:5" ht="14.1" customHeight="1" x14ac:dyDescent="0.25">
      <c r="E107" s="562"/>
    </row>
    <row r="108" spans="5:5" ht="14.1" customHeight="1" x14ac:dyDescent="0.25">
      <c r="E108" s="562"/>
    </row>
    <row r="109" spans="5:5" ht="14.1" customHeight="1" x14ac:dyDescent="0.25">
      <c r="E109" s="562"/>
    </row>
    <row r="110" spans="5:5" ht="14.1" customHeight="1" x14ac:dyDescent="0.25">
      <c r="E110" s="562"/>
    </row>
  </sheetData>
  <mergeCells count="9">
    <mergeCell ref="A96:G96"/>
    <mergeCell ref="A1:G1"/>
    <mergeCell ref="A2:G2"/>
    <mergeCell ref="A3:G3"/>
    <mergeCell ref="B6:B7"/>
    <mergeCell ref="C6:D6"/>
    <mergeCell ref="E6:E7"/>
    <mergeCell ref="F6:F7"/>
    <mergeCell ref="G6:G7"/>
  </mergeCells>
  <printOptions horizontalCentered="1"/>
  <pageMargins left="1.5" right="1" top="1" bottom="1" header="0" footer="0.74"/>
  <pageSetup scale="59" firstPageNumber="8" fitToHeight="0" orientation="portrait" useFirstPageNumber="1" r:id="rId1"/>
  <headerFooter differentOddEven="1" scaleWithDoc="0">
    <oddFooter>&amp;C9</oddFooter>
    <evenFooter>&amp;C10</evenFooter>
  </headerFooter>
  <ignoredErrors>
    <ignoredError sqref="C32 F32 E32 D32 G32 C27" formulaRange="1"/>
    <ignoredError sqref="E14 E19 G27 E36 G36 E40 E44 E48 G44 G40 E58 G58 G66 E66 E69 E72 E76 G69 G72 G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52"/>
  <sheetViews>
    <sheetView workbookViewId="0"/>
  </sheetViews>
  <sheetFormatPr defaultColWidth="9.140625" defaultRowHeight="12.75" x14ac:dyDescent="0.2"/>
  <cols>
    <col min="1" max="1" width="9.140625" style="122" customWidth="1"/>
    <col min="2" max="2" width="2.7109375" style="122" customWidth="1"/>
    <col min="3" max="3" width="52.140625" style="122" customWidth="1"/>
    <col min="4" max="5" width="11" style="123" bestFit="1" customWidth="1"/>
    <col min="6" max="6" width="10.42578125" style="122" bestFit="1" customWidth="1"/>
    <col min="7" max="7" width="9.140625" style="122"/>
    <col min="8" max="8" width="12" style="372" bestFit="1" customWidth="1"/>
    <col min="9" max="9" width="11.140625" style="372" bestFit="1" customWidth="1"/>
    <col min="10" max="16384" width="9.140625" style="122"/>
  </cols>
  <sheetData>
    <row r="1" spans="1:9" s="365" customFormat="1" x14ac:dyDescent="0.2">
      <c r="A1" s="367" t="s">
        <v>752</v>
      </c>
      <c r="B1" s="364"/>
      <c r="D1" s="366"/>
      <c r="E1" s="366"/>
      <c r="H1" s="366"/>
      <c r="I1" s="366"/>
    </row>
    <row r="2" spans="1:9" s="365" customFormat="1" x14ac:dyDescent="0.2">
      <c r="A2" s="363" t="s">
        <v>753</v>
      </c>
      <c r="B2" s="364"/>
      <c r="D2" s="366"/>
      <c r="E2" s="366"/>
      <c r="H2" s="366"/>
      <c r="I2" s="366"/>
    </row>
    <row r="3" spans="1:9" s="365" customFormat="1" x14ac:dyDescent="0.2">
      <c r="A3" s="363" t="s">
        <v>754</v>
      </c>
      <c r="B3" s="364"/>
      <c r="D3" s="366"/>
      <c r="E3" s="366"/>
      <c r="H3" s="366"/>
      <c r="I3" s="366"/>
    </row>
    <row r="4" spans="1:9" s="365" customFormat="1" x14ac:dyDescent="0.2">
      <c r="A4" s="363" t="s">
        <v>431</v>
      </c>
      <c r="B4" s="364"/>
      <c r="D4" s="366"/>
      <c r="E4" s="366"/>
      <c r="H4" s="366"/>
      <c r="I4" s="366"/>
    </row>
    <row r="6" spans="1:9" x14ac:dyDescent="0.2">
      <c r="A6" s="361" t="s">
        <v>750</v>
      </c>
      <c r="B6" s="591" t="s">
        <v>751</v>
      </c>
      <c r="C6" s="591"/>
      <c r="D6" s="362" t="s">
        <v>445</v>
      </c>
      <c r="E6" s="362" t="s">
        <v>446</v>
      </c>
    </row>
    <row r="7" spans="1:9" x14ac:dyDescent="0.2">
      <c r="A7" s="122">
        <v>20201050</v>
      </c>
      <c r="B7" s="122" t="s">
        <v>606</v>
      </c>
      <c r="D7" s="123">
        <v>5179236</v>
      </c>
      <c r="H7" s="372">
        <v>5179235.71</v>
      </c>
    </row>
    <row r="8" spans="1:9" x14ac:dyDescent="0.2">
      <c r="A8" s="122">
        <v>20201070</v>
      </c>
      <c r="B8" s="122" t="s">
        <v>176</v>
      </c>
      <c r="D8" s="123">
        <v>40910</v>
      </c>
      <c r="H8" s="372">
        <v>40910</v>
      </c>
    </row>
    <row r="9" spans="1:9" x14ac:dyDescent="0.2">
      <c r="A9" s="122">
        <v>20401020</v>
      </c>
      <c r="B9" s="122" t="s">
        <v>633</v>
      </c>
      <c r="D9" s="123">
        <v>20242984</v>
      </c>
      <c r="H9" s="372">
        <v>20242984.289999999</v>
      </c>
    </row>
    <row r="10" spans="1:9" x14ac:dyDescent="0.2">
      <c r="A10" s="122">
        <v>29999990</v>
      </c>
      <c r="B10" s="122" t="s">
        <v>632</v>
      </c>
      <c r="D10" s="123">
        <v>14000</v>
      </c>
      <c r="H10" s="372">
        <v>14000</v>
      </c>
    </row>
    <row r="11" spans="1:9" x14ac:dyDescent="0.2">
      <c r="A11" s="122">
        <v>40201980</v>
      </c>
      <c r="B11" s="122" t="s">
        <v>746</v>
      </c>
      <c r="D11" s="123">
        <v>11362</v>
      </c>
      <c r="H11" s="372">
        <v>11362</v>
      </c>
    </row>
    <row r="12" spans="1:9" x14ac:dyDescent="0.2">
      <c r="A12" s="122">
        <v>40202220</v>
      </c>
      <c r="B12" s="122" t="s">
        <v>263</v>
      </c>
      <c r="D12" s="123">
        <v>114</v>
      </c>
      <c r="H12" s="372">
        <v>114.38</v>
      </c>
    </row>
    <row r="13" spans="1:9" x14ac:dyDescent="0.2">
      <c r="A13" s="122">
        <v>40202220</v>
      </c>
      <c r="B13" s="122" t="s">
        <v>263</v>
      </c>
      <c r="D13" s="123">
        <v>112360</v>
      </c>
      <c r="H13" s="372">
        <v>112359.61</v>
      </c>
    </row>
    <row r="14" spans="1:9" x14ac:dyDescent="0.2">
      <c r="A14" s="122">
        <v>20201050</v>
      </c>
      <c r="C14" s="122" t="s">
        <v>606</v>
      </c>
      <c r="E14" s="123">
        <v>46152</v>
      </c>
      <c r="I14" s="372">
        <v>46152.480000000003</v>
      </c>
    </row>
    <row r="15" spans="1:9" x14ac:dyDescent="0.2">
      <c r="A15" s="122">
        <v>20201050</v>
      </c>
      <c r="C15" s="122" t="s">
        <v>606</v>
      </c>
      <c r="E15" s="123">
        <v>114</v>
      </c>
      <c r="I15" s="372">
        <v>114.38</v>
      </c>
    </row>
    <row r="16" spans="1:9" x14ac:dyDescent="0.2">
      <c r="A16" s="122">
        <v>20201050</v>
      </c>
      <c r="C16" s="122" t="s">
        <v>606</v>
      </c>
      <c r="E16" s="123">
        <v>11362</v>
      </c>
      <c r="I16" s="372">
        <v>11362</v>
      </c>
    </row>
    <row r="17" spans="1:9" x14ac:dyDescent="0.2">
      <c r="A17" s="122">
        <v>20201070</v>
      </c>
      <c r="C17" s="122" t="s">
        <v>176</v>
      </c>
      <c r="E17" s="123">
        <v>193</v>
      </c>
      <c r="I17" s="372">
        <v>192.79</v>
      </c>
    </row>
    <row r="18" spans="1:9" x14ac:dyDescent="0.2">
      <c r="A18" s="122">
        <v>20401020</v>
      </c>
      <c r="C18" s="122" t="s">
        <v>633</v>
      </c>
      <c r="E18" s="123">
        <v>40618</v>
      </c>
      <c r="I18" s="372">
        <v>40617.760000000002</v>
      </c>
    </row>
    <row r="19" spans="1:9" x14ac:dyDescent="0.2">
      <c r="A19" s="122">
        <v>20401030</v>
      </c>
      <c r="C19" s="122" t="s">
        <v>184</v>
      </c>
      <c r="E19" s="123">
        <v>268</v>
      </c>
      <c r="I19" s="372">
        <v>268.44</v>
      </c>
    </row>
    <row r="20" spans="1:9" x14ac:dyDescent="0.2">
      <c r="A20" s="122">
        <v>20401040</v>
      </c>
      <c r="C20" s="122" t="s">
        <v>186</v>
      </c>
      <c r="E20" s="123">
        <v>194</v>
      </c>
      <c r="I20" s="372">
        <v>193.68</v>
      </c>
    </row>
    <row r="21" spans="1:9" x14ac:dyDescent="0.2">
      <c r="A21" s="122">
        <v>29999990</v>
      </c>
      <c r="C21" s="122" t="s">
        <v>632</v>
      </c>
      <c r="E21" s="123">
        <v>24935</v>
      </c>
      <c r="I21" s="372">
        <v>24934.46</v>
      </c>
    </row>
    <row r="22" spans="1:9" x14ac:dyDescent="0.2">
      <c r="A22" s="122">
        <v>50102990</v>
      </c>
      <c r="C22" s="122" t="s">
        <v>465</v>
      </c>
      <c r="E22" s="123">
        <v>324000</v>
      </c>
      <c r="I22" s="372">
        <v>324000</v>
      </c>
    </row>
    <row r="23" spans="1:9" x14ac:dyDescent="0.2">
      <c r="A23" s="122">
        <v>50201010</v>
      </c>
      <c r="C23" s="122" t="s">
        <v>307</v>
      </c>
      <c r="E23" s="123">
        <v>14766</v>
      </c>
      <c r="I23" s="372">
        <v>14766</v>
      </c>
    </row>
    <row r="24" spans="1:9" x14ac:dyDescent="0.2">
      <c r="A24" s="122">
        <v>50202010</v>
      </c>
      <c r="C24" s="122" t="s">
        <v>311</v>
      </c>
      <c r="E24" s="123">
        <v>1990930</v>
      </c>
      <c r="I24" s="372">
        <v>1990930</v>
      </c>
    </row>
    <row r="25" spans="1:9" x14ac:dyDescent="0.2">
      <c r="A25" s="122">
        <v>50203020</v>
      </c>
      <c r="C25" s="122" t="s">
        <v>315</v>
      </c>
      <c r="E25" s="123">
        <v>173176</v>
      </c>
      <c r="I25" s="372">
        <v>173176.25</v>
      </c>
    </row>
    <row r="26" spans="1:9" x14ac:dyDescent="0.2">
      <c r="A26" s="122">
        <v>50203050</v>
      </c>
      <c r="C26" s="122" t="s">
        <v>321</v>
      </c>
      <c r="E26" s="123">
        <v>2866717</v>
      </c>
      <c r="I26" s="372">
        <v>2866716.55</v>
      </c>
    </row>
    <row r="27" spans="1:9" x14ac:dyDescent="0.2">
      <c r="A27" s="122">
        <v>50203060</v>
      </c>
      <c r="C27" s="122" t="s">
        <v>323</v>
      </c>
      <c r="E27" s="123">
        <v>3964325</v>
      </c>
      <c r="I27" s="372">
        <v>3964325.41</v>
      </c>
    </row>
    <row r="28" spans="1:9" x14ac:dyDescent="0.2">
      <c r="A28" s="122">
        <v>50203080</v>
      </c>
      <c r="C28" s="122" t="s">
        <v>747</v>
      </c>
      <c r="E28" s="123">
        <v>958425</v>
      </c>
      <c r="I28" s="372">
        <v>958424.65</v>
      </c>
    </row>
    <row r="29" spans="1:9" x14ac:dyDescent="0.2">
      <c r="A29" s="122">
        <v>50203090</v>
      </c>
      <c r="C29" s="122" t="s">
        <v>748</v>
      </c>
      <c r="E29" s="123">
        <v>6500</v>
      </c>
      <c r="I29" s="372">
        <v>6500</v>
      </c>
    </row>
    <row r="30" spans="1:9" x14ac:dyDescent="0.2">
      <c r="A30" s="122">
        <v>50203990</v>
      </c>
      <c r="C30" s="122" t="s">
        <v>333</v>
      </c>
      <c r="E30" s="123">
        <v>6253134</v>
      </c>
      <c r="I30" s="372">
        <v>6253133.7000000002</v>
      </c>
    </row>
    <row r="31" spans="1:9" x14ac:dyDescent="0.2">
      <c r="A31" s="122">
        <v>50205030</v>
      </c>
      <c r="C31" s="122" t="s">
        <v>343</v>
      </c>
      <c r="E31" s="123">
        <v>2680</v>
      </c>
      <c r="I31" s="372">
        <v>2680.06</v>
      </c>
    </row>
    <row r="32" spans="1:9" x14ac:dyDescent="0.2">
      <c r="A32" s="122">
        <v>50205040</v>
      </c>
      <c r="C32" s="122" t="s">
        <v>719</v>
      </c>
      <c r="E32" s="123">
        <v>1337761</v>
      </c>
      <c r="I32" s="372">
        <v>1337761.29</v>
      </c>
    </row>
    <row r="33" spans="1:9" x14ac:dyDescent="0.2">
      <c r="A33" s="122">
        <v>50212010</v>
      </c>
      <c r="C33" s="122" t="s">
        <v>359</v>
      </c>
      <c r="E33" s="123">
        <v>262500</v>
      </c>
      <c r="I33" s="372">
        <v>262500</v>
      </c>
    </row>
    <row r="34" spans="1:9" x14ac:dyDescent="0.2">
      <c r="A34" s="122">
        <v>50212990</v>
      </c>
      <c r="C34" s="122" t="s">
        <v>365</v>
      </c>
      <c r="E34" s="123">
        <v>2923778</v>
      </c>
      <c r="I34" s="372">
        <v>2923777.92</v>
      </c>
    </row>
    <row r="35" spans="1:9" x14ac:dyDescent="0.2">
      <c r="A35" s="122">
        <v>50213050</v>
      </c>
      <c r="C35" s="122" t="s">
        <v>749</v>
      </c>
      <c r="E35" s="123">
        <v>465240</v>
      </c>
      <c r="I35" s="372">
        <v>465240</v>
      </c>
    </row>
    <row r="36" spans="1:9" x14ac:dyDescent="0.2">
      <c r="A36" s="122">
        <v>50299020</v>
      </c>
      <c r="C36" s="122" t="s">
        <v>727</v>
      </c>
      <c r="E36" s="123">
        <v>98625</v>
      </c>
      <c r="I36" s="372">
        <v>98625</v>
      </c>
    </row>
    <row r="37" spans="1:9" x14ac:dyDescent="0.2">
      <c r="A37" s="122">
        <v>50299030</v>
      </c>
      <c r="C37" s="122" t="s">
        <v>397</v>
      </c>
      <c r="E37" s="123">
        <v>22641</v>
      </c>
      <c r="I37" s="372">
        <v>22641</v>
      </c>
    </row>
    <row r="38" spans="1:9" x14ac:dyDescent="0.2">
      <c r="A38" s="122">
        <v>50299080</v>
      </c>
      <c r="C38" s="122" t="s">
        <v>405</v>
      </c>
      <c r="E38" s="123">
        <v>3811932</v>
      </c>
      <c r="I38" s="372">
        <v>3811932.17</v>
      </c>
    </row>
    <row r="39" spans="1:9" ht="13.5" thickBot="1" x14ac:dyDescent="0.25">
      <c r="A39" s="369"/>
      <c r="B39" s="370"/>
      <c r="C39" s="370"/>
      <c r="D39" s="369">
        <f>SUM(D7:D38)</f>
        <v>25600966</v>
      </c>
      <c r="E39" s="369">
        <f>SUM(E7:E38)</f>
        <v>25600966</v>
      </c>
      <c r="F39" s="371">
        <f>+D39-E39</f>
        <v>0</v>
      </c>
    </row>
    <row r="40" spans="1:9" ht="13.5" thickTop="1" x14ac:dyDescent="0.2">
      <c r="C40" s="122" t="s">
        <v>677</v>
      </c>
    </row>
    <row r="44" spans="1:9" x14ac:dyDescent="0.2">
      <c r="A44" s="241" t="s">
        <v>755</v>
      </c>
      <c r="D44" s="56"/>
      <c r="E44" s="54"/>
    </row>
    <row r="45" spans="1:9" x14ac:dyDescent="0.2">
      <c r="B45" s="55" t="s">
        <v>684</v>
      </c>
      <c r="D45" s="242" t="e">
        <f>+#REF!</f>
        <v>#REF!</v>
      </c>
      <c r="E45" s="54"/>
    </row>
    <row r="46" spans="1:9" x14ac:dyDescent="0.2">
      <c r="B46" s="55" t="s">
        <v>685</v>
      </c>
      <c r="D46" s="242" t="e">
        <f>+#REF!</f>
        <v>#REF!</v>
      </c>
      <c r="E46" s="54"/>
    </row>
    <row r="47" spans="1:9" x14ac:dyDescent="0.2">
      <c r="B47" s="55" t="s">
        <v>686</v>
      </c>
      <c r="D47" s="242" t="e">
        <f>+#REF!</f>
        <v>#REF!</v>
      </c>
      <c r="E47" s="54"/>
    </row>
    <row r="48" spans="1:9" x14ac:dyDescent="0.2">
      <c r="C48" s="55" t="s">
        <v>687</v>
      </c>
      <c r="D48" s="56"/>
      <c r="E48" s="54" t="e">
        <f>+#REF!</f>
        <v>#REF!</v>
      </c>
    </row>
    <row r="49" spans="1:6" x14ac:dyDescent="0.2">
      <c r="C49" s="55" t="s">
        <v>688</v>
      </c>
      <c r="D49" s="56"/>
      <c r="E49" s="54" t="e">
        <f>+#REF!</f>
        <v>#REF!</v>
      </c>
    </row>
    <row r="50" spans="1:6" x14ac:dyDescent="0.2">
      <c r="C50" s="55" t="s">
        <v>689</v>
      </c>
      <c r="D50" s="56"/>
      <c r="E50" s="54" t="e">
        <f>+#REF!</f>
        <v>#REF!</v>
      </c>
    </row>
    <row r="51" spans="1:6" ht="13.5" thickBot="1" x14ac:dyDescent="0.25">
      <c r="A51" s="243"/>
      <c r="B51" s="368"/>
      <c r="C51" s="368"/>
      <c r="D51" s="244" t="e">
        <f>SUBTOTAL(9,D45:D50)</f>
        <v>#REF!</v>
      </c>
      <c r="E51" s="244" t="e">
        <f>SUBTOTAL(9,E45:E50)</f>
        <v>#REF!</v>
      </c>
      <c r="F51" s="371" t="e">
        <f>+D51-E51</f>
        <v>#REF!</v>
      </c>
    </row>
    <row r="52" spans="1:6" ht="13.5" thickTop="1" x14ac:dyDescent="0.2"/>
  </sheetData>
  <mergeCells count="1">
    <mergeCell ref="B6:C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rgb="FFCC00FF"/>
  </sheetPr>
  <dimension ref="A1:AA532"/>
  <sheetViews>
    <sheetView topLeftCell="A130" zoomScale="91" zoomScaleNormal="91" workbookViewId="0">
      <selection activeCell="C43" sqref="C43"/>
    </sheetView>
  </sheetViews>
  <sheetFormatPr defaultColWidth="9.140625" defaultRowHeight="15.75" x14ac:dyDescent="0.25"/>
  <cols>
    <col min="1" max="1" width="43.85546875" style="76" customWidth="1"/>
    <col min="2" max="2" width="2" style="455" customWidth="1"/>
    <col min="3" max="3" width="17" style="97" bestFit="1" customWidth="1"/>
    <col min="4" max="4" width="2" style="264" customWidth="1"/>
    <col min="5" max="5" width="20.28515625" style="76" bestFit="1" customWidth="1"/>
    <col min="6" max="6" width="2" style="264" customWidth="1"/>
    <col min="7" max="7" width="15.28515625" style="76" bestFit="1" customWidth="1"/>
    <col min="8" max="8" width="13.5703125" style="76" bestFit="1" customWidth="1"/>
    <col min="9" max="9" width="13.140625" style="76" bestFit="1" customWidth="1"/>
    <col min="10" max="10" width="19.140625" style="76" bestFit="1" customWidth="1"/>
    <col min="11" max="11" width="1.5703125" style="76" customWidth="1"/>
    <col min="12" max="12" width="13.140625" style="76" bestFit="1" customWidth="1"/>
    <col min="13" max="13" width="1.5703125" style="76" customWidth="1"/>
    <col min="14" max="14" width="16.28515625" style="76" bestFit="1" customWidth="1"/>
    <col min="15" max="15" width="1.5703125" style="76" customWidth="1"/>
    <col min="16" max="16" width="13.140625" style="76" bestFit="1" customWidth="1"/>
    <col min="17" max="17" width="14" style="76" bestFit="1" customWidth="1"/>
    <col min="18" max="18" width="9.140625" style="76"/>
    <col min="19" max="19" width="11.28515625" style="76" bestFit="1" customWidth="1"/>
    <col min="20" max="20" width="16.7109375" style="76" bestFit="1" customWidth="1"/>
    <col min="21" max="21" width="10" style="121" bestFit="1" customWidth="1"/>
    <col min="22" max="22" width="14.140625" style="88" customWidth="1"/>
    <col min="23" max="23" width="16.85546875" style="88" bestFit="1" customWidth="1"/>
    <col min="24" max="24" width="14.85546875" style="88" bestFit="1" customWidth="1"/>
    <col min="25" max="25" width="15.85546875" style="88" bestFit="1" customWidth="1"/>
    <col min="26" max="26" width="18.28515625" style="88" bestFit="1" customWidth="1"/>
    <col min="27" max="27" width="16.85546875" style="76" bestFit="1" customWidth="1"/>
    <col min="28" max="16384" width="9.140625" style="76"/>
  </cols>
  <sheetData>
    <row r="1" spans="1:10" x14ac:dyDescent="0.25">
      <c r="A1" s="171" t="s">
        <v>770</v>
      </c>
      <c r="B1" s="450"/>
    </row>
    <row r="2" spans="1:10" x14ac:dyDescent="0.25">
      <c r="A2" s="172"/>
      <c r="B2" s="451"/>
      <c r="C2" s="173">
        <v>2018</v>
      </c>
      <c r="D2" s="260"/>
      <c r="E2" s="173">
        <v>2017</v>
      </c>
      <c r="F2" s="382"/>
    </row>
    <row r="3" spans="1:10" x14ac:dyDescent="0.25">
      <c r="A3" s="113" t="e">
        <f>#REF!</f>
        <v>#REF!</v>
      </c>
      <c r="B3" s="452"/>
      <c r="C3" s="114" t="e">
        <f>+#REF!</f>
        <v>#REF!</v>
      </c>
      <c r="D3" s="261"/>
      <c r="E3" s="167">
        <v>87272737</v>
      </c>
      <c r="F3" s="262"/>
    </row>
    <row r="4" spans="1:10" x14ac:dyDescent="0.25">
      <c r="A4" s="74" t="e">
        <f>#REF!</f>
        <v>#REF!</v>
      </c>
      <c r="B4" s="453"/>
      <c r="C4" s="94" t="e">
        <f>+#REF!</f>
        <v>#REF!</v>
      </c>
      <c r="D4" s="262"/>
      <c r="E4" s="167">
        <v>230079769</v>
      </c>
      <c r="F4" s="262"/>
    </row>
    <row r="5" spans="1:10" x14ac:dyDescent="0.25">
      <c r="A5" s="74" t="e">
        <f>#REF!</f>
        <v>#REF!</v>
      </c>
      <c r="B5" s="453"/>
      <c r="C5" s="94" t="e">
        <f>+#REF!</f>
        <v>#REF!</v>
      </c>
      <c r="D5" s="262"/>
      <c r="E5" s="167">
        <v>943996781</v>
      </c>
      <c r="F5" s="262"/>
    </row>
    <row r="6" spans="1:10" ht="16.5" thickBot="1" x14ac:dyDescent="0.3">
      <c r="A6" s="95"/>
      <c r="B6" s="454"/>
      <c r="C6" s="96" t="e">
        <f>SUM(C3:C5)</f>
        <v>#REF!</v>
      </c>
      <c r="D6" s="263"/>
      <c r="E6" s="96">
        <f>SUM(E3:E5)</f>
        <v>1261349287</v>
      </c>
      <c r="F6" s="382"/>
    </row>
    <row r="7" spans="1:10" ht="16.5" thickTop="1" x14ac:dyDescent="0.25">
      <c r="C7" s="97" t="e">
        <f>+C6-#REF!</f>
        <v>#REF!</v>
      </c>
      <c r="E7" s="97" t="e">
        <f>+E6-#REF!</f>
        <v>#REF!</v>
      </c>
      <c r="F7" s="262"/>
    </row>
    <row r="8" spans="1:10" x14ac:dyDescent="0.25">
      <c r="F8" s="262"/>
    </row>
    <row r="9" spans="1:10" x14ac:dyDescent="0.25">
      <c r="F9" s="262"/>
    </row>
    <row r="10" spans="1:10" x14ac:dyDescent="0.25">
      <c r="A10" s="171" t="e">
        <f>#REF!</f>
        <v>#REF!</v>
      </c>
      <c r="B10" s="450"/>
      <c r="F10" s="262"/>
    </row>
    <row r="11" spans="1:10" x14ac:dyDescent="0.25">
      <c r="A11" s="172"/>
      <c r="B11" s="451"/>
      <c r="C11" s="173">
        <v>2018</v>
      </c>
      <c r="D11" s="260"/>
      <c r="E11" s="173">
        <v>2017</v>
      </c>
      <c r="F11" s="382"/>
    </row>
    <row r="12" spans="1:10" x14ac:dyDescent="0.25">
      <c r="A12" s="174" t="s">
        <v>469</v>
      </c>
      <c r="B12" s="456"/>
      <c r="C12" s="175"/>
      <c r="D12" s="265"/>
      <c r="E12" s="175"/>
      <c r="F12" s="382"/>
    </row>
    <row r="13" spans="1:10" x14ac:dyDescent="0.25">
      <c r="A13" s="176" t="s">
        <v>15</v>
      </c>
      <c r="B13" s="453"/>
      <c r="C13" s="94" t="e">
        <f>+#REF!</f>
        <v>#REF!</v>
      </c>
      <c r="D13" s="262"/>
      <c r="E13" s="168">
        <v>46569</v>
      </c>
      <c r="F13" s="262"/>
    </row>
    <row r="14" spans="1:10" x14ac:dyDescent="0.25">
      <c r="A14" s="176" t="s">
        <v>17</v>
      </c>
      <c r="B14" s="453"/>
      <c r="C14" s="94" t="e">
        <f>+#REF!</f>
        <v>#REF!</v>
      </c>
      <c r="D14" s="262"/>
      <c r="E14" s="168">
        <v>84086805</v>
      </c>
      <c r="F14" s="262"/>
    </row>
    <row r="15" spans="1:10" x14ac:dyDescent="0.25">
      <c r="A15" s="176" t="s">
        <v>19</v>
      </c>
      <c r="B15" s="453"/>
      <c r="C15" s="94" t="e">
        <f>+#REF!</f>
        <v>#REF!</v>
      </c>
      <c r="D15" s="262"/>
      <c r="E15" s="168">
        <v>48842463</v>
      </c>
      <c r="F15" s="262"/>
      <c r="J15" s="97" t="e">
        <f>+C14+C15</f>
        <v>#REF!</v>
      </c>
    </row>
    <row r="16" spans="1:10" x14ac:dyDescent="0.25">
      <c r="A16" s="170" t="s">
        <v>682</v>
      </c>
      <c r="B16" s="457"/>
      <c r="C16" s="177" t="e">
        <f>SUM(C13:C15)</f>
        <v>#REF!</v>
      </c>
      <c r="D16" s="266"/>
      <c r="E16" s="177">
        <f>SUM(E13:E15)</f>
        <v>132975837</v>
      </c>
      <c r="F16" s="383"/>
    </row>
    <row r="17" spans="1:6" x14ac:dyDescent="0.25">
      <c r="A17" s="169" t="s">
        <v>683</v>
      </c>
      <c r="B17" s="458"/>
      <c r="C17" s="178"/>
      <c r="D17" s="267"/>
      <c r="E17" s="178"/>
      <c r="F17" s="383"/>
    </row>
    <row r="18" spans="1:6" x14ac:dyDescent="0.25">
      <c r="A18" s="176" t="s">
        <v>451</v>
      </c>
      <c r="B18" s="459"/>
      <c r="C18" s="94" t="e">
        <f>+#REF!</f>
        <v>#REF!</v>
      </c>
      <c r="D18" s="262"/>
      <c r="E18" s="94">
        <v>76275553</v>
      </c>
      <c r="F18" s="262"/>
    </row>
    <row r="19" spans="1:6" x14ac:dyDescent="0.25">
      <c r="A19" s="170" t="s">
        <v>682</v>
      </c>
      <c r="B19" s="457"/>
      <c r="C19" s="177" t="e">
        <f>SUM(C18)</f>
        <v>#REF!</v>
      </c>
      <c r="D19" s="266"/>
      <c r="E19" s="177">
        <f>SUM(E18)</f>
        <v>76275553</v>
      </c>
      <c r="F19" s="383"/>
    </row>
    <row r="20" spans="1:6" x14ac:dyDescent="0.25">
      <c r="A20" s="68" t="s">
        <v>470</v>
      </c>
      <c r="B20" s="459"/>
      <c r="C20" s="94"/>
      <c r="D20" s="262"/>
      <c r="E20" s="94"/>
      <c r="F20" s="262"/>
    </row>
    <row r="21" spans="1:6" x14ac:dyDescent="0.25">
      <c r="A21" s="176" t="s">
        <v>21</v>
      </c>
      <c r="B21" s="453"/>
      <c r="C21" s="94" t="e">
        <f>+#REF!</f>
        <v>#REF!</v>
      </c>
      <c r="D21" s="262"/>
      <c r="E21" s="179">
        <v>1081005</v>
      </c>
      <c r="F21" s="262"/>
    </row>
    <row r="22" spans="1:6" x14ac:dyDescent="0.25">
      <c r="A22" s="176" t="s">
        <v>23</v>
      </c>
      <c r="B22" s="453"/>
      <c r="C22" s="71" t="e">
        <f>+#REF!</f>
        <v>#REF!</v>
      </c>
      <c r="D22" s="262"/>
      <c r="E22" s="71">
        <v>0</v>
      </c>
      <c r="F22" s="262"/>
    </row>
    <row r="23" spans="1:6" x14ac:dyDescent="0.25">
      <c r="A23" s="176" t="s">
        <v>25</v>
      </c>
      <c r="B23" s="453"/>
      <c r="C23" s="71" t="e">
        <f>+#REF!</f>
        <v>#REF!</v>
      </c>
      <c r="D23" s="262"/>
      <c r="E23" s="71">
        <v>0</v>
      </c>
      <c r="F23" s="262"/>
    </row>
    <row r="24" spans="1:6" x14ac:dyDescent="0.25">
      <c r="A24" s="170" t="s">
        <v>682</v>
      </c>
      <c r="B24" s="457"/>
      <c r="C24" s="177" t="e">
        <f>SUM(C21:C23)</f>
        <v>#REF!</v>
      </c>
      <c r="D24" s="266"/>
      <c r="E24" s="177">
        <f>SUM(E21:E23)</f>
        <v>1081005</v>
      </c>
      <c r="F24" s="383"/>
    </row>
    <row r="25" spans="1:6" hidden="1" x14ac:dyDescent="0.25">
      <c r="A25" s="68" t="s">
        <v>471</v>
      </c>
      <c r="B25" s="459"/>
      <c r="C25" s="94"/>
      <c r="D25" s="262"/>
      <c r="E25" s="94"/>
      <c r="F25" s="262"/>
    </row>
    <row r="26" spans="1:6" hidden="1" x14ac:dyDescent="0.25">
      <c r="A26" s="92" t="s">
        <v>27</v>
      </c>
      <c r="B26" s="460"/>
      <c r="C26" s="180">
        <v>0</v>
      </c>
      <c r="D26" s="268"/>
      <c r="E26" s="180">
        <v>0</v>
      </c>
      <c r="F26" s="262"/>
    </row>
    <row r="27" spans="1:6" x14ac:dyDescent="0.25">
      <c r="A27" s="68" t="s">
        <v>472</v>
      </c>
      <c r="B27" s="459"/>
      <c r="C27" s="94"/>
      <c r="D27" s="262"/>
      <c r="E27" s="94"/>
      <c r="F27" s="262"/>
    </row>
    <row r="28" spans="1:6" x14ac:dyDescent="0.25">
      <c r="A28" s="176" t="s">
        <v>462</v>
      </c>
      <c r="B28" s="453"/>
      <c r="C28" s="71" t="e">
        <f>+#REF!</f>
        <v>#REF!</v>
      </c>
      <c r="D28" s="262"/>
      <c r="E28" s="65">
        <v>0</v>
      </c>
      <c r="F28" s="262"/>
    </row>
    <row r="29" spans="1:6" x14ac:dyDescent="0.25">
      <c r="A29" s="176" t="s">
        <v>456</v>
      </c>
      <c r="B29" s="453"/>
      <c r="C29" s="71" t="e">
        <f>+#REF!</f>
        <v>#REF!</v>
      </c>
      <c r="D29" s="262"/>
      <c r="E29" s="94">
        <v>11681</v>
      </c>
      <c r="F29" s="262"/>
    </row>
    <row r="30" spans="1:6" x14ac:dyDescent="0.25">
      <c r="A30" s="170" t="s">
        <v>682</v>
      </c>
      <c r="B30" s="457"/>
      <c r="C30" s="181" t="e">
        <f>SUM(C28:C29)</f>
        <v>#REF!</v>
      </c>
      <c r="D30" s="266"/>
      <c r="E30" s="177">
        <f>SUM(E28:E29)</f>
        <v>11681</v>
      </c>
      <c r="F30" s="383"/>
    </row>
    <row r="31" spans="1:6" x14ac:dyDescent="0.25">
      <c r="A31" s="68" t="s">
        <v>35</v>
      </c>
      <c r="B31" s="459"/>
      <c r="C31" s="94"/>
      <c r="D31" s="262"/>
      <c r="E31" s="94"/>
      <c r="F31" s="262"/>
    </row>
    <row r="32" spans="1:6" x14ac:dyDescent="0.25">
      <c r="A32" s="176" t="s">
        <v>31</v>
      </c>
      <c r="B32" s="453"/>
      <c r="C32" s="94" t="e">
        <f>+#REF!</f>
        <v>#REF!</v>
      </c>
      <c r="D32" s="262"/>
      <c r="E32" s="94">
        <v>7619406</v>
      </c>
      <c r="F32" s="262"/>
    </row>
    <row r="33" spans="1:12" x14ac:dyDescent="0.25">
      <c r="A33" s="176" t="s">
        <v>33</v>
      </c>
      <c r="B33" s="453"/>
      <c r="C33" s="94" t="e">
        <f>+#REF!</f>
        <v>#REF!</v>
      </c>
      <c r="D33" s="262"/>
      <c r="E33" s="94">
        <v>1491164</v>
      </c>
      <c r="F33" s="262"/>
    </row>
    <row r="34" spans="1:12" x14ac:dyDescent="0.25">
      <c r="A34" s="115" t="s">
        <v>35</v>
      </c>
      <c r="B34" s="460"/>
      <c r="C34" s="180" t="e">
        <f>+#REF!</f>
        <v>#REF!</v>
      </c>
      <c r="D34" s="268"/>
      <c r="E34" s="180">
        <v>25000</v>
      </c>
      <c r="F34" s="262"/>
    </row>
    <row r="35" spans="1:12" x14ac:dyDescent="0.25">
      <c r="A35" s="170" t="s">
        <v>682</v>
      </c>
      <c r="B35" s="457"/>
      <c r="C35" s="177" t="e">
        <f>SUM(C32:C34)</f>
        <v>#REF!</v>
      </c>
      <c r="D35" s="266"/>
      <c r="E35" s="177">
        <f>SUM(E32:E34)</f>
        <v>9135570</v>
      </c>
      <c r="F35" s="383"/>
    </row>
    <row r="36" spans="1:12" ht="16.5" thickBot="1" x14ac:dyDescent="0.3">
      <c r="A36" s="95"/>
      <c r="B36" s="454"/>
      <c r="C36" s="96" t="e">
        <f>+C16+C19+C24+C26+C30+C35</f>
        <v>#REF!</v>
      </c>
      <c r="D36" s="263"/>
      <c r="E36" s="96">
        <f>+E16+E18+E24+E26+E30+E35</f>
        <v>219479646</v>
      </c>
      <c r="F36" s="382"/>
    </row>
    <row r="37" spans="1:12" ht="16.5" thickTop="1" x14ac:dyDescent="0.25">
      <c r="C37" s="97" t="e">
        <f>+C36-#REF!</f>
        <v>#REF!</v>
      </c>
      <c r="E37" s="97" t="e">
        <f>+E36-#REF!</f>
        <v>#REF!</v>
      </c>
    </row>
    <row r="39" spans="1:12" x14ac:dyDescent="0.25">
      <c r="A39" s="92"/>
      <c r="B39" s="460"/>
      <c r="C39" s="182" t="s">
        <v>485</v>
      </c>
      <c r="D39" s="268"/>
      <c r="E39" s="172" t="s">
        <v>642</v>
      </c>
      <c r="F39" s="268"/>
      <c r="G39" s="183" t="s">
        <v>643</v>
      </c>
    </row>
    <row r="40" spans="1:12" x14ac:dyDescent="0.25">
      <c r="A40" s="76" t="s">
        <v>639</v>
      </c>
      <c r="C40" s="97">
        <f>SUM(E40:G40)</f>
        <v>119728</v>
      </c>
      <c r="E40" s="71">
        <v>0</v>
      </c>
      <c r="G40" s="71">
        <v>119728</v>
      </c>
      <c r="H40" s="71" t="e">
        <f>+C13</f>
        <v>#REF!</v>
      </c>
      <c r="I40" s="97"/>
      <c r="J40" s="97" t="e">
        <f>+C40-H40</f>
        <v>#REF!</v>
      </c>
    </row>
    <row r="41" spans="1:12" x14ac:dyDescent="0.25">
      <c r="A41" s="76" t="s">
        <v>17</v>
      </c>
      <c r="C41" s="97">
        <f t="shared" ref="C41:C50" si="0">SUM(E41:G41)</f>
        <v>97907463</v>
      </c>
      <c r="E41" s="71">
        <v>0</v>
      </c>
      <c r="G41" s="71">
        <v>97907463</v>
      </c>
      <c r="H41" s="71" t="e">
        <f>+C14</f>
        <v>#REF!</v>
      </c>
      <c r="I41" s="97"/>
      <c r="J41" s="97" t="e">
        <f t="shared" ref="J41:J50" si="1">+C41-H41</f>
        <v>#REF!</v>
      </c>
    </row>
    <row r="42" spans="1:12" x14ac:dyDescent="0.25">
      <c r="A42" s="76" t="s">
        <v>19</v>
      </c>
      <c r="C42" s="97">
        <f t="shared" si="0"/>
        <v>57253147</v>
      </c>
      <c r="E42" s="71">
        <v>0</v>
      </c>
      <c r="G42" s="71">
        <v>57253147</v>
      </c>
      <c r="H42" s="71" t="e">
        <f>+C15</f>
        <v>#REF!</v>
      </c>
      <c r="I42" s="97"/>
      <c r="J42" s="97" t="e">
        <f t="shared" si="1"/>
        <v>#REF!</v>
      </c>
    </row>
    <row r="43" spans="1:12" x14ac:dyDescent="0.25">
      <c r="A43" s="76" t="s">
        <v>451</v>
      </c>
      <c r="C43" s="97">
        <v>70074174</v>
      </c>
      <c r="E43" s="71">
        <v>0</v>
      </c>
      <c r="G43" s="71">
        <v>70121402</v>
      </c>
      <c r="H43" s="71" t="e">
        <f>+C18</f>
        <v>#REF!</v>
      </c>
      <c r="I43" s="97"/>
      <c r="J43" s="97" t="e">
        <f t="shared" si="1"/>
        <v>#REF!</v>
      </c>
    </row>
    <row r="44" spans="1:12" x14ac:dyDescent="0.25">
      <c r="A44" s="76" t="s">
        <v>640</v>
      </c>
      <c r="C44" s="97">
        <v>317478</v>
      </c>
      <c r="E44" s="71">
        <v>0</v>
      </c>
      <c r="G44" s="71">
        <v>270250</v>
      </c>
      <c r="H44" s="71" t="e">
        <f>+C21</f>
        <v>#REF!</v>
      </c>
      <c r="I44" s="97"/>
      <c r="J44" s="97" t="e">
        <f t="shared" si="1"/>
        <v>#REF!</v>
      </c>
      <c r="L44" s="184" t="e">
        <f>+H44-E44</f>
        <v>#REF!</v>
      </c>
    </row>
    <row r="45" spans="1:12" x14ac:dyDescent="0.25">
      <c r="A45" s="76" t="s">
        <v>760</v>
      </c>
      <c r="C45" s="97">
        <f t="shared" ref="C45" si="2">SUM(E45:G45)</f>
        <v>18387</v>
      </c>
      <c r="E45" s="71">
        <v>0</v>
      </c>
      <c r="G45" s="71">
        <v>18387</v>
      </c>
      <c r="H45" s="71" t="e">
        <f>+C22</f>
        <v>#REF!</v>
      </c>
      <c r="I45" s="97"/>
      <c r="J45" s="97" t="e">
        <f t="shared" si="1"/>
        <v>#REF!</v>
      </c>
      <c r="L45" s="184"/>
    </row>
    <row r="46" spans="1:12" x14ac:dyDescent="0.25">
      <c r="A46" s="76" t="s">
        <v>25</v>
      </c>
      <c r="C46" s="97">
        <f t="shared" si="0"/>
        <v>250562</v>
      </c>
      <c r="E46" s="71">
        <v>0</v>
      </c>
      <c r="G46" s="71">
        <v>250562</v>
      </c>
      <c r="H46" s="71" t="e">
        <f>+C23</f>
        <v>#REF!</v>
      </c>
      <c r="I46" s="97"/>
      <c r="J46" s="97" t="e">
        <f t="shared" si="1"/>
        <v>#REF!</v>
      </c>
      <c r="L46" s="184"/>
    </row>
    <row r="47" spans="1:12" x14ac:dyDescent="0.25">
      <c r="A47" s="76" t="s">
        <v>456</v>
      </c>
      <c r="C47" s="71">
        <f t="shared" si="0"/>
        <v>0</v>
      </c>
      <c r="E47" s="71">
        <v>0</v>
      </c>
      <c r="G47" s="71">
        <v>0</v>
      </c>
      <c r="H47" s="71" t="e">
        <f>+C29</f>
        <v>#REF!</v>
      </c>
      <c r="I47" s="97"/>
      <c r="J47" s="97" t="e">
        <f t="shared" si="1"/>
        <v>#REF!</v>
      </c>
    </row>
    <row r="48" spans="1:12" x14ac:dyDescent="0.25">
      <c r="A48" s="76" t="s">
        <v>641</v>
      </c>
      <c r="C48" s="97">
        <f t="shared" si="0"/>
        <v>7249406</v>
      </c>
      <c r="E48" s="71">
        <v>0</v>
      </c>
      <c r="G48" s="71">
        <v>7249406</v>
      </c>
      <c r="H48" s="71" t="e">
        <f>+C32</f>
        <v>#REF!</v>
      </c>
      <c r="I48" s="97"/>
      <c r="J48" s="97" t="e">
        <f t="shared" si="1"/>
        <v>#REF!</v>
      </c>
    </row>
    <row r="49" spans="1:10" x14ac:dyDescent="0.25">
      <c r="A49" s="76" t="s">
        <v>33</v>
      </c>
      <c r="C49" s="97">
        <f t="shared" si="0"/>
        <v>1580357</v>
      </c>
      <c r="E49" s="71">
        <v>0</v>
      </c>
      <c r="G49" s="71">
        <v>1580357</v>
      </c>
      <c r="H49" s="71" t="e">
        <f>+C33</f>
        <v>#REF!</v>
      </c>
      <c r="I49" s="97"/>
      <c r="J49" s="97" t="e">
        <f t="shared" si="1"/>
        <v>#REF!</v>
      </c>
    </row>
    <row r="50" spans="1:10" x14ac:dyDescent="0.25">
      <c r="A50" s="76" t="s">
        <v>35</v>
      </c>
      <c r="C50" s="97">
        <f t="shared" si="0"/>
        <v>1394116</v>
      </c>
      <c r="E50" s="71">
        <v>0</v>
      </c>
      <c r="G50" s="71">
        <v>1394116</v>
      </c>
      <c r="H50" s="71" t="e">
        <f>+C34</f>
        <v>#REF!</v>
      </c>
      <c r="I50" s="97"/>
      <c r="J50" s="97" t="e">
        <f t="shared" si="1"/>
        <v>#REF!</v>
      </c>
    </row>
    <row r="51" spans="1:10" ht="16.5" thickBot="1" x14ac:dyDescent="0.3">
      <c r="A51" s="95"/>
      <c r="B51" s="454"/>
      <c r="C51" s="251">
        <f>SUM(C40:C50)</f>
        <v>236164818</v>
      </c>
      <c r="D51" s="263"/>
      <c r="E51" s="251">
        <f>SUM(E40:E50)</f>
        <v>0</v>
      </c>
      <c r="F51" s="263"/>
      <c r="G51" s="251">
        <f>SUM(G40:G50)</f>
        <v>236164818</v>
      </c>
      <c r="H51" s="97"/>
      <c r="I51" s="97"/>
    </row>
    <row r="52" spans="1:10" ht="16.5" thickTop="1" x14ac:dyDescent="0.25">
      <c r="C52" s="325" t="e">
        <f>+C51-C36</f>
        <v>#REF!</v>
      </c>
      <c r="E52" s="71"/>
      <c r="G52" s="71"/>
      <c r="H52" s="97"/>
      <c r="I52" s="97"/>
    </row>
    <row r="53" spans="1:10" x14ac:dyDescent="0.25">
      <c r="E53" s="71"/>
      <c r="G53" s="71"/>
      <c r="H53" s="97"/>
      <c r="I53" s="97"/>
    </row>
    <row r="54" spans="1:10" x14ac:dyDescent="0.25">
      <c r="A54" s="92"/>
      <c r="B54" s="460"/>
      <c r="C54" s="173">
        <v>2018</v>
      </c>
      <c r="D54" s="260"/>
      <c r="E54" s="173">
        <v>2017</v>
      </c>
      <c r="F54" s="382"/>
    </row>
    <row r="55" spans="1:10" x14ac:dyDescent="0.25">
      <c r="A55" s="80" t="s">
        <v>473</v>
      </c>
      <c r="B55" s="461"/>
      <c r="C55" s="186">
        <f>51321853+3083667+3380155</f>
        <v>57785675</v>
      </c>
      <c r="D55" s="272"/>
      <c r="E55" s="186">
        <v>53179922</v>
      </c>
      <c r="F55" s="288"/>
    </row>
    <row r="56" spans="1:10" ht="31.5" x14ac:dyDescent="0.25">
      <c r="A56" s="187" t="s">
        <v>475</v>
      </c>
      <c r="B56" s="462"/>
      <c r="C56" s="188">
        <v>5982437</v>
      </c>
      <c r="D56" s="288"/>
      <c r="E56" s="188">
        <v>16642633</v>
      </c>
      <c r="F56" s="288"/>
    </row>
    <row r="57" spans="1:10" ht="31.5" x14ac:dyDescent="0.25">
      <c r="A57" s="80" t="s">
        <v>474</v>
      </c>
      <c r="B57" s="461"/>
      <c r="C57" s="186">
        <v>6306062</v>
      </c>
      <c r="D57" s="272"/>
      <c r="E57" s="186">
        <v>6452998</v>
      </c>
      <c r="F57" s="288"/>
    </row>
    <row r="58" spans="1:10" ht="16.5" thickBot="1" x14ac:dyDescent="0.3">
      <c r="A58" s="85" t="s">
        <v>430</v>
      </c>
      <c r="B58" s="463"/>
      <c r="C58" s="91">
        <f>SUM(C55:C57)</f>
        <v>70074174</v>
      </c>
      <c r="D58" s="271"/>
      <c r="E58" s="91">
        <f>SUM(E55:E57)</f>
        <v>76275553</v>
      </c>
      <c r="F58" s="294"/>
    </row>
    <row r="59" spans="1:10" ht="16.5" thickTop="1" x14ac:dyDescent="0.25">
      <c r="C59" s="189" t="e">
        <f>+C58-C18</f>
        <v>#REF!</v>
      </c>
      <c r="E59" s="97">
        <f>+E58-E18</f>
        <v>0</v>
      </c>
      <c r="F59" s="262"/>
    </row>
    <row r="60" spans="1:10" x14ac:dyDescent="0.25">
      <c r="F60" s="262"/>
    </row>
    <row r="61" spans="1:10" x14ac:dyDescent="0.25">
      <c r="A61" s="92"/>
      <c r="B61" s="460"/>
      <c r="C61" s="173">
        <v>2018</v>
      </c>
      <c r="D61" s="260"/>
      <c r="E61" s="173">
        <v>2017</v>
      </c>
      <c r="F61" s="382"/>
    </row>
    <row r="62" spans="1:10" ht="47.25" x14ac:dyDescent="0.25">
      <c r="A62" s="124" t="s">
        <v>634</v>
      </c>
      <c r="B62" s="464"/>
      <c r="C62" s="125">
        <v>319893</v>
      </c>
      <c r="E62" s="125">
        <v>319893</v>
      </c>
      <c r="F62" s="262"/>
    </row>
    <row r="63" spans="1:10" ht="31.5" x14ac:dyDescent="0.25">
      <c r="A63" s="124" t="s">
        <v>635</v>
      </c>
      <c r="B63" s="464"/>
      <c r="C63" s="125">
        <v>688053</v>
      </c>
      <c r="E63" s="125">
        <v>688053</v>
      </c>
      <c r="F63" s="262"/>
    </row>
    <row r="64" spans="1:10" ht="47.25" x14ac:dyDescent="0.25">
      <c r="A64" s="124" t="s">
        <v>636</v>
      </c>
      <c r="B64" s="464"/>
      <c r="C64" s="125">
        <v>376342</v>
      </c>
      <c r="E64" s="125">
        <v>376342</v>
      </c>
      <c r="F64" s="262"/>
    </row>
    <row r="65" spans="1:6" ht="47.25" x14ac:dyDescent="0.25">
      <c r="A65" s="124" t="s">
        <v>637</v>
      </c>
      <c r="B65" s="464"/>
      <c r="C65" s="125">
        <f>79530+4966.2</f>
        <v>84496.2</v>
      </c>
      <c r="E65" s="125">
        <v>90018</v>
      </c>
      <c r="F65" s="262"/>
    </row>
    <row r="66" spans="1:6" ht="31.5" x14ac:dyDescent="0.25">
      <c r="A66" s="146" t="s">
        <v>638</v>
      </c>
      <c r="B66" s="464"/>
      <c r="C66" s="147">
        <v>8411</v>
      </c>
      <c r="E66" s="147">
        <v>13502</v>
      </c>
      <c r="F66" s="262"/>
    </row>
    <row r="67" spans="1:6" x14ac:dyDescent="0.25">
      <c r="A67" s="146" t="s">
        <v>676</v>
      </c>
      <c r="B67" s="464"/>
      <c r="C67" s="147">
        <v>0</v>
      </c>
      <c r="E67" s="147">
        <v>3356</v>
      </c>
      <c r="F67" s="262"/>
    </row>
    <row r="68" spans="1:6" x14ac:dyDescent="0.25">
      <c r="A68" s="80" t="s">
        <v>767</v>
      </c>
      <c r="B68" s="464"/>
      <c r="C68" s="207">
        <v>22082</v>
      </c>
      <c r="E68" s="147">
        <v>0</v>
      </c>
      <c r="F68" s="262"/>
    </row>
    <row r="69" spans="1:6" x14ac:dyDescent="0.25">
      <c r="A69" s="80" t="s">
        <v>768</v>
      </c>
      <c r="B69" s="464"/>
      <c r="C69" s="207">
        <f>71951-4966.2</f>
        <v>66984.800000000003</v>
      </c>
      <c r="E69" s="147">
        <v>0</v>
      </c>
      <c r="F69" s="262"/>
    </row>
    <row r="70" spans="1:6" x14ac:dyDescent="0.25">
      <c r="A70" s="80" t="s">
        <v>769</v>
      </c>
      <c r="B70" s="464"/>
      <c r="C70" s="207">
        <v>14095</v>
      </c>
      <c r="E70" s="147">
        <v>0</v>
      </c>
      <c r="F70" s="262"/>
    </row>
    <row r="71" spans="1:6" ht="16.5" thickBot="1" x14ac:dyDescent="0.3">
      <c r="A71" s="95"/>
      <c r="B71" s="454"/>
      <c r="C71" s="96">
        <f>SUM(C62:C70)</f>
        <v>1580357</v>
      </c>
      <c r="D71" s="381"/>
      <c r="E71" s="96">
        <f>SUM(E62:E67)</f>
        <v>1491164</v>
      </c>
      <c r="F71" s="262"/>
    </row>
    <row r="72" spans="1:6" ht="16.5" thickTop="1" x14ac:dyDescent="0.25">
      <c r="C72" s="189" t="e">
        <f>+C71-C33</f>
        <v>#REF!</v>
      </c>
      <c r="E72" s="97">
        <f>+E71-E33</f>
        <v>0</v>
      </c>
    </row>
    <row r="73" spans="1:6" x14ac:dyDescent="0.25">
      <c r="C73" s="205"/>
      <c r="E73" s="97"/>
    </row>
    <row r="74" spans="1:6" ht="31.5" x14ac:dyDescent="0.25">
      <c r="A74" s="211" t="s">
        <v>761</v>
      </c>
      <c r="B74" s="211"/>
      <c r="C74" s="211" t="s">
        <v>762</v>
      </c>
      <c r="D74" s="211"/>
      <c r="E74" s="211" t="s">
        <v>813</v>
      </c>
    </row>
    <row r="75" spans="1:6" x14ac:dyDescent="0.25">
      <c r="A75" s="206">
        <v>2018</v>
      </c>
      <c r="B75" s="395" t="s">
        <v>450</v>
      </c>
      <c r="C75" s="207">
        <v>2956997</v>
      </c>
      <c r="D75" s="395" t="s">
        <v>450</v>
      </c>
      <c r="E75" s="207">
        <v>1568701</v>
      </c>
    </row>
    <row r="76" spans="1:6" x14ac:dyDescent="0.25">
      <c r="A76" s="206">
        <v>2017</v>
      </c>
      <c r="B76" s="387"/>
      <c r="C76" s="207">
        <v>8265455</v>
      </c>
      <c r="D76" s="387"/>
      <c r="E76" s="207">
        <v>4988836</v>
      </c>
    </row>
    <row r="77" spans="1:6" x14ac:dyDescent="0.25">
      <c r="A77" s="206">
        <v>2016</v>
      </c>
      <c r="B77" s="387"/>
      <c r="C77" s="207">
        <v>2837457</v>
      </c>
      <c r="D77" s="387"/>
      <c r="E77" s="207">
        <v>1769385</v>
      </c>
    </row>
    <row r="78" spans="1:6" x14ac:dyDescent="0.25">
      <c r="A78" s="206">
        <v>2015</v>
      </c>
      <c r="B78" s="387"/>
      <c r="C78" s="207">
        <v>3394364</v>
      </c>
      <c r="D78" s="387"/>
      <c r="E78" s="207">
        <v>2138009</v>
      </c>
    </row>
    <row r="79" spans="1:6" x14ac:dyDescent="0.25">
      <c r="A79" s="206">
        <v>2014</v>
      </c>
      <c r="B79" s="387"/>
      <c r="C79" s="207">
        <v>8884217</v>
      </c>
      <c r="D79" s="387"/>
      <c r="E79" s="207">
        <v>5738746</v>
      </c>
    </row>
    <row r="80" spans="1:6" x14ac:dyDescent="0.25">
      <c r="A80" s="206">
        <v>2013</v>
      </c>
      <c r="B80" s="387"/>
      <c r="C80" s="207">
        <v>2674443</v>
      </c>
      <c r="D80" s="387"/>
      <c r="E80" s="207">
        <v>1679465</v>
      </c>
    </row>
    <row r="81" spans="1:10" x14ac:dyDescent="0.25">
      <c r="A81" s="206">
        <v>2012</v>
      </c>
      <c r="B81" s="387"/>
      <c r="C81" s="207">
        <v>3827933</v>
      </c>
      <c r="D81" s="387"/>
      <c r="E81" s="207">
        <v>2183856</v>
      </c>
    </row>
    <row r="82" spans="1:10" x14ac:dyDescent="0.25">
      <c r="A82" s="206">
        <v>2011</v>
      </c>
      <c r="B82" s="387"/>
      <c r="C82" s="207">
        <v>3196650</v>
      </c>
      <c r="D82" s="387"/>
      <c r="E82" s="207">
        <v>1912523</v>
      </c>
    </row>
    <row r="83" spans="1:10" x14ac:dyDescent="0.25">
      <c r="A83" s="206">
        <v>2010</v>
      </c>
      <c r="B83" s="387"/>
      <c r="C83" s="207">
        <v>3901173</v>
      </c>
      <c r="D83" s="387"/>
      <c r="E83" s="207">
        <v>2317457</v>
      </c>
    </row>
    <row r="84" spans="1:10" x14ac:dyDescent="0.25">
      <c r="A84" s="206">
        <v>2009</v>
      </c>
      <c r="B84" s="387"/>
      <c r="C84" s="207">
        <v>1971448</v>
      </c>
      <c r="D84" s="387"/>
      <c r="E84" s="207">
        <v>1096341</v>
      </c>
    </row>
    <row r="85" spans="1:10" x14ac:dyDescent="0.25">
      <c r="A85" s="342" t="s">
        <v>766</v>
      </c>
      <c r="B85" s="511"/>
      <c r="C85" s="89">
        <v>55997326</v>
      </c>
      <c r="D85" s="511"/>
      <c r="E85" s="89">
        <v>31859828</v>
      </c>
    </row>
    <row r="86" spans="1:10" ht="16.5" thickBot="1" x14ac:dyDescent="0.3">
      <c r="A86" s="85" t="s">
        <v>814</v>
      </c>
      <c r="B86" s="397" t="s">
        <v>450</v>
      </c>
      <c r="C86" s="91">
        <f>SUM(C75:C85)</f>
        <v>97907463</v>
      </c>
      <c r="D86" s="397" t="s">
        <v>450</v>
      </c>
      <c r="E86" s="91">
        <f>SUM(E75:E85)</f>
        <v>57253147</v>
      </c>
    </row>
    <row r="87" spans="1:10" ht="16.5" thickTop="1" x14ac:dyDescent="0.25">
      <c r="C87" s="512" t="e">
        <f>+C86-C14</f>
        <v>#REF!</v>
      </c>
      <c r="E87" s="88" t="e">
        <f>+E86-C15</f>
        <v>#REF!</v>
      </c>
    </row>
    <row r="88" spans="1:10" x14ac:dyDescent="0.25">
      <c r="C88" s="205"/>
      <c r="E88" s="97"/>
    </row>
    <row r="89" spans="1:10" x14ac:dyDescent="0.25">
      <c r="C89" s="205"/>
      <c r="E89" s="97"/>
    </row>
    <row r="90" spans="1:10" x14ac:dyDescent="0.25">
      <c r="A90" s="171" t="s">
        <v>438</v>
      </c>
      <c r="B90" s="450"/>
    </row>
    <row r="91" spans="1:10" x14ac:dyDescent="0.25">
      <c r="A91" s="172"/>
      <c r="B91" s="451"/>
      <c r="C91" s="173">
        <v>2018</v>
      </c>
      <c r="D91" s="260"/>
      <c r="E91" s="173">
        <v>2017</v>
      </c>
      <c r="F91" s="382"/>
    </row>
    <row r="92" spans="1:10" x14ac:dyDescent="0.25">
      <c r="A92" s="68" t="s">
        <v>596</v>
      </c>
      <c r="B92" s="453"/>
      <c r="C92" s="94"/>
      <c r="D92" s="262"/>
      <c r="E92" s="74"/>
      <c r="F92" s="262"/>
    </row>
    <row r="93" spans="1:10" x14ac:dyDescent="0.25">
      <c r="A93" s="176" t="s">
        <v>37</v>
      </c>
      <c r="B93" s="453"/>
      <c r="C93" s="94" t="e">
        <f>+#REF!</f>
        <v>#REF!</v>
      </c>
      <c r="D93" s="262"/>
      <c r="E93" s="179">
        <v>4229055</v>
      </c>
      <c r="F93" s="262"/>
      <c r="J93" s="76">
        <f>5+8+2+8+6</f>
        <v>29</v>
      </c>
    </row>
    <row r="94" spans="1:10" hidden="1" x14ac:dyDescent="0.25">
      <c r="A94" s="176" t="s">
        <v>481</v>
      </c>
      <c r="B94" s="453"/>
      <c r="C94" s="71" t="e">
        <f>+#REF!</f>
        <v>#REF!</v>
      </c>
      <c r="D94" s="262"/>
      <c r="E94" s="71">
        <v>0</v>
      </c>
      <c r="F94" s="262"/>
    </row>
    <row r="95" spans="1:10" x14ac:dyDescent="0.25">
      <c r="A95" s="68" t="s">
        <v>597</v>
      </c>
      <c r="B95" s="453"/>
      <c r="C95" s="94"/>
      <c r="D95" s="262"/>
      <c r="E95" s="245"/>
      <c r="F95" s="262"/>
    </row>
    <row r="96" spans="1:10" x14ac:dyDescent="0.25">
      <c r="A96" s="176" t="s">
        <v>41</v>
      </c>
      <c r="B96" s="453"/>
      <c r="C96" s="94" t="e">
        <f>+#REF!</f>
        <v>#REF!</v>
      </c>
      <c r="D96" s="262"/>
      <c r="E96" s="179">
        <v>9793916</v>
      </c>
      <c r="F96" s="262"/>
    </row>
    <row r="97" spans="1:6" x14ac:dyDescent="0.25">
      <c r="A97" s="176" t="s">
        <v>43</v>
      </c>
      <c r="B97" s="453"/>
      <c r="C97" s="94" t="e">
        <f>+#REF!</f>
        <v>#REF!</v>
      </c>
      <c r="D97" s="262"/>
      <c r="E97" s="179">
        <v>5056150</v>
      </c>
      <c r="F97" s="262"/>
    </row>
    <row r="98" spans="1:6" x14ac:dyDescent="0.25">
      <c r="A98" s="176" t="s">
        <v>713</v>
      </c>
      <c r="B98" s="453"/>
      <c r="C98" s="94" t="e">
        <f>+#REF!</f>
        <v>#REF!</v>
      </c>
      <c r="D98" s="262"/>
      <c r="E98" s="179">
        <v>911806</v>
      </c>
      <c r="F98" s="262"/>
    </row>
    <row r="99" spans="1:6" x14ac:dyDescent="0.25">
      <c r="A99" s="176" t="s">
        <v>45</v>
      </c>
      <c r="B99" s="453"/>
      <c r="C99" s="94" t="e">
        <f>+#REF!</f>
        <v>#REF!</v>
      </c>
      <c r="D99" s="262"/>
      <c r="E99" s="179">
        <v>1787293</v>
      </c>
      <c r="F99" s="262"/>
    </row>
    <row r="100" spans="1:6" x14ac:dyDescent="0.25">
      <c r="A100" s="176" t="s">
        <v>49</v>
      </c>
      <c r="B100" s="453"/>
      <c r="C100" s="94" t="e">
        <f>+#REF!</f>
        <v>#REF!</v>
      </c>
      <c r="D100" s="262"/>
      <c r="E100" s="179">
        <v>1622561</v>
      </c>
      <c r="F100" s="262"/>
    </row>
    <row r="101" spans="1:6" ht="16.5" thickBot="1" x14ac:dyDescent="0.3">
      <c r="A101" s="185"/>
      <c r="B101" s="465"/>
      <c r="C101" s="96" t="e">
        <f>SUM(C93:C100)</f>
        <v>#REF!</v>
      </c>
      <c r="D101" s="263"/>
      <c r="E101" s="246">
        <v>23400781</v>
      </c>
      <c r="F101" s="382"/>
    </row>
    <row r="102" spans="1:6" ht="16.5" thickTop="1" x14ac:dyDescent="0.25">
      <c r="C102" s="97" t="e">
        <f>+C101-#REF!</f>
        <v>#REF!</v>
      </c>
      <c r="E102" s="97" t="e">
        <f>+E101-#REF!</f>
        <v>#REF!</v>
      </c>
      <c r="F102" s="262"/>
    </row>
    <row r="103" spans="1:6" x14ac:dyDescent="0.25">
      <c r="A103" s="171" t="s">
        <v>737</v>
      </c>
      <c r="E103" s="97"/>
      <c r="F103" s="262"/>
    </row>
    <row r="104" spans="1:6" x14ac:dyDescent="0.25">
      <c r="A104" s="76" t="s">
        <v>323</v>
      </c>
      <c r="C104" s="71" t="e">
        <f>+#REF!</f>
        <v>#REF!</v>
      </c>
      <c r="E104" s="71">
        <v>351096</v>
      </c>
      <c r="F104" s="262"/>
    </row>
    <row r="105" spans="1:6" hidden="1" x14ac:dyDescent="0.25">
      <c r="A105" s="76" t="s">
        <v>481</v>
      </c>
      <c r="C105" s="71">
        <v>0</v>
      </c>
      <c r="E105" s="71">
        <v>0</v>
      </c>
      <c r="F105" s="262"/>
    </row>
    <row r="106" spans="1:6" x14ac:dyDescent="0.25">
      <c r="A106" s="76" t="s">
        <v>315</v>
      </c>
      <c r="C106" s="97" t="e">
        <f>+#REF!</f>
        <v>#REF!</v>
      </c>
      <c r="E106" s="97">
        <v>15645136</v>
      </c>
      <c r="F106" s="262"/>
    </row>
    <row r="107" spans="1:6" x14ac:dyDescent="0.25">
      <c r="A107" s="76" t="s">
        <v>317</v>
      </c>
      <c r="C107" s="97" t="e">
        <f>+#REF!</f>
        <v>#REF!</v>
      </c>
      <c r="E107" s="97">
        <v>5411299</v>
      </c>
      <c r="F107" s="262"/>
    </row>
    <row r="108" spans="1:6" x14ac:dyDescent="0.25">
      <c r="A108" s="76" t="s">
        <v>714</v>
      </c>
      <c r="C108" s="97" t="e">
        <f>+#REF!</f>
        <v>#REF!</v>
      </c>
      <c r="E108" s="97">
        <v>35991051</v>
      </c>
      <c r="F108" s="262"/>
    </row>
    <row r="109" spans="1:6" x14ac:dyDescent="0.25">
      <c r="A109" s="76" t="s">
        <v>325</v>
      </c>
      <c r="C109" s="97" t="e">
        <f>+#REF!</f>
        <v>#REF!</v>
      </c>
      <c r="E109" s="97">
        <v>18620093</v>
      </c>
      <c r="F109" s="262"/>
    </row>
    <row r="110" spans="1:6" x14ac:dyDescent="0.25">
      <c r="A110" s="76" t="s">
        <v>333</v>
      </c>
      <c r="C110" s="97" t="e">
        <f>+#REF!</f>
        <v>#REF!</v>
      </c>
      <c r="E110" s="97">
        <v>68392281</v>
      </c>
      <c r="F110" s="262"/>
    </row>
    <row r="111" spans="1:6" ht="16.5" thickBot="1" x14ac:dyDescent="0.3">
      <c r="A111" s="95"/>
      <c r="B111" s="454"/>
      <c r="C111" s="96" t="e">
        <f>SUM(C104:C110)</f>
        <v>#REF!</v>
      </c>
      <c r="D111" s="263"/>
      <c r="E111" s="96">
        <f>SUM(E104:E110)</f>
        <v>144410956</v>
      </c>
      <c r="F111" s="382"/>
    </row>
    <row r="112" spans="1:6" ht="16.5" thickTop="1" x14ac:dyDescent="0.25"/>
    <row r="114" spans="1:7" x14ac:dyDescent="0.25">
      <c r="A114" s="171" t="s">
        <v>574</v>
      </c>
    </row>
    <row r="115" spans="1:7" x14ac:dyDescent="0.25">
      <c r="A115" s="172"/>
      <c r="B115" s="451"/>
      <c r="C115" s="173">
        <v>2018</v>
      </c>
      <c r="D115" s="260"/>
      <c r="E115" s="173">
        <v>2017</v>
      </c>
      <c r="F115" s="382"/>
    </row>
    <row r="116" spans="1:7" x14ac:dyDescent="0.25">
      <c r="A116" s="76" t="s">
        <v>605</v>
      </c>
      <c r="C116" s="97" t="e">
        <f>+#REF!</f>
        <v>#REF!</v>
      </c>
      <c r="E116" s="71">
        <v>51182125</v>
      </c>
      <c r="F116" s="262"/>
    </row>
    <row r="117" spans="1:7" x14ac:dyDescent="0.25">
      <c r="A117" s="76" t="s">
        <v>51</v>
      </c>
      <c r="C117" s="97" t="e">
        <f>+#REF!</f>
        <v>#REF!</v>
      </c>
      <c r="E117" s="71">
        <v>731576</v>
      </c>
      <c r="F117" s="262"/>
    </row>
    <row r="118" spans="1:7" ht="16.5" thickBot="1" x14ac:dyDescent="0.3">
      <c r="A118" s="95"/>
      <c r="B118" s="454"/>
      <c r="C118" s="96" t="e">
        <f>SUM(C116:C117)</f>
        <v>#REF!</v>
      </c>
      <c r="D118" s="263"/>
      <c r="E118" s="96">
        <f>SUM(E116:E117)</f>
        <v>51913701</v>
      </c>
      <c r="F118" s="382"/>
    </row>
    <row r="119" spans="1:7" ht="16.5" thickTop="1" x14ac:dyDescent="0.25">
      <c r="C119" s="71" t="e">
        <f>+C118-#REF!</f>
        <v>#REF!</v>
      </c>
      <c r="E119" s="71" t="e">
        <f>+E118-#REF!</f>
        <v>#REF!</v>
      </c>
      <c r="F119" s="262"/>
    </row>
    <row r="120" spans="1:7" x14ac:dyDescent="0.25">
      <c r="F120" s="262"/>
    </row>
    <row r="121" spans="1:7" x14ac:dyDescent="0.25">
      <c r="A121" s="171" t="s">
        <v>439</v>
      </c>
      <c r="B121" s="450"/>
      <c r="F121" s="262"/>
    </row>
    <row r="122" spans="1:7" x14ac:dyDescent="0.25">
      <c r="A122" s="92"/>
      <c r="B122" s="460"/>
      <c r="C122" s="78">
        <v>2018</v>
      </c>
      <c r="D122" s="289"/>
      <c r="E122" s="78">
        <v>2017</v>
      </c>
      <c r="F122" s="296"/>
    </row>
    <row r="123" spans="1:7" x14ac:dyDescent="0.25">
      <c r="A123" s="191" t="s">
        <v>484</v>
      </c>
      <c r="B123" s="466"/>
      <c r="C123" s="192" t="e">
        <f>+#REF!</f>
        <v>#REF!</v>
      </c>
      <c r="D123" s="290"/>
      <c r="E123" s="192">
        <v>15892800</v>
      </c>
      <c r="F123" s="298"/>
    </row>
    <row r="124" spans="1:7" x14ac:dyDescent="0.25">
      <c r="A124" s="191" t="s">
        <v>59</v>
      </c>
      <c r="B124" s="466"/>
      <c r="C124" s="192" t="e">
        <f>+#REF!+#REF!</f>
        <v>#REF!</v>
      </c>
      <c r="D124" s="290"/>
      <c r="E124" s="192">
        <v>442942734</v>
      </c>
      <c r="F124" s="298"/>
    </row>
    <row r="125" spans="1:7" ht="16.5" thickBot="1" x14ac:dyDescent="0.3">
      <c r="A125" s="193" t="s">
        <v>485</v>
      </c>
      <c r="B125" s="467"/>
      <c r="C125" s="194" t="e">
        <f>SUM(C123:C124)</f>
        <v>#REF!</v>
      </c>
      <c r="D125" s="291"/>
      <c r="E125" s="194">
        <f>SUM(E123:E124)</f>
        <v>458835534</v>
      </c>
      <c r="F125" s="384"/>
      <c r="G125" s="97" t="e">
        <f>+C125-#REF!</f>
        <v>#REF!</v>
      </c>
    </row>
    <row r="126" spans="1:7" ht="16.5" thickTop="1" x14ac:dyDescent="0.25">
      <c r="A126" s="69"/>
      <c r="B126" s="468"/>
      <c r="C126" s="195"/>
      <c r="D126" s="290"/>
      <c r="E126" s="196"/>
      <c r="F126" s="290"/>
    </row>
    <row r="127" spans="1:7" x14ac:dyDescent="0.25">
      <c r="A127" s="197" t="s">
        <v>482</v>
      </c>
      <c r="B127" s="469"/>
      <c r="C127" s="195"/>
      <c r="D127" s="290"/>
      <c r="E127" s="196"/>
      <c r="F127" s="290"/>
    </row>
    <row r="128" spans="1:7" x14ac:dyDescent="0.25">
      <c r="A128" s="198" t="s">
        <v>486</v>
      </c>
      <c r="B128" s="470"/>
      <c r="C128" s="192" t="e">
        <f>+#REF!+#REF!</f>
        <v>#REF!</v>
      </c>
      <c r="D128" s="290"/>
      <c r="E128" s="192">
        <v>661760496</v>
      </c>
      <c r="F128" s="298"/>
    </row>
    <row r="129" spans="1:26" s="74" customFormat="1" x14ac:dyDescent="0.25">
      <c r="A129" s="198" t="s">
        <v>607</v>
      </c>
      <c r="B129" s="470"/>
      <c r="C129" s="192" t="e">
        <f>-#REF!</f>
        <v>#REF!</v>
      </c>
      <c r="D129" s="290"/>
      <c r="E129" s="192">
        <v>202924962</v>
      </c>
      <c r="F129" s="298"/>
      <c r="G129" s="199"/>
      <c r="H129" s="200"/>
      <c r="I129" s="200"/>
      <c r="U129" s="341"/>
      <c r="V129" s="199"/>
      <c r="W129" s="199"/>
      <c r="X129" s="199"/>
      <c r="Y129" s="199"/>
      <c r="Z129" s="199"/>
    </row>
    <row r="130" spans="1:26" x14ac:dyDescent="0.25">
      <c r="A130" s="201" t="s">
        <v>488</v>
      </c>
      <c r="B130" s="471"/>
      <c r="C130" s="151" t="e">
        <f>+C128-C129</f>
        <v>#REF!</v>
      </c>
      <c r="D130" s="292"/>
      <c r="E130" s="151">
        <f>+E128-E129</f>
        <v>458835534</v>
      </c>
      <c r="F130" s="298"/>
    </row>
    <row r="131" spans="1:26" x14ac:dyDescent="0.25">
      <c r="A131" s="201" t="s">
        <v>483</v>
      </c>
      <c r="B131" s="471"/>
      <c r="C131" s="151" t="e">
        <f>+#REF!</f>
        <v>#REF!</v>
      </c>
      <c r="D131" s="292"/>
      <c r="E131" s="151">
        <v>22325138</v>
      </c>
      <c r="F131" s="298"/>
    </row>
    <row r="132" spans="1:26" ht="29.25" customHeight="1" x14ac:dyDescent="0.25">
      <c r="A132" s="202" t="s">
        <v>489</v>
      </c>
      <c r="B132" s="472"/>
      <c r="C132" s="373" t="e">
        <f>+C509</f>
        <v>#REF!</v>
      </c>
      <c r="D132" s="293"/>
      <c r="E132" s="203">
        <v>9640669</v>
      </c>
      <c r="F132" s="385"/>
    </row>
    <row r="133" spans="1:26" x14ac:dyDescent="0.25">
      <c r="F133" s="262"/>
    </row>
    <row r="134" spans="1:26" x14ac:dyDescent="0.25">
      <c r="F134" s="262"/>
    </row>
    <row r="135" spans="1:26" x14ac:dyDescent="0.25">
      <c r="A135" s="171" t="s">
        <v>690</v>
      </c>
      <c r="F135" s="262"/>
    </row>
    <row r="136" spans="1:26" x14ac:dyDescent="0.25">
      <c r="A136" s="62" t="s">
        <v>452</v>
      </c>
      <c r="B136" s="473"/>
      <c r="C136" s="98">
        <v>2018</v>
      </c>
      <c r="D136" s="294"/>
      <c r="E136" s="66">
        <v>2017</v>
      </c>
      <c r="F136" s="274"/>
    </row>
    <row r="137" spans="1:26" x14ac:dyDescent="0.25">
      <c r="A137" s="64" t="s">
        <v>571</v>
      </c>
      <c r="B137" s="474" t="s">
        <v>450</v>
      </c>
      <c r="C137" s="117">
        <f>+E137+E138</f>
        <v>90614150</v>
      </c>
      <c r="D137" s="275" t="s">
        <v>450</v>
      </c>
      <c r="E137" s="248">
        <v>89929150</v>
      </c>
      <c r="F137" s="274"/>
    </row>
    <row r="138" spans="1:26" x14ac:dyDescent="0.25">
      <c r="A138" s="63" t="s">
        <v>692</v>
      </c>
      <c r="B138" s="453"/>
      <c r="C138" s="89">
        <v>4742500</v>
      </c>
      <c r="D138" s="262"/>
      <c r="E138" s="214">
        <v>685000</v>
      </c>
      <c r="F138" s="262"/>
      <c r="G138" s="97" t="e">
        <f>+#REF!-C137</f>
        <v>#REF!</v>
      </c>
    </row>
    <row r="139" spans="1:26" x14ac:dyDescent="0.25">
      <c r="A139" s="445" t="s">
        <v>691</v>
      </c>
      <c r="B139" s="460"/>
      <c r="C139" s="118" t="e">
        <f>+#REF!</f>
        <v>#REF!</v>
      </c>
      <c r="D139" s="268"/>
      <c r="E139" s="249">
        <v>50958051</v>
      </c>
      <c r="F139" s="262"/>
    </row>
    <row r="140" spans="1:26" ht="16.5" thickBot="1" x14ac:dyDescent="0.3">
      <c r="A140" s="85" t="s">
        <v>485</v>
      </c>
      <c r="B140" s="475" t="s">
        <v>450</v>
      </c>
      <c r="C140" s="87" t="e">
        <f>+C137+C138-C139</f>
        <v>#REF!</v>
      </c>
      <c r="D140" s="276" t="s">
        <v>450</v>
      </c>
      <c r="E140" s="87">
        <f>+E137+E138-E139</f>
        <v>39656099</v>
      </c>
      <c r="F140" s="270"/>
    </row>
    <row r="141" spans="1:26" ht="16.5" thickTop="1" x14ac:dyDescent="0.25">
      <c r="A141" s="62"/>
      <c r="B141" s="476"/>
      <c r="C141" s="89" t="e">
        <f>+C140-#REF!</f>
        <v>#REF!</v>
      </c>
      <c r="D141" s="270"/>
      <c r="E141" s="214" t="e">
        <f>+E140-#REF!</f>
        <v>#REF!</v>
      </c>
      <c r="F141" s="270"/>
    </row>
    <row r="142" spans="1:26" x14ac:dyDescent="0.25">
      <c r="A142" s="62"/>
      <c r="B142" s="476"/>
      <c r="C142" s="89"/>
      <c r="D142" s="270"/>
      <c r="E142" s="214"/>
      <c r="F142" s="270"/>
    </row>
    <row r="143" spans="1:26" x14ac:dyDescent="0.25">
      <c r="A143" s="204" t="s">
        <v>490</v>
      </c>
      <c r="B143" s="477"/>
      <c r="C143" s="560" t="s">
        <v>962</v>
      </c>
      <c r="D143" s="277"/>
      <c r="E143" s="250"/>
      <c r="F143" s="270"/>
    </row>
    <row r="144" spans="1:26" x14ac:dyDescent="0.25">
      <c r="A144" s="76" t="s">
        <v>958</v>
      </c>
      <c r="B144" s="476" t="s">
        <v>450</v>
      </c>
      <c r="C144" s="89">
        <v>154000</v>
      </c>
      <c r="D144" s="277"/>
      <c r="E144" s="250"/>
      <c r="F144" s="270"/>
    </row>
    <row r="145" spans="1:27" x14ac:dyDescent="0.25">
      <c r="A145" s="76" t="s">
        <v>959</v>
      </c>
      <c r="B145" s="476"/>
      <c r="C145" s="89">
        <v>880000</v>
      </c>
      <c r="D145" s="277"/>
      <c r="E145" s="250"/>
      <c r="F145" s="270"/>
    </row>
    <row r="146" spans="1:27" x14ac:dyDescent="0.25">
      <c r="A146" s="76" t="s">
        <v>956</v>
      </c>
      <c r="B146" s="476"/>
      <c r="C146" s="89">
        <v>12500</v>
      </c>
      <c r="D146" s="277"/>
      <c r="E146" s="250"/>
      <c r="F146" s="270"/>
    </row>
    <row r="147" spans="1:27" x14ac:dyDescent="0.25">
      <c r="A147" s="63" t="s">
        <v>957</v>
      </c>
      <c r="B147" s="476"/>
      <c r="C147" s="89">
        <v>1299000</v>
      </c>
      <c r="D147" s="277"/>
      <c r="E147" s="250"/>
      <c r="F147" s="270"/>
    </row>
    <row r="148" spans="1:27" x14ac:dyDescent="0.25">
      <c r="A148" s="63" t="s">
        <v>960</v>
      </c>
      <c r="B148" s="476"/>
      <c r="C148" s="89">
        <v>237000</v>
      </c>
      <c r="D148" s="277"/>
      <c r="E148" s="250"/>
      <c r="F148" s="270"/>
    </row>
    <row r="149" spans="1:27" x14ac:dyDescent="0.25">
      <c r="A149" s="63" t="s">
        <v>961</v>
      </c>
      <c r="B149" s="476"/>
      <c r="C149" s="89">
        <v>2160000</v>
      </c>
      <c r="D149" s="277"/>
      <c r="E149" s="250"/>
      <c r="F149" s="270"/>
    </row>
    <row r="150" spans="1:27" ht="16.5" thickBot="1" x14ac:dyDescent="0.3">
      <c r="A150" s="85"/>
      <c r="B150" s="475" t="s">
        <v>450</v>
      </c>
      <c r="C150" s="91">
        <f>SUM(C144:C149)</f>
        <v>4742500</v>
      </c>
      <c r="D150" s="277"/>
      <c r="E150" s="250"/>
      <c r="F150" s="270"/>
    </row>
    <row r="151" spans="1:27" ht="16.5" thickTop="1" x14ac:dyDescent="0.25">
      <c r="A151" s="62"/>
      <c r="B151" s="476"/>
      <c r="C151" s="559">
        <f>C150-C138</f>
        <v>0</v>
      </c>
      <c r="D151" s="277"/>
      <c r="E151" s="250"/>
      <c r="F151" s="270"/>
    </row>
    <row r="152" spans="1:27" x14ac:dyDescent="0.25">
      <c r="A152" s="62"/>
      <c r="B152" s="476"/>
      <c r="C152" s="116"/>
      <c r="D152" s="277"/>
      <c r="E152" s="250"/>
      <c r="F152" s="270"/>
    </row>
    <row r="153" spans="1:27" x14ac:dyDescent="0.25">
      <c r="A153" s="62"/>
      <c r="B153" s="476"/>
      <c r="C153" s="116"/>
      <c r="D153" s="277"/>
      <c r="E153" s="250"/>
      <c r="F153" s="270"/>
    </row>
    <row r="154" spans="1:27" x14ac:dyDescent="0.25">
      <c r="A154" s="62"/>
      <c r="B154" s="476"/>
      <c r="C154" s="116"/>
      <c r="D154" s="277"/>
      <c r="E154" s="250"/>
      <c r="F154" s="270"/>
    </row>
    <row r="155" spans="1:27" x14ac:dyDescent="0.25">
      <c r="A155" s="62"/>
      <c r="B155" s="476"/>
      <c r="C155" s="116"/>
      <c r="D155" s="277"/>
      <c r="E155" s="250"/>
      <c r="F155" s="270"/>
    </row>
    <row r="156" spans="1:27" x14ac:dyDescent="0.25">
      <c r="A156" s="171" t="s">
        <v>440</v>
      </c>
      <c r="B156" s="450"/>
      <c r="F156" s="262"/>
    </row>
    <row r="157" spans="1:27" x14ac:dyDescent="0.25">
      <c r="A157" s="172"/>
      <c r="B157" s="451"/>
      <c r="C157" s="173">
        <v>2018</v>
      </c>
      <c r="D157" s="260"/>
      <c r="E157" s="173">
        <v>2017</v>
      </c>
      <c r="F157" s="262"/>
      <c r="H157" s="344"/>
      <c r="I157" s="162"/>
      <c r="J157" s="344"/>
      <c r="K157" s="345"/>
      <c r="L157" s="344"/>
      <c r="M157" s="345"/>
      <c r="N157" s="344"/>
      <c r="O157" s="345"/>
      <c r="P157" s="344"/>
      <c r="Q157" s="346"/>
    </row>
    <row r="158" spans="1:27" x14ac:dyDescent="0.25">
      <c r="A158" s="76" t="s">
        <v>158</v>
      </c>
      <c r="C158" s="97" t="e">
        <f>SUM(#REF!)</f>
        <v>#REF!</v>
      </c>
      <c r="E158" s="205">
        <v>102249038</v>
      </c>
      <c r="F158" s="262"/>
      <c r="H158" s="346"/>
      <c r="I158" s="346"/>
      <c r="J158" s="67"/>
      <c r="K158" s="346"/>
      <c r="L158" s="346"/>
      <c r="M158" s="346"/>
      <c r="N158" s="346"/>
      <c r="O158" s="346"/>
      <c r="P158" s="346"/>
      <c r="Q158" s="346"/>
      <c r="AA158" s="120"/>
    </row>
    <row r="159" spans="1:27" x14ac:dyDescent="0.25">
      <c r="A159" s="76" t="s">
        <v>160</v>
      </c>
      <c r="C159" s="97" t="e">
        <f>+#REF!</f>
        <v>#REF!</v>
      </c>
      <c r="E159" s="97">
        <v>18187929</v>
      </c>
      <c r="F159" s="262"/>
      <c r="H159" s="347"/>
      <c r="I159" s="348"/>
      <c r="J159" s="67"/>
      <c r="K159" s="67"/>
      <c r="L159" s="329"/>
      <c r="M159" s="67"/>
      <c r="N159" s="349"/>
      <c r="O159" s="67"/>
      <c r="P159" s="329"/>
      <c r="Q159" s="350"/>
      <c r="AA159" s="120"/>
    </row>
    <row r="160" spans="1:27" x14ac:dyDescent="0.25">
      <c r="A160" s="76" t="s">
        <v>162</v>
      </c>
      <c r="C160" s="97" t="e">
        <f>+#REF!</f>
        <v>#REF!</v>
      </c>
      <c r="E160" s="97">
        <v>5724612</v>
      </c>
      <c r="F160" s="262"/>
      <c r="H160" s="351"/>
      <c r="I160" s="348"/>
      <c r="J160" s="67"/>
      <c r="K160" s="346"/>
      <c r="L160" s="329"/>
      <c r="M160" s="346"/>
      <c r="N160" s="349"/>
      <c r="O160" s="346"/>
      <c r="P160" s="329"/>
      <c r="Q160" s="346"/>
      <c r="AA160" s="120"/>
    </row>
    <row r="161" spans="1:27" x14ac:dyDescent="0.25">
      <c r="A161" s="174" t="s">
        <v>485</v>
      </c>
      <c r="B161" s="456"/>
      <c r="C161" s="209" t="e">
        <f>SUM(C158:C160)</f>
        <v>#REF!</v>
      </c>
      <c r="D161" s="265"/>
      <c r="E161" s="209">
        <f>SUM(E158:E160)</f>
        <v>126161579</v>
      </c>
      <c r="F161" s="262"/>
      <c r="H161" s="351"/>
      <c r="I161" s="348"/>
      <c r="J161" s="67"/>
      <c r="K161" s="346"/>
      <c r="L161" s="329"/>
      <c r="M161" s="346"/>
      <c r="N161" s="349"/>
      <c r="O161" s="346"/>
      <c r="P161" s="329"/>
      <c r="Q161" s="346"/>
      <c r="AA161" s="120"/>
    </row>
    <row r="162" spans="1:27" x14ac:dyDescent="0.25">
      <c r="A162" s="74" t="s">
        <v>593</v>
      </c>
      <c r="B162" s="453"/>
      <c r="C162" s="71" t="e">
        <f>+C161-#REF!</f>
        <v>#REF!</v>
      </c>
      <c r="D162" s="262"/>
      <c r="E162" s="71">
        <v>0</v>
      </c>
      <c r="F162" s="262"/>
      <c r="G162" s="184"/>
      <c r="H162" s="351"/>
      <c r="I162" s="348"/>
      <c r="J162" s="67"/>
      <c r="K162" s="346"/>
      <c r="L162" s="329"/>
      <c r="M162" s="346"/>
      <c r="N162" s="349"/>
      <c r="O162" s="346"/>
      <c r="P162" s="329"/>
      <c r="Q162" s="346"/>
      <c r="AA162" s="120"/>
    </row>
    <row r="163" spans="1:27" ht="16.5" thickBot="1" x14ac:dyDescent="0.3">
      <c r="A163" s="95"/>
      <c r="B163" s="454"/>
      <c r="C163" s="96" t="e">
        <f>+C161-C162</f>
        <v>#REF!</v>
      </c>
      <c r="D163" s="263"/>
      <c r="E163" s="96">
        <f>+E161-E162</f>
        <v>126161579</v>
      </c>
      <c r="F163" s="262"/>
      <c r="H163" s="351"/>
      <c r="I163" s="348"/>
      <c r="J163" s="67"/>
      <c r="K163" s="346"/>
      <c r="L163" s="329"/>
      <c r="M163" s="346"/>
      <c r="N163" s="349"/>
      <c r="O163" s="346"/>
      <c r="P163" s="329"/>
      <c r="Q163" s="346"/>
      <c r="AA163" s="120"/>
    </row>
    <row r="164" spans="1:27" ht="16.5" thickTop="1" x14ac:dyDescent="0.25">
      <c r="C164" s="97" t="e">
        <f>+C163-#REF!</f>
        <v>#REF!</v>
      </c>
      <c r="E164" s="97" t="e">
        <f>+E163-#REF!</f>
        <v>#REF!</v>
      </c>
      <c r="F164" s="262"/>
      <c r="H164" s="352"/>
      <c r="I164" s="353"/>
      <c r="J164" s="346"/>
      <c r="K164" s="346"/>
      <c r="L164" s="354"/>
      <c r="M164" s="346"/>
      <c r="N164" s="349"/>
      <c r="O164" s="346"/>
      <c r="P164" s="354"/>
      <c r="Q164" s="346"/>
      <c r="AA164" s="120"/>
    </row>
    <row r="165" spans="1:27" x14ac:dyDescent="0.25">
      <c r="C165" s="76"/>
      <c r="F165" s="262"/>
      <c r="H165" s="352"/>
      <c r="I165" s="348"/>
      <c r="J165" s="346"/>
      <c r="K165" s="346"/>
      <c r="L165" s="354"/>
      <c r="M165" s="346"/>
      <c r="N165" s="349"/>
      <c r="O165" s="346"/>
      <c r="P165" s="354"/>
      <c r="Q165" s="346"/>
      <c r="AA165" s="120"/>
    </row>
    <row r="166" spans="1:27" x14ac:dyDescent="0.25">
      <c r="A166" s="211" t="s">
        <v>490</v>
      </c>
      <c r="B166" s="477"/>
      <c r="C166" s="211" t="s">
        <v>491</v>
      </c>
      <c r="D166" s="278"/>
      <c r="E166" s="211" t="s">
        <v>492</v>
      </c>
      <c r="F166" s="277"/>
      <c r="H166" s="352"/>
      <c r="I166" s="348"/>
      <c r="J166" s="346"/>
      <c r="K166" s="346"/>
      <c r="L166" s="354"/>
      <c r="M166" s="346"/>
      <c r="N166" s="349"/>
      <c r="O166" s="346"/>
      <c r="P166" s="354"/>
      <c r="Q166" s="346"/>
    </row>
    <row r="167" spans="1:27" ht="14.45" customHeight="1" x14ac:dyDescent="0.25">
      <c r="A167" s="213" t="s">
        <v>158</v>
      </c>
      <c r="B167" s="461"/>
      <c r="C167" s="167">
        <v>155177038</v>
      </c>
      <c r="D167" s="269"/>
      <c r="E167" s="71">
        <v>0</v>
      </c>
      <c r="F167" s="270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</row>
    <row r="168" spans="1:27" x14ac:dyDescent="0.25">
      <c r="A168" s="213" t="s">
        <v>160</v>
      </c>
      <c r="B168" s="461"/>
      <c r="C168" s="167" t="e">
        <f>+C159</f>
        <v>#REF!</v>
      </c>
      <c r="D168" s="269"/>
      <c r="E168" s="71">
        <v>0</v>
      </c>
      <c r="F168" s="270"/>
      <c r="G168" s="97"/>
      <c r="H168" s="163"/>
      <c r="I168" s="163"/>
      <c r="J168" s="161"/>
      <c r="K168" s="67"/>
      <c r="L168" s="355"/>
      <c r="M168" s="67"/>
      <c r="N168" s="355"/>
      <c r="O168" s="355"/>
      <c r="P168" s="355"/>
      <c r="Q168" s="346"/>
      <c r="AA168" s="216"/>
    </row>
    <row r="169" spans="1:27" x14ac:dyDescent="0.25">
      <c r="A169" s="213" t="s">
        <v>162</v>
      </c>
      <c r="B169" s="461"/>
      <c r="C169" s="167" t="e">
        <f>+C160</f>
        <v>#REF!</v>
      </c>
      <c r="D169" s="269"/>
      <c r="E169" s="71">
        <v>0</v>
      </c>
      <c r="F169" s="270"/>
      <c r="H169" s="346"/>
      <c r="I169" s="346"/>
      <c r="J169" s="346"/>
      <c r="K169" s="346"/>
      <c r="L169" s="346"/>
      <c r="M169" s="346"/>
      <c r="N169" s="346"/>
      <c r="O169" s="346"/>
      <c r="P169" s="354"/>
      <c r="Q169" s="354"/>
      <c r="AA169" s="120"/>
    </row>
    <row r="170" spans="1:27" ht="16.5" thickBot="1" x14ac:dyDescent="0.3">
      <c r="A170" s="86"/>
      <c r="B170" s="475"/>
      <c r="C170" s="87" t="e">
        <f>SUM(C167:C169)</f>
        <v>#REF!</v>
      </c>
      <c r="D170" s="276"/>
      <c r="E170" s="251">
        <f>SUM(E167:E169)</f>
        <v>0</v>
      </c>
      <c r="F170" s="277"/>
      <c r="H170" s="163"/>
      <c r="I170" s="163"/>
      <c r="J170" s="163"/>
      <c r="K170" s="163"/>
      <c r="L170" s="163"/>
      <c r="M170" s="163"/>
      <c r="N170" s="163"/>
      <c r="O170" s="163"/>
      <c r="P170" s="356"/>
      <c r="Q170" s="354"/>
    </row>
    <row r="171" spans="1:27" ht="16.5" thickTop="1" x14ac:dyDescent="0.25">
      <c r="C171" s="97" t="e">
        <f>+C170-#REF!</f>
        <v>#REF!</v>
      </c>
      <c r="E171" s="97" t="e">
        <f>+E170-#REF!</f>
        <v>#REF!</v>
      </c>
      <c r="F171" s="262"/>
      <c r="G171" s="97"/>
    </row>
    <row r="172" spans="1:27" x14ac:dyDescent="0.25">
      <c r="B172" s="478"/>
      <c r="C172" s="76"/>
      <c r="D172" s="76"/>
      <c r="F172" s="76"/>
      <c r="G172" s="97"/>
    </row>
    <row r="173" spans="1:27" x14ac:dyDescent="0.25">
      <c r="A173" s="171" t="str">
        <f>+A167</f>
        <v>Accounts Payable</v>
      </c>
    </row>
    <row r="174" spans="1:27" x14ac:dyDescent="0.25">
      <c r="A174" s="76" t="s">
        <v>588</v>
      </c>
    </row>
    <row r="175" spans="1:27" x14ac:dyDescent="0.25">
      <c r="A175" s="76" t="s">
        <v>589</v>
      </c>
    </row>
    <row r="176" spans="1:27" x14ac:dyDescent="0.25">
      <c r="A176" s="76" t="s">
        <v>590</v>
      </c>
      <c r="F176" s="262"/>
    </row>
    <row r="177" spans="1:6" x14ac:dyDescent="0.25">
      <c r="A177" s="76" t="s">
        <v>591</v>
      </c>
      <c r="F177" s="262"/>
    </row>
    <row r="178" spans="1:6" ht="16.5" thickBot="1" x14ac:dyDescent="0.3">
      <c r="A178" s="95"/>
      <c r="B178" s="454"/>
      <c r="C178" s="96">
        <f>SUM(C174:C177)</f>
        <v>0</v>
      </c>
      <c r="D178" s="263"/>
      <c r="E178" s="95"/>
      <c r="F178" s="382"/>
    </row>
    <row r="179" spans="1:6" ht="16.5" thickTop="1" x14ac:dyDescent="0.25">
      <c r="C179" s="97" t="e">
        <f>+C158-C178</f>
        <v>#REF!</v>
      </c>
      <c r="F179" s="262"/>
    </row>
    <row r="180" spans="1:6" x14ac:dyDescent="0.25">
      <c r="F180" s="262"/>
    </row>
    <row r="181" spans="1:6" x14ac:dyDescent="0.25">
      <c r="A181" s="326" t="s">
        <v>493</v>
      </c>
      <c r="B181" s="479"/>
      <c r="C181" s="217"/>
      <c r="D181" s="280"/>
      <c r="E181" s="217"/>
      <c r="F181" s="386"/>
    </row>
    <row r="182" spans="1:6" x14ac:dyDescent="0.25">
      <c r="A182" s="77"/>
      <c r="B182" s="480"/>
      <c r="C182" s="78">
        <v>2018</v>
      </c>
      <c r="D182" s="289"/>
      <c r="E182" s="78">
        <v>2017</v>
      </c>
      <c r="F182" s="296"/>
    </row>
    <row r="183" spans="1:6" x14ac:dyDescent="0.25">
      <c r="A183" s="198" t="s">
        <v>164</v>
      </c>
      <c r="B183" s="470"/>
      <c r="C183" s="97" t="e">
        <f>+#REF!</f>
        <v>#REF!</v>
      </c>
      <c r="E183" s="97">
        <v>9820088</v>
      </c>
      <c r="F183" s="262"/>
    </row>
    <row r="184" spans="1:6" x14ac:dyDescent="0.25">
      <c r="A184" s="198" t="s">
        <v>166</v>
      </c>
      <c r="B184" s="470"/>
      <c r="C184" s="97" t="e">
        <f>+#REF!</f>
        <v>#REF!</v>
      </c>
      <c r="E184" s="97">
        <v>12703436</v>
      </c>
      <c r="F184" s="262"/>
    </row>
    <row r="185" spans="1:6" x14ac:dyDescent="0.25">
      <c r="A185" s="198" t="s">
        <v>168</v>
      </c>
      <c r="B185" s="470"/>
      <c r="C185" s="97" t="e">
        <f>+#REF!</f>
        <v>#REF!</v>
      </c>
      <c r="E185" s="97">
        <v>953010</v>
      </c>
      <c r="F185" s="262"/>
    </row>
    <row r="186" spans="1:6" x14ac:dyDescent="0.25">
      <c r="A186" s="198" t="s">
        <v>170</v>
      </c>
      <c r="B186" s="470"/>
      <c r="C186" s="97" t="e">
        <f>+#REF!</f>
        <v>#REF!</v>
      </c>
      <c r="E186" s="97">
        <v>998938</v>
      </c>
      <c r="F186" s="262"/>
    </row>
    <row r="187" spans="1:6" x14ac:dyDescent="0.25">
      <c r="A187" s="198" t="s">
        <v>606</v>
      </c>
      <c r="B187" s="470"/>
      <c r="C187" s="97" t="e">
        <f>+#REF!</f>
        <v>#REF!</v>
      </c>
      <c r="E187" s="97">
        <v>112851356</v>
      </c>
      <c r="F187" s="262"/>
    </row>
    <row r="188" spans="1:6" x14ac:dyDescent="0.25">
      <c r="A188" s="198" t="s">
        <v>174</v>
      </c>
      <c r="B188" s="470"/>
      <c r="C188" s="97" t="e">
        <f>+#REF!</f>
        <v>#REF!</v>
      </c>
      <c r="E188" s="97">
        <v>748543</v>
      </c>
      <c r="F188" s="262"/>
    </row>
    <row r="189" spans="1:6" x14ac:dyDescent="0.25">
      <c r="A189" s="198" t="s">
        <v>176</v>
      </c>
      <c r="B189" s="470"/>
      <c r="C189" s="97" t="e">
        <f>+#REF!</f>
        <v>#REF!</v>
      </c>
      <c r="E189" s="97">
        <v>3203141</v>
      </c>
      <c r="F189" s="262"/>
    </row>
    <row r="190" spans="1:6" ht="16.5" thickBot="1" x14ac:dyDescent="0.3">
      <c r="A190" s="193"/>
      <c r="B190" s="467"/>
      <c r="C190" s="96" t="e">
        <f>SUM(C183:C189)</f>
        <v>#REF!</v>
      </c>
      <c r="D190" s="263"/>
      <c r="E190" s="96">
        <f>SUM(E183:E189)</f>
        <v>141278512</v>
      </c>
      <c r="F190" s="382"/>
    </row>
    <row r="191" spans="1:6" ht="16.5" thickTop="1" x14ac:dyDescent="0.25">
      <c r="C191" s="97" t="e">
        <f>+C190-#REF!</f>
        <v>#REF!</v>
      </c>
      <c r="E191" s="97" t="e">
        <f>+E190-#REF!</f>
        <v>#REF!</v>
      </c>
      <c r="F191" s="262"/>
    </row>
    <row r="192" spans="1:6" x14ac:dyDescent="0.25">
      <c r="F192" s="262"/>
    </row>
    <row r="193" spans="1:7" x14ac:dyDescent="0.25">
      <c r="A193" s="327" t="s">
        <v>503</v>
      </c>
      <c r="B193" s="481"/>
      <c r="F193" s="262"/>
    </row>
    <row r="194" spans="1:7" x14ac:dyDescent="0.25">
      <c r="A194" s="77"/>
      <c r="B194" s="480"/>
      <c r="C194" s="78">
        <v>2018</v>
      </c>
      <c r="D194" s="289"/>
      <c r="E194" s="78">
        <v>2017</v>
      </c>
      <c r="F194" s="296"/>
    </row>
    <row r="195" spans="1:7" x14ac:dyDescent="0.25">
      <c r="A195" s="79" t="s">
        <v>503</v>
      </c>
      <c r="B195" s="482"/>
      <c r="C195" s="97" t="e">
        <f>+#REF!</f>
        <v>#REF!</v>
      </c>
      <c r="E195" s="97">
        <v>14861892</v>
      </c>
      <c r="F195" s="262"/>
      <c r="G195" s="83" t="e">
        <f t="shared" ref="G195:G199" si="3">+C195-E195</f>
        <v>#REF!</v>
      </c>
    </row>
    <row r="196" spans="1:7" x14ac:dyDescent="0.25">
      <c r="A196" s="79" t="s">
        <v>182</v>
      </c>
      <c r="B196" s="482"/>
      <c r="C196" s="97" t="e">
        <f>+#REF!</f>
        <v>#REF!</v>
      </c>
      <c r="E196" s="97">
        <v>74038578</v>
      </c>
      <c r="F196" s="262"/>
      <c r="G196" s="83" t="e">
        <f t="shared" si="3"/>
        <v>#REF!</v>
      </c>
    </row>
    <row r="197" spans="1:7" x14ac:dyDescent="0.25">
      <c r="A197" s="198" t="s">
        <v>184</v>
      </c>
      <c r="B197" s="470"/>
      <c r="C197" s="97" t="e">
        <f>+#REF!</f>
        <v>#REF!</v>
      </c>
      <c r="E197" s="97">
        <v>643559</v>
      </c>
      <c r="F197" s="262"/>
      <c r="G197" s="83" t="e">
        <f t="shared" si="3"/>
        <v>#REF!</v>
      </c>
    </row>
    <row r="198" spans="1:7" x14ac:dyDescent="0.25">
      <c r="A198" s="79" t="s">
        <v>186</v>
      </c>
      <c r="B198" s="482"/>
      <c r="C198" s="97" t="e">
        <f>+#REF!</f>
        <v>#REF!</v>
      </c>
      <c r="E198" s="97">
        <v>4620580</v>
      </c>
      <c r="F198" s="262"/>
      <c r="G198" s="400" t="e">
        <f t="shared" si="3"/>
        <v>#REF!</v>
      </c>
    </row>
    <row r="199" spans="1:7" x14ac:dyDescent="0.25">
      <c r="A199" s="79" t="s">
        <v>504</v>
      </c>
      <c r="B199" s="482"/>
      <c r="C199" s="97" t="e">
        <f>+#REF!</f>
        <v>#REF!</v>
      </c>
      <c r="E199" s="97">
        <v>969010</v>
      </c>
      <c r="F199" s="262"/>
      <c r="G199" s="83" t="e">
        <f t="shared" si="3"/>
        <v>#REF!</v>
      </c>
    </row>
    <row r="200" spans="1:7" ht="16.5" thickBot="1" x14ac:dyDescent="0.3">
      <c r="A200" s="193"/>
      <c r="B200" s="467"/>
      <c r="C200" s="96" t="e">
        <f>SUM(C195:C199)</f>
        <v>#REF!</v>
      </c>
      <c r="D200" s="263"/>
      <c r="E200" s="96">
        <v>95133619</v>
      </c>
      <c r="F200" s="382"/>
    </row>
    <row r="201" spans="1:7" ht="16.5" thickTop="1" x14ac:dyDescent="0.25">
      <c r="A201" s="73" t="s">
        <v>505</v>
      </c>
      <c r="B201" s="481"/>
      <c r="C201" s="97" t="e">
        <f>+C200-#REF!</f>
        <v>#REF!</v>
      </c>
      <c r="E201" s="97" t="e">
        <f>+E200-#REF!</f>
        <v>#REF!</v>
      </c>
      <c r="F201" s="262"/>
    </row>
    <row r="202" spans="1:7" x14ac:dyDescent="0.25">
      <c r="A202" s="73"/>
      <c r="B202" s="481"/>
      <c r="E202" s="97"/>
      <c r="F202" s="262"/>
    </row>
    <row r="203" spans="1:7" x14ac:dyDescent="0.25">
      <c r="A203" s="73" t="str">
        <f>+A195</f>
        <v>Trust Liabilities  </v>
      </c>
      <c r="B203" s="481"/>
      <c r="E203" s="97"/>
      <c r="F203" s="262"/>
    </row>
    <row r="204" spans="1:7" x14ac:dyDescent="0.25">
      <c r="A204" s="77"/>
      <c r="B204" s="480"/>
      <c r="C204" s="78">
        <v>2018</v>
      </c>
      <c r="D204" s="289"/>
      <c r="E204" s="78">
        <v>2017</v>
      </c>
      <c r="F204" s="296"/>
    </row>
    <row r="205" spans="1:7" x14ac:dyDescent="0.25">
      <c r="A205" s="198" t="s">
        <v>506</v>
      </c>
      <c r="B205" s="470"/>
      <c r="C205" s="97">
        <v>3671838</v>
      </c>
      <c r="E205" s="97">
        <v>2487629</v>
      </c>
      <c r="F205" s="262"/>
      <c r="G205" s="83">
        <f>+C205-E205</f>
        <v>1184209</v>
      </c>
    </row>
    <row r="206" spans="1:7" x14ac:dyDescent="0.25">
      <c r="A206" s="198" t="s">
        <v>507</v>
      </c>
      <c r="B206" s="470"/>
      <c r="C206" s="97">
        <v>70245</v>
      </c>
      <c r="E206" s="97">
        <v>66935</v>
      </c>
      <c r="F206" s="262"/>
      <c r="G206" s="83">
        <f t="shared" ref="G206:G210" si="4">+C206-E206</f>
        <v>3310</v>
      </c>
    </row>
    <row r="207" spans="1:7" x14ac:dyDescent="0.25">
      <c r="A207" s="198" t="s">
        <v>508</v>
      </c>
      <c r="B207" s="470"/>
      <c r="C207" s="97">
        <v>203208</v>
      </c>
      <c r="E207" s="97">
        <v>340918</v>
      </c>
      <c r="G207" s="83">
        <f t="shared" si="4"/>
        <v>-137710</v>
      </c>
    </row>
    <row r="208" spans="1:7" x14ac:dyDescent="0.25">
      <c r="A208" s="198" t="s">
        <v>509</v>
      </c>
      <c r="B208" s="470"/>
      <c r="C208" s="97">
        <v>61836</v>
      </c>
      <c r="E208" s="97">
        <v>1835</v>
      </c>
      <c r="G208" s="83">
        <f t="shared" si="4"/>
        <v>60001</v>
      </c>
    </row>
    <row r="209" spans="1:10" x14ac:dyDescent="0.25">
      <c r="A209" s="198" t="s">
        <v>510</v>
      </c>
      <c r="B209" s="470"/>
      <c r="C209" s="97">
        <v>10123766</v>
      </c>
      <c r="E209" s="97">
        <v>11964575</v>
      </c>
      <c r="G209" s="400">
        <f t="shared" si="4"/>
        <v>-1840809</v>
      </c>
    </row>
    <row r="210" spans="1:10" x14ac:dyDescent="0.25">
      <c r="A210" s="76" t="s">
        <v>779</v>
      </c>
      <c r="B210" s="470"/>
      <c r="C210" s="97">
        <v>445000</v>
      </c>
      <c r="E210" s="71">
        <v>0</v>
      </c>
      <c r="G210" s="400">
        <f t="shared" si="4"/>
        <v>445000</v>
      </c>
    </row>
    <row r="211" spans="1:10" ht="16.5" thickBot="1" x14ac:dyDescent="0.3">
      <c r="A211" s="193"/>
      <c r="B211" s="467"/>
      <c r="C211" s="96">
        <f>SUM(C205:C210)</f>
        <v>14575893</v>
      </c>
      <c r="D211" s="263"/>
      <c r="E211" s="96">
        <f>SUM(E205:E209)</f>
        <v>14861892</v>
      </c>
      <c r="F211" s="263"/>
    </row>
    <row r="212" spans="1:10" ht="16.5" thickTop="1" x14ac:dyDescent="0.25">
      <c r="A212" s="73"/>
      <c r="B212" s="481"/>
      <c r="C212" s="218" t="e">
        <f>+C211-C195</f>
        <v>#REF!</v>
      </c>
      <c r="D212" s="295"/>
      <c r="E212" s="88">
        <f>+E211-E195</f>
        <v>0</v>
      </c>
      <c r="F212" s="295"/>
    </row>
    <row r="213" spans="1:10" x14ac:dyDescent="0.25">
      <c r="A213" s="112"/>
      <c r="B213" s="483"/>
      <c r="C213" s="219"/>
      <c r="D213" s="285"/>
      <c r="E213" s="219"/>
      <c r="F213" s="285"/>
      <c r="G213" s="220"/>
    </row>
    <row r="214" spans="1:10" x14ac:dyDescent="0.25">
      <c r="A214" s="417"/>
      <c r="B214" s="484"/>
      <c r="C214" s="204" t="s">
        <v>511</v>
      </c>
      <c r="D214" s="418"/>
      <c r="E214" s="204" t="s">
        <v>512</v>
      </c>
      <c r="F214" s="418"/>
      <c r="G214" s="204" t="s">
        <v>513</v>
      </c>
      <c r="I214" s="337"/>
    </row>
    <row r="215" spans="1:10" x14ac:dyDescent="0.25">
      <c r="A215" s="79" t="s">
        <v>514</v>
      </c>
      <c r="B215" s="464"/>
      <c r="C215" s="190"/>
      <c r="D215" s="272"/>
      <c r="E215" s="190"/>
      <c r="F215" s="272"/>
      <c r="G215" s="190"/>
      <c r="I215" s="252"/>
    </row>
    <row r="216" spans="1:10" x14ac:dyDescent="0.25">
      <c r="A216" s="79" t="s">
        <v>515</v>
      </c>
      <c r="B216" s="482" t="s">
        <v>450</v>
      </c>
      <c r="C216" s="71">
        <v>26335836</v>
      </c>
      <c r="D216" s="279" t="s">
        <v>450</v>
      </c>
      <c r="E216" s="71">
        <v>0</v>
      </c>
      <c r="F216" s="279" t="s">
        <v>450</v>
      </c>
      <c r="G216" s="71">
        <f>+C216-E216</f>
        <v>26335836</v>
      </c>
      <c r="I216" s="247"/>
    </row>
    <row r="217" spans="1:10" x14ac:dyDescent="0.25">
      <c r="A217" s="79" t="s">
        <v>585</v>
      </c>
      <c r="B217" s="464"/>
      <c r="C217" s="190"/>
      <c r="D217" s="272"/>
      <c r="E217" s="190"/>
      <c r="F217" s="272"/>
      <c r="G217" s="190"/>
      <c r="I217" s="252"/>
    </row>
    <row r="218" spans="1:10" x14ac:dyDescent="0.25">
      <c r="A218" s="84" t="s">
        <v>586</v>
      </c>
      <c r="B218" s="464"/>
      <c r="C218" s="71">
        <v>1950285</v>
      </c>
      <c r="D218" s="272"/>
      <c r="E218" s="71">
        <v>1458563</v>
      </c>
      <c r="F218" s="272"/>
      <c r="G218" s="71">
        <f>+C218-E218</f>
        <v>491722</v>
      </c>
      <c r="H218" s="184">
        <f>+G216+G218</f>
        <v>26827558</v>
      </c>
      <c r="I218" s="247"/>
    </row>
    <row r="219" spans="1:10" x14ac:dyDescent="0.25">
      <c r="A219" s="84" t="s">
        <v>587</v>
      </c>
      <c r="B219" s="464"/>
      <c r="C219" s="71">
        <v>59500000</v>
      </c>
      <c r="D219" s="272"/>
      <c r="E219" s="71">
        <v>0</v>
      </c>
      <c r="F219" s="272"/>
      <c r="G219" s="71">
        <f>+C219-E219</f>
        <v>59500000</v>
      </c>
      <c r="I219" s="247"/>
    </row>
    <row r="220" spans="1:10" x14ac:dyDescent="0.25">
      <c r="A220" s="79" t="s">
        <v>516</v>
      </c>
      <c r="B220" s="464"/>
      <c r="C220" s="190"/>
      <c r="D220" s="272"/>
      <c r="E220" s="190"/>
      <c r="F220" s="272"/>
      <c r="G220" s="190"/>
      <c r="I220" s="252"/>
    </row>
    <row r="221" spans="1:10" x14ac:dyDescent="0.25">
      <c r="A221" s="84" t="s">
        <v>738</v>
      </c>
      <c r="B221" s="464"/>
      <c r="C221" s="419">
        <v>51560735</v>
      </c>
      <c r="D221" s="272"/>
      <c r="E221" s="71">
        <v>20988841</v>
      </c>
      <c r="F221" s="272"/>
      <c r="G221" s="71">
        <f t="shared" ref="G221:G225" si="5">+C221-E221</f>
        <v>30571894</v>
      </c>
      <c r="I221" s="252"/>
    </row>
    <row r="222" spans="1:10" x14ac:dyDescent="0.25">
      <c r="A222" s="84" t="s">
        <v>608</v>
      </c>
      <c r="B222" s="482"/>
      <c r="C222" s="207">
        <v>35010358</v>
      </c>
      <c r="D222" s="279"/>
      <c r="E222" s="71">
        <v>27816799</v>
      </c>
      <c r="F222" s="279"/>
      <c r="G222" s="71">
        <f>+C222-E222</f>
        <v>7193559</v>
      </c>
      <c r="I222" s="247"/>
      <c r="J222" s="97"/>
    </row>
    <row r="223" spans="1:10" x14ac:dyDescent="0.25">
      <c r="A223" s="84" t="s">
        <v>609</v>
      </c>
      <c r="B223" s="464"/>
      <c r="C223" s="207">
        <v>14033695</v>
      </c>
      <c r="D223" s="272"/>
      <c r="E223" s="71">
        <v>5324742</v>
      </c>
      <c r="F223" s="272"/>
      <c r="G223" s="71">
        <f t="shared" si="5"/>
        <v>8708953</v>
      </c>
      <c r="I223" s="247"/>
      <c r="J223" s="97"/>
    </row>
    <row r="224" spans="1:10" x14ac:dyDescent="0.25">
      <c r="A224" s="84" t="s">
        <v>610</v>
      </c>
      <c r="B224" s="464"/>
      <c r="C224" s="207">
        <v>13667457</v>
      </c>
      <c r="D224" s="272"/>
      <c r="E224" s="71">
        <v>7098076</v>
      </c>
      <c r="F224" s="272"/>
      <c r="G224" s="71">
        <f t="shared" si="5"/>
        <v>6569381</v>
      </c>
      <c r="I224" s="247"/>
      <c r="J224" s="97"/>
    </row>
    <row r="225" spans="1:10" x14ac:dyDescent="0.25">
      <c r="A225" s="84" t="s">
        <v>611</v>
      </c>
      <c r="B225" s="464"/>
      <c r="C225" s="207">
        <v>2523284</v>
      </c>
      <c r="D225" s="272"/>
      <c r="E225" s="207">
        <v>2523284</v>
      </c>
      <c r="F225" s="272"/>
      <c r="G225" s="71">
        <f t="shared" si="5"/>
        <v>0</v>
      </c>
      <c r="I225" s="247"/>
      <c r="J225" s="97"/>
    </row>
    <row r="226" spans="1:10" x14ac:dyDescent="0.25">
      <c r="A226" s="420" t="s">
        <v>612</v>
      </c>
      <c r="B226" s="485" t="s">
        <v>450</v>
      </c>
      <c r="C226" s="421">
        <f>SUM(C216:C225)</f>
        <v>204581650</v>
      </c>
      <c r="D226" s="422" t="s">
        <v>450</v>
      </c>
      <c r="E226" s="421">
        <f>SUM(E216:E225)</f>
        <v>65210305</v>
      </c>
      <c r="F226" s="422" t="s">
        <v>450</v>
      </c>
      <c r="G226" s="421">
        <f>SUM(G216:G225)</f>
        <v>139371345</v>
      </c>
      <c r="I226" s="338"/>
    </row>
    <row r="227" spans="1:10" x14ac:dyDescent="0.25">
      <c r="C227" s="76"/>
      <c r="H227" s="217"/>
      <c r="I227" s="217"/>
    </row>
    <row r="228" spans="1:10" x14ac:dyDescent="0.25">
      <c r="A228" s="423" t="s">
        <v>613</v>
      </c>
      <c r="B228" s="486"/>
      <c r="C228" s="424"/>
      <c r="D228" s="294"/>
      <c r="E228" s="424"/>
      <c r="F228" s="294"/>
      <c r="H228" s="217"/>
      <c r="I228" s="217"/>
    </row>
    <row r="229" spans="1:10" x14ac:dyDescent="0.25">
      <c r="A229" s="119" t="s">
        <v>780</v>
      </c>
      <c r="B229" s="473"/>
      <c r="C229" s="63"/>
      <c r="D229" s="274"/>
      <c r="F229" s="274"/>
      <c r="G229" s="148">
        <v>-59500000</v>
      </c>
      <c r="H229" s="148"/>
    </row>
    <row r="230" spans="1:10" x14ac:dyDescent="0.25">
      <c r="A230" s="119" t="s">
        <v>614</v>
      </c>
      <c r="B230" s="473"/>
      <c r="C230" s="63"/>
      <c r="D230" s="274"/>
      <c r="F230" s="274"/>
      <c r="G230" s="148">
        <v>-1220119</v>
      </c>
      <c r="H230" s="148">
        <v>-20609008</v>
      </c>
    </row>
    <row r="231" spans="1:10" x14ac:dyDescent="0.25">
      <c r="A231" s="119" t="s">
        <v>581</v>
      </c>
      <c r="B231" s="473"/>
      <c r="C231" s="63"/>
      <c r="D231" s="274"/>
      <c r="F231" s="274"/>
      <c r="G231" s="148">
        <v>-3162500</v>
      </c>
      <c r="H231" s="148">
        <v>-23772500</v>
      </c>
    </row>
    <row r="232" spans="1:10" x14ac:dyDescent="0.25">
      <c r="A232" s="119" t="s">
        <v>615</v>
      </c>
      <c r="B232" s="473"/>
      <c r="C232" s="63"/>
      <c r="D232" s="294"/>
      <c r="F232" s="294"/>
      <c r="G232" s="148">
        <v>-2438250</v>
      </c>
      <c r="H232" s="148">
        <v>-2708850</v>
      </c>
    </row>
    <row r="233" spans="1:10" x14ac:dyDescent="0.25">
      <c r="A233" s="423" t="s">
        <v>809</v>
      </c>
      <c r="B233" s="473"/>
      <c r="C233" s="63"/>
      <c r="D233" s="294"/>
      <c r="F233" s="294"/>
      <c r="G233" s="89">
        <v>4229056</v>
      </c>
      <c r="H233" s="111"/>
    </row>
    <row r="234" spans="1:10" x14ac:dyDescent="0.25">
      <c r="A234" s="425" t="s">
        <v>808</v>
      </c>
      <c r="B234" s="473"/>
      <c r="C234" s="63"/>
      <c r="D234" s="294"/>
      <c r="F234" s="294"/>
      <c r="G234" s="148">
        <v>-250000</v>
      </c>
      <c r="H234" s="111"/>
    </row>
    <row r="235" spans="1:10" x14ac:dyDescent="0.25">
      <c r="A235" s="425" t="s">
        <v>631</v>
      </c>
      <c r="B235" s="473"/>
      <c r="C235" s="63"/>
      <c r="D235" s="294"/>
      <c r="F235" s="294"/>
      <c r="G235" s="89">
        <f>40617+104351</f>
        <v>144968</v>
      </c>
      <c r="H235" s="111"/>
    </row>
    <row r="236" spans="1:10" x14ac:dyDescent="0.25">
      <c r="A236" s="426"/>
      <c r="B236" s="485"/>
      <c r="C236" s="427"/>
      <c r="D236" s="422"/>
      <c r="E236" s="428"/>
      <c r="F236" s="422"/>
      <c r="G236" s="149">
        <f>SUM(G229:G235)</f>
        <v>-62196845</v>
      </c>
      <c r="H236" s="339"/>
    </row>
    <row r="237" spans="1:10" ht="16.5" thickBot="1" x14ac:dyDescent="0.3">
      <c r="A237" s="95"/>
      <c r="B237" s="454"/>
      <c r="C237" s="95"/>
      <c r="D237" s="263"/>
      <c r="E237" s="95"/>
      <c r="F237" s="263"/>
      <c r="G237" s="96">
        <f>+G226+G236</f>
        <v>77174500</v>
      </c>
      <c r="H237" s="340"/>
      <c r="I237" s="218" t="e">
        <f>+G237-C196</f>
        <v>#REF!</v>
      </c>
      <c r="J237" s="184" t="e">
        <f>+I237-G225</f>
        <v>#REF!</v>
      </c>
    </row>
    <row r="238" spans="1:10" ht="16.5" thickTop="1" x14ac:dyDescent="0.25">
      <c r="A238" s="73"/>
      <c r="B238" s="481"/>
      <c r="E238" s="97"/>
      <c r="G238" s="120"/>
    </row>
    <row r="239" spans="1:10" x14ac:dyDescent="0.25">
      <c r="A239" s="328" t="s">
        <v>441</v>
      </c>
      <c r="B239" s="487"/>
      <c r="C239" s="219"/>
      <c r="D239" s="285"/>
      <c r="E239" s="219"/>
      <c r="F239" s="285"/>
    </row>
    <row r="240" spans="1:10" x14ac:dyDescent="0.25">
      <c r="A240" s="63"/>
      <c r="B240" s="476"/>
      <c r="C240" s="98">
        <v>2018</v>
      </c>
      <c r="D240" s="277"/>
      <c r="E240" s="98">
        <v>2017</v>
      </c>
      <c r="F240" s="277"/>
    </row>
    <row r="241" spans="1:9" x14ac:dyDescent="0.25">
      <c r="A241" s="64" t="s">
        <v>625</v>
      </c>
      <c r="B241" s="452" t="s">
        <v>450</v>
      </c>
      <c r="C241" s="117" t="e">
        <f>+#REF!+#REF!</f>
        <v>#REF!</v>
      </c>
      <c r="D241" s="452" t="s">
        <v>450</v>
      </c>
      <c r="E241" s="117">
        <v>244703709</v>
      </c>
      <c r="F241" s="270"/>
      <c r="G241" s="74"/>
    </row>
    <row r="242" spans="1:9" x14ac:dyDescent="0.25">
      <c r="A242" s="445" t="s">
        <v>627</v>
      </c>
      <c r="B242" s="488"/>
      <c r="C242" s="118" t="e">
        <f>+#REF!+#REF!</f>
        <v>#REF!</v>
      </c>
      <c r="D242" s="281"/>
      <c r="E242" s="118">
        <v>143210484</v>
      </c>
      <c r="F242" s="270"/>
      <c r="G242" s="74"/>
    </row>
    <row r="243" spans="1:9" x14ac:dyDescent="0.25">
      <c r="A243" s="63" t="s">
        <v>629</v>
      </c>
      <c r="B243" s="476"/>
      <c r="C243" s="116" t="e">
        <f>+C241+C242</f>
        <v>#REF!</v>
      </c>
      <c r="D243" s="277"/>
      <c r="E243" s="116">
        <f>+E241+E242</f>
        <v>387914193</v>
      </c>
      <c r="F243" s="277"/>
      <c r="G243" s="74"/>
    </row>
    <row r="244" spans="1:9" x14ac:dyDescent="0.25">
      <c r="A244" s="119" t="s">
        <v>630</v>
      </c>
      <c r="B244" s="462"/>
      <c r="C244" s="89" t="e">
        <f>+#REF!</f>
        <v>#REF!</v>
      </c>
      <c r="D244" s="270"/>
      <c r="E244" s="89">
        <v>2472978</v>
      </c>
      <c r="F244" s="270"/>
      <c r="G244" s="508"/>
    </row>
    <row r="245" spans="1:9" ht="16.5" thickBot="1" x14ac:dyDescent="0.3">
      <c r="A245" s="93"/>
      <c r="B245" s="454" t="s">
        <v>450</v>
      </c>
      <c r="C245" s="91" t="e">
        <f>+C243-C244</f>
        <v>#REF!</v>
      </c>
      <c r="D245" s="454" t="s">
        <v>450</v>
      </c>
      <c r="E245" s="91">
        <f>+E243-E244</f>
        <v>385441215</v>
      </c>
      <c r="F245" s="277"/>
      <c r="G245" s="74"/>
    </row>
    <row r="246" spans="1:9" ht="16.5" thickTop="1" x14ac:dyDescent="0.25">
      <c r="A246" s="63"/>
      <c r="B246" s="476"/>
      <c r="C246" s="329" t="e">
        <f>+C245-#REF!</f>
        <v>#REF!</v>
      </c>
      <c r="D246" s="270"/>
      <c r="E246" s="89" t="e">
        <f>+E245-#REF!</f>
        <v>#REF!</v>
      </c>
      <c r="F246" s="270"/>
    </row>
    <row r="247" spans="1:9" x14ac:dyDescent="0.25">
      <c r="A247" s="63"/>
      <c r="B247" s="476"/>
      <c r="C247" s="116"/>
      <c r="D247" s="277"/>
      <c r="E247" s="116"/>
      <c r="F247" s="277"/>
    </row>
    <row r="248" spans="1:9" x14ac:dyDescent="0.25">
      <c r="C248" s="430">
        <v>2018</v>
      </c>
      <c r="D248" s="431"/>
      <c r="E248" s="430">
        <v>2017</v>
      </c>
      <c r="F248" s="332"/>
    </row>
    <row r="249" spans="1:9" x14ac:dyDescent="0.25">
      <c r="A249" s="113" t="s">
        <v>623</v>
      </c>
      <c r="B249" s="452" t="s">
        <v>450</v>
      </c>
      <c r="C249" s="117">
        <v>97907463</v>
      </c>
      <c r="D249" s="261" t="s">
        <v>450</v>
      </c>
      <c r="E249" s="114">
        <v>84086805</v>
      </c>
      <c r="F249" s="330"/>
      <c r="G249" s="221"/>
      <c r="H249" s="221"/>
      <c r="I249" s="221"/>
    </row>
    <row r="250" spans="1:9" x14ac:dyDescent="0.25">
      <c r="A250" s="74" t="s">
        <v>624</v>
      </c>
      <c r="B250" s="453"/>
      <c r="C250" s="94">
        <v>231873795</v>
      </c>
      <c r="D250" s="262"/>
      <c r="E250" s="94">
        <v>188838101</v>
      </c>
      <c r="F250" s="330"/>
      <c r="G250" s="221"/>
      <c r="H250" s="221"/>
      <c r="I250" s="221"/>
    </row>
    <row r="251" spans="1:9" x14ac:dyDescent="0.25">
      <c r="A251" s="115" t="s">
        <v>628</v>
      </c>
      <c r="B251" s="460"/>
      <c r="C251" s="180">
        <v>34654160</v>
      </c>
      <c r="D251" s="432"/>
      <c r="E251" s="180">
        <v>28221197</v>
      </c>
      <c r="F251" s="429"/>
      <c r="G251" s="221"/>
      <c r="H251" s="221"/>
      <c r="I251" s="221"/>
    </row>
    <row r="252" spans="1:9" ht="16.5" thickBot="1" x14ac:dyDescent="0.3">
      <c r="A252" s="95" t="s">
        <v>625</v>
      </c>
      <c r="B252" s="454" t="s">
        <v>450</v>
      </c>
      <c r="C252" s="96">
        <f>+C249+C250-C251</f>
        <v>295127098</v>
      </c>
      <c r="D252" s="263" t="s">
        <v>450</v>
      </c>
      <c r="E252" s="96">
        <f>+E249+E250-E251</f>
        <v>244703709</v>
      </c>
      <c r="F252" s="332"/>
      <c r="G252" s="221"/>
      <c r="H252" s="221"/>
      <c r="I252" s="221"/>
    </row>
    <row r="253" spans="1:9" ht="16.5" thickTop="1" x14ac:dyDescent="0.25">
      <c r="A253" s="331"/>
      <c r="B253" s="489"/>
      <c r="C253" s="334" t="e">
        <f>+#REF!+#REF!-#REF!</f>
        <v>#REF!</v>
      </c>
      <c r="D253" s="332"/>
      <c r="E253" s="333"/>
      <c r="F253" s="332"/>
      <c r="G253" s="94"/>
      <c r="H253" s="74"/>
      <c r="I253" s="74"/>
    </row>
    <row r="254" spans="1:9" x14ac:dyDescent="0.25">
      <c r="A254" s="331"/>
      <c r="B254" s="489"/>
      <c r="C254" s="513" t="e">
        <f>+C249-C14</f>
        <v>#REF!</v>
      </c>
      <c r="D254" s="332"/>
      <c r="E254" s="333"/>
      <c r="F254" s="332"/>
      <c r="G254" s="94"/>
      <c r="H254" s="74"/>
      <c r="I254" s="74"/>
    </row>
    <row r="255" spans="1:9" x14ac:dyDescent="0.25">
      <c r="A255" s="220"/>
      <c r="B255" s="490"/>
      <c r="C255" s="220"/>
      <c r="D255" s="285"/>
      <c r="E255" s="220"/>
      <c r="F255" s="330"/>
      <c r="G255" s="74"/>
      <c r="H255" s="74"/>
      <c r="I255" s="74"/>
    </row>
    <row r="256" spans="1:9" x14ac:dyDescent="0.25">
      <c r="C256" s="430">
        <v>2018</v>
      </c>
      <c r="D256" s="431"/>
      <c r="E256" s="430">
        <v>2017</v>
      </c>
      <c r="F256" s="332"/>
      <c r="G256" s="74"/>
      <c r="H256" s="74"/>
      <c r="I256" s="74"/>
    </row>
    <row r="257" spans="1:9" x14ac:dyDescent="0.25">
      <c r="A257" s="113" t="s">
        <v>626</v>
      </c>
      <c r="B257" s="452" t="s">
        <v>450</v>
      </c>
      <c r="C257" s="114" t="e">
        <f>+#REF!</f>
        <v>#REF!</v>
      </c>
      <c r="D257" s="261" t="s">
        <v>450</v>
      </c>
      <c r="E257" s="114">
        <v>48842463</v>
      </c>
      <c r="F257" s="330"/>
      <c r="G257" s="74"/>
      <c r="H257" s="74"/>
      <c r="I257" s="74"/>
    </row>
    <row r="258" spans="1:9" x14ac:dyDescent="0.25">
      <c r="A258" s="74" t="s">
        <v>624</v>
      </c>
      <c r="B258" s="453"/>
      <c r="C258" s="94" t="e">
        <f>+#REF!</f>
        <v>#REF!</v>
      </c>
      <c r="D258" s="262"/>
      <c r="E258" s="94">
        <v>110968360</v>
      </c>
      <c r="F258" s="330"/>
    </row>
    <row r="259" spans="1:9" x14ac:dyDescent="0.25">
      <c r="A259" s="115" t="s">
        <v>628</v>
      </c>
      <c r="B259" s="460"/>
      <c r="C259" s="94" t="e">
        <f>+#REF!</f>
        <v>#REF!</v>
      </c>
      <c r="D259" s="432"/>
      <c r="E259" s="94">
        <v>16600339</v>
      </c>
      <c r="F259" s="429"/>
      <c r="G259" s="222"/>
      <c r="H259" s="74"/>
      <c r="I259" s="74"/>
    </row>
    <row r="260" spans="1:9" ht="16.5" thickBot="1" x14ac:dyDescent="0.3">
      <c r="A260" s="95" t="s">
        <v>627</v>
      </c>
      <c r="B260" s="454" t="s">
        <v>450</v>
      </c>
      <c r="C260" s="96" t="e">
        <f>+C257+C258-C259</f>
        <v>#REF!</v>
      </c>
      <c r="D260" s="263" t="s">
        <v>450</v>
      </c>
      <c r="E260" s="96">
        <f>+E257+E258-E259</f>
        <v>143210484</v>
      </c>
      <c r="F260" s="332"/>
      <c r="G260" s="223"/>
      <c r="H260" s="74"/>
      <c r="I260" s="74"/>
    </row>
    <row r="261" spans="1:9" ht="16.5" thickTop="1" x14ac:dyDescent="0.25">
      <c r="C261" s="83" t="e">
        <f>+#REF!+#REF!-#REF!</f>
        <v>#REF!</v>
      </c>
      <c r="G261" s="223"/>
      <c r="H261" s="74"/>
      <c r="I261" s="74"/>
    </row>
    <row r="262" spans="1:9" x14ac:dyDescent="0.25">
      <c r="C262" s="83" t="e">
        <f>+C257-C15</f>
        <v>#REF!</v>
      </c>
      <c r="G262" s="223"/>
      <c r="H262" s="74"/>
      <c r="I262" s="74"/>
    </row>
    <row r="263" spans="1:9" x14ac:dyDescent="0.25">
      <c r="E263" s="97"/>
      <c r="F263" s="262"/>
      <c r="G263" s="224"/>
      <c r="H263" s="94"/>
      <c r="I263" s="94"/>
    </row>
    <row r="264" spans="1:9" x14ac:dyDescent="0.25">
      <c r="C264" s="254">
        <v>2018</v>
      </c>
      <c r="E264" s="255">
        <v>2017</v>
      </c>
      <c r="F264" s="262"/>
    </row>
    <row r="265" spans="1:9" x14ac:dyDescent="0.25">
      <c r="A265" s="256" t="s">
        <v>632</v>
      </c>
      <c r="B265" s="491" t="s">
        <v>450</v>
      </c>
      <c r="C265" s="258" t="e">
        <f>+#REF!</f>
        <v>#REF!</v>
      </c>
      <c r="D265" s="282" t="s">
        <v>450</v>
      </c>
      <c r="E265" s="259" t="e">
        <f>+#REF!</f>
        <v>#REF!</v>
      </c>
      <c r="F265" s="274"/>
    </row>
    <row r="266" spans="1:9" ht="16.5" thickBot="1" x14ac:dyDescent="0.3">
      <c r="A266" s="239" t="s">
        <v>485</v>
      </c>
      <c r="B266" s="463" t="s">
        <v>450</v>
      </c>
      <c r="C266" s="91" t="e">
        <f>SUM(C265)</f>
        <v>#REF!</v>
      </c>
      <c r="D266" s="271" t="s">
        <v>450</v>
      </c>
      <c r="E266" s="91" t="e">
        <f>SUM(E265)</f>
        <v>#REF!</v>
      </c>
      <c r="F266" s="294"/>
    </row>
    <row r="267" spans="1:9" ht="16.5" thickTop="1" x14ac:dyDescent="0.25">
      <c r="C267" s="97" t="e">
        <f>+C266-#REF!</f>
        <v>#REF!</v>
      </c>
      <c r="E267" s="97" t="e">
        <f>+E266-#REF!</f>
        <v>#REF!</v>
      </c>
      <c r="F267" s="262"/>
    </row>
    <row r="269" spans="1:9" x14ac:dyDescent="0.25">
      <c r="C269" s="254">
        <v>2018</v>
      </c>
      <c r="E269" s="255">
        <v>2017</v>
      </c>
    </row>
    <row r="270" spans="1:9" x14ac:dyDescent="0.25">
      <c r="A270" s="113" t="s">
        <v>799</v>
      </c>
      <c r="B270" s="452"/>
      <c r="C270" s="433">
        <v>53231402</v>
      </c>
      <c r="D270" s="261"/>
      <c r="E270" s="433">
        <v>27921923</v>
      </c>
    </row>
    <row r="271" spans="1:9" x14ac:dyDescent="0.25">
      <c r="A271" s="74" t="s">
        <v>798</v>
      </c>
      <c r="B271" s="453"/>
      <c r="C271" s="71">
        <v>3397112</v>
      </c>
      <c r="D271" s="262"/>
      <c r="E271" s="71">
        <v>1566357</v>
      </c>
    </row>
    <row r="272" spans="1:9" x14ac:dyDescent="0.25">
      <c r="A272" s="74" t="s">
        <v>781</v>
      </c>
      <c r="B272" s="453"/>
      <c r="C272" s="71">
        <f>2978730+216325+2296</f>
        <v>3197351</v>
      </c>
      <c r="D272" s="262"/>
      <c r="E272" s="71">
        <f>4370223+178392+12848</f>
        <v>4561463</v>
      </c>
      <c r="G272" s="74"/>
      <c r="H272" s="199"/>
      <c r="I272" s="199"/>
    </row>
    <row r="273" spans="1:9" x14ac:dyDescent="0.25">
      <c r="A273" s="74" t="s">
        <v>794</v>
      </c>
      <c r="B273" s="453"/>
      <c r="C273" s="71">
        <v>1577151</v>
      </c>
      <c r="D273" s="262"/>
      <c r="E273" s="71">
        <v>1576494</v>
      </c>
    </row>
    <row r="274" spans="1:9" x14ac:dyDescent="0.25">
      <c r="A274" s="74" t="s">
        <v>793</v>
      </c>
      <c r="B274" s="453"/>
      <c r="C274" s="71">
        <v>1212989</v>
      </c>
      <c r="D274" s="262"/>
      <c r="E274" s="71">
        <v>1860225</v>
      </c>
    </row>
    <row r="275" spans="1:9" x14ac:dyDescent="0.25">
      <c r="A275" s="74" t="s">
        <v>788</v>
      </c>
      <c r="B275" s="453"/>
      <c r="C275" s="71">
        <v>780342</v>
      </c>
      <c r="D275" s="262"/>
      <c r="E275" s="71">
        <v>0</v>
      </c>
    </row>
    <row r="276" spans="1:9" x14ac:dyDescent="0.25">
      <c r="A276" s="74" t="s">
        <v>789</v>
      </c>
      <c r="B276" s="453"/>
      <c r="C276" s="71">
        <v>709780</v>
      </c>
      <c r="D276" s="262"/>
      <c r="E276" s="71">
        <v>0</v>
      </c>
    </row>
    <row r="277" spans="1:9" x14ac:dyDescent="0.25">
      <c r="A277" s="74" t="s">
        <v>783</v>
      </c>
      <c r="B277" s="453"/>
      <c r="C277" s="71">
        <v>560665</v>
      </c>
      <c r="D277" s="262"/>
      <c r="E277" s="71">
        <v>712621</v>
      </c>
      <c r="G277" s="74"/>
      <c r="H277" s="199"/>
      <c r="I277" s="199"/>
    </row>
    <row r="278" spans="1:9" x14ac:dyDescent="0.25">
      <c r="A278" s="74" t="s">
        <v>782</v>
      </c>
      <c r="B278" s="453"/>
      <c r="C278" s="71">
        <v>461827</v>
      </c>
      <c r="D278" s="262"/>
      <c r="E278" s="71">
        <v>298883</v>
      </c>
      <c r="G278" s="74"/>
      <c r="H278" s="199"/>
      <c r="I278" s="199"/>
    </row>
    <row r="279" spans="1:9" x14ac:dyDescent="0.25">
      <c r="A279" s="74" t="s">
        <v>795</v>
      </c>
      <c r="B279" s="453"/>
      <c r="C279" s="71">
        <v>247703</v>
      </c>
      <c r="D279" s="262"/>
      <c r="E279" s="71">
        <v>247600</v>
      </c>
    </row>
    <row r="280" spans="1:9" x14ac:dyDescent="0.25">
      <c r="A280" s="74" t="s">
        <v>785</v>
      </c>
      <c r="B280" s="453"/>
      <c r="C280" s="71">
        <v>191219</v>
      </c>
      <c r="D280" s="262"/>
      <c r="E280" s="71">
        <v>346226</v>
      </c>
    </row>
    <row r="281" spans="1:9" x14ac:dyDescent="0.25">
      <c r="A281" s="74" t="s">
        <v>790</v>
      </c>
      <c r="B281" s="453"/>
      <c r="C281" s="71">
        <v>108135</v>
      </c>
      <c r="D281" s="262"/>
      <c r="E281" s="71">
        <v>0</v>
      </c>
    </row>
    <row r="282" spans="1:9" x14ac:dyDescent="0.25">
      <c r="A282" s="74" t="s">
        <v>792</v>
      </c>
      <c r="B282" s="453"/>
      <c r="C282" s="71">
        <v>76869</v>
      </c>
      <c r="D282" s="262"/>
      <c r="E282" s="71">
        <v>43637</v>
      </c>
    </row>
    <row r="283" spans="1:9" x14ac:dyDescent="0.25">
      <c r="A283" s="74" t="s">
        <v>784</v>
      </c>
      <c r="B283" s="453"/>
      <c r="C283" s="71">
        <v>63300</v>
      </c>
      <c r="D283" s="262"/>
      <c r="E283" s="71">
        <v>173100</v>
      </c>
      <c r="G283" s="74"/>
      <c r="H283" s="200"/>
      <c r="I283" s="200"/>
    </row>
    <row r="284" spans="1:9" x14ac:dyDescent="0.25">
      <c r="A284" s="74" t="s">
        <v>787</v>
      </c>
      <c r="B284" s="453"/>
      <c r="C284" s="71">
        <v>35980</v>
      </c>
      <c r="D284" s="262"/>
      <c r="E284" s="71">
        <v>0</v>
      </c>
    </row>
    <row r="285" spans="1:9" x14ac:dyDescent="0.25">
      <c r="A285" s="74" t="s">
        <v>797</v>
      </c>
      <c r="B285" s="453"/>
      <c r="C285" s="71">
        <v>34077</v>
      </c>
      <c r="D285" s="262"/>
      <c r="E285" s="71">
        <v>0</v>
      </c>
    </row>
    <row r="286" spans="1:9" x14ac:dyDescent="0.25">
      <c r="A286" s="74" t="s">
        <v>786</v>
      </c>
      <c r="B286" s="453"/>
      <c r="C286" s="71">
        <v>28074</v>
      </c>
      <c r="D286" s="262"/>
      <c r="E286" s="71">
        <v>61069</v>
      </c>
    </row>
    <row r="287" spans="1:9" x14ac:dyDescent="0.25">
      <c r="A287" s="74" t="s">
        <v>796</v>
      </c>
      <c r="B287" s="453"/>
      <c r="C287" s="71">
        <v>9132</v>
      </c>
      <c r="D287" s="262"/>
      <c r="E287" s="71">
        <v>9128</v>
      </c>
    </row>
    <row r="288" spans="1:9" x14ac:dyDescent="0.25">
      <c r="A288" s="74" t="s">
        <v>791</v>
      </c>
      <c r="B288" s="453"/>
      <c r="C288" s="71">
        <v>0</v>
      </c>
      <c r="D288" s="262"/>
      <c r="E288" s="71">
        <v>-1350</v>
      </c>
    </row>
    <row r="289" spans="1:9" x14ac:dyDescent="0.25">
      <c r="A289" s="74" t="s">
        <v>670</v>
      </c>
      <c r="B289" s="453"/>
      <c r="C289" s="71">
        <f>22448110+302200</f>
        <v>22750310</v>
      </c>
      <c r="D289" s="262"/>
      <c r="E289" s="71">
        <f>18351171+141900</f>
        <v>18493071</v>
      </c>
      <c r="G289" s="74"/>
      <c r="H289" s="199"/>
      <c r="I289" s="199"/>
    </row>
    <row r="290" spans="1:9" ht="16.5" thickBot="1" x14ac:dyDescent="0.3">
      <c r="A290" s="95"/>
      <c r="B290" s="454"/>
      <c r="C290" s="434">
        <f>SUM(C270:C289)</f>
        <v>88673418</v>
      </c>
      <c r="D290" s="263"/>
      <c r="E290" s="434">
        <f>SUM(E270:E289)</f>
        <v>57870447</v>
      </c>
    </row>
    <row r="291" spans="1:9" ht="16.5" thickTop="1" x14ac:dyDescent="0.25">
      <c r="C291" s="97" t="e">
        <f>+C290-C265</f>
        <v>#REF!</v>
      </c>
      <c r="E291" s="97" t="e">
        <f>+E290-E265</f>
        <v>#REF!</v>
      </c>
    </row>
    <row r="292" spans="1:9" x14ac:dyDescent="0.25">
      <c r="C292" s="89"/>
    </row>
    <row r="294" spans="1:9" x14ac:dyDescent="0.25">
      <c r="A294" s="73" t="s">
        <v>583</v>
      </c>
      <c r="B294" s="481"/>
    </row>
    <row r="295" spans="1:9" x14ac:dyDescent="0.25">
      <c r="A295" s="299"/>
      <c r="B295" s="492"/>
      <c r="C295" s="300">
        <v>2018</v>
      </c>
      <c r="D295" s="299"/>
      <c r="E295" s="300">
        <v>2017</v>
      </c>
      <c r="F295" s="299"/>
    </row>
    <row r="296" spans="1:9" ht="32.25" customHeight="1" x14ac:dyDescent="0.25">
      <c r="A296" s="303" t="s">
        <v>800</v>
      </c>
      <c r="B296" s="493" t="s">
        <v>450</v>
      </c>
      <c r="C296" s="433">
        <v>4351319</v>
      </c>
      <c r="D296" s="305" t="s">
        <v>450</v>
      </c>
      <c r="E296" s="304">
        <v>26943782</v>
      </c>
      <c r="F296" s="314"/>
    </row>
    <row r="297" spans="1:9" x14ac:dyDescent="0.25">
      <c r="A297" s="308" t="s">
        <v>801</v>
      </c>
      <c r="B297" s="494"/>
      <c r="C297" s="71">
        <v>1543769</v>
      </c>
      <c r="D297" s="309"/>
      <c r="E297" s="307">
        <v>2124</v>
      </c>
      <c r="F297" s="309"/>
    </row>
    <row r="298" spans="1:9" x14ac:dyDescent="0.25">
      <c r="A298" s="306" t="s">
        <v>693</v>
      </c>
      <c r="B298" s="495"/>
      <c r="C298" s="446">
        <v>1349403</v>
      </c>
      <c r="D298" s="314"/>
      <c r="E298" s="339">
        <v>-7471641</v>
      </c>
      <c r="F298" s="314"/>
    </row>
    <row r="299" spans="1:9" x14ac:dyDescent="0.25">
      <c r="A299" s="306" t="s">
        <v>695</v>
      </c>
      <c r="B299" s="494"/>
      <c r="C299" s="71">
        <v>569486</v>
      </c>
      <c r="D299" s="314"/>
      <c r="E299" s="307">
        <v>4502235</v>
      </c>
      <c r="F299" s="314"/>
    </row>
    <row r="300" spans="1:9" x14ac:dyDescent="0.25">
      <c r="A300" s="306" t="s">
        <v>696</v>
      </c>
      <c r="B300" s="494"/>
      <c r="C300" s="307">
        <v>503789</v>
      </c>
      <c r="D300" s="314"/>
      <c r="E300" s="307">
        <v>2612694</v>
      </c>
      <c r="F300" s="314"/>
    </row>
    <row r="301" spans="1:9" x14ac:dyDescent="0.25">
      <c r="A301" s="306" t="s">
        <v>802</v>
      </c>
      <c r="B301" s="494"/>
      <c r="C301" s="307">
        <v>76182</v>
      </c>
      <c r="D301" s="314"/>
      <c r="E301" s="71">
        <v>0</v>
      </c>
      <c r="F301" s="314"/>
    </row>
    <row r="302" spans="1:9" ht="31.5" x14ac:dyDescent="0.25">
      <c r="A302" s="306" t="s">
        <v>644</v>
      </c>
      <c r="B302" s="453"/>
      <c r="C302" s="71">
        <v>0</v>
      </c>
      <c r="D302" s="262"/>
      <c r="E302" s="307">
        <v>31069987</v>
      </c>
      <c r="F302" s="435"/>
    </row>
    <row r="303" spans="1:9" ht="31.5" x14ac:dyDescent="0.25">
      <c r="A303" s="306" t="s">
        <v>694</v>
      </c>
      <c r="B303" s="494"/>
      <c r="C303" s="71">
        <v>0</v>
      </c>
      <c r="D303" s="314"/>
      <c r="E303" s="307">
        <v>6842344</v>
      </c>
      <c r="F303" s="314"/>
    </row>
    <row r="304" spans="1:9" x14ac:dyDescent="0.25">
      <c r="A304" s="308" t="s">
        <v>697</v>
      </c>
      <c r="B304" s="494"/>
      <c r="C304" s="71">
        <v>0</v>
      </c>
      <c r="D304" s="309"/>
      <c r="E304" s="307">
        <v>72</v>
      </c>
      <c r="F304" s="309"/>
    </row>
    <row r="305" spans="1:7" x14ac:dyDescent="0.25">
      <c r="A305" s="308" t="s">
        <v>698</v>
      </c>
      <c r="B305" s="494"/>
      <c r="C305" s="71">
        <v>0</v>
      </c>
      <c r="D305" s="309"/>
      <c r="E305" s="339">
        <v>-56</v>
      </c>
      <c r="F305" s="309"/>
    </row>
    <row r="306" spans="1:7" x14ac:dyDescent="0.25">
      <c r="A306" s="310" t="s">
        <v>699</v>
      </c>
      <c r="B306" s="496"/>
      <c r="C306" s="126">
        <v>0</v>
      </c>
      <c r="D306" s="312"/>
      <c r="E306" s="311">
        <v>313754</v>
      </c>
      <c r="F306" s="309"/>
    </row>
    <row r="307" spans="1:7" ht="16.5" thickBot="1" x14ac:dyDescent="0.3">
      <c r="A307" s="301" t="s">
        <v>700</v>
      </c>
      <c r="B307" s="497" t="s">
        <v>450</v>
      </c>
      <c r="C307" s="302">
        <f>SUM(C296:C306)</f>
        <v>8393948</v>
      </c>
      <c r="D307" s="271" t="s">
        <v>450</v>
      </c>
      <c r="E307" s="302">
        <f>SUM(E296:E306)</f>
        <v>64815295</v>
      </c>
      <c r="F307" s="294"/>
    </row>
    <row r="308" spans="1:7" ht="16.5" thickTop="1" x14ac:dyDescent="0.25">
      <c r="C308" s="184" t="e">
        <f>+C307-#REF!</f>
        <v>#REF!</v>
      </c>
      <c r="E308" s="184" t="e">
        <f>+E307-#REF!</f>
        <v>#REF!</v>
      </c>
    </row>
    <row r="310" spans="1:7" x14ac:dyDescent="0.25">
      <c r="A310" s="73" t="s">
        <v>432</v>
      </c>
      <c r="B310" s="481"/>
    </row>
    <row r="311" spans="1:7" x14ac:dyDescent="0.25">
      <c r="A311" s="77"/>
      <c r="B311" s="480"/>
      <c r="C311" s="78">
        <v>2018</v>
      </c>
      <c r="D311" s="289"/>
      <c r="E311" s="78">
        <v>2017</v>
      </c>
      <c r="F311" s="289"/>
      <c r="G311" s="78" t="s">
        <v>736</v>
      </c>
    </row>
    <row r="312" spans="1:7" x14ac:dyDescent="0.25">
      <c r="A312" s="318" t="s">
        <v>517</v>
      </c>
      <c r="B312" s="498"/>
      <c r="C312" s="190"/>
      <c r="D312" s="272"/>
      <c r="E312" s="190"/>
      <c r="F312" s="272"/>
    </row>
    <row r="313" spans="1:7" x14ac:dyDescent="0.25">
      <c r="A313" s="226" t="s">
        <v>206</v>
      </c>
      <c r="B313" s="466"/>
      <c r="C313" s="65" t="e">
        <f>+#REF!</f>
        <v>#REF!</v>
      </c>
      <c r="D313" s="273"/>
      <c r="E313" s="227">
        <v>1315127</v>
      </c>
      <c r="F313" s="273"/>
      <c r="G313" s="228" t="e">
        <f t="shared" ref="G313:G335" si="6">+C313-E313</f>
        <v>#REF!</v>
      </c>
    </row>
    <row r="314" spans="1:7" x14ac:dyDescent="0.25">
      <c r="A314" s="226" t="s">
        <v>208</v>
      </c>
      <c r="B314" s="466"/>
      <c r="C314" s="227" t="e">
        <f>+#REF!</f>
        <v>#REF!</v>
      </c>
      <c r="D314" s="273"/>
      <c r="E314" s="227">
        <v>17662327</v>
      </c>
      <c r="F314" s="273"/>
      <c r="G314" s="228" t="e">
        <f t="shared" si="6"/>
        <v>#REF!</v>
      </c>
    </row>
    <row r="315" spans="1:7" x14ac:dyDescent="0.25">
      <c r="A315" s="318" t="s">
        <v>518</v>
      </c>
      <c r="B315" s="498"/>
      <c r="C315" s="146"/>
      <c r="D315" s="283"/>
      <c r="E315" s="146"/>
      <c r="F315" s="283"/>
      <c r="G315" s="228"/>
    </row>
    <row r="316" spans="1:7" x14ac:dyDescent="0.25">
      <c r="A316" s="226" t="s">
        <v>212</v>
      </c>
      <c r="B316" s="466"/>
      <c r="C316" s="65" t="e">
        <f>+#REF!</f>
        <v>#REF!</v>
      </c>
      <c r="D316" s="273"/>
      <c r="E316" s="227">
        <v>163893455</v>
      </c>
      <c r="F316" s="273"/>
      <c r="G316" s="320" t="e">
        <f t="shared" si="6"/>
        <v>#REF!</v>
      </c>
    </row>
    <row r="317" spans="1:7" x14ac:dyDescent="0.25">
      <c r="A317" s="226" t="s">
        <v>214</v>
      </c>
      <c r="B317" s="466"/>
      <c r="C317" s="228" t="e">
        <f>+#REF!</f>
        <v>#REF!</v>
      </c>
      <c r="D317" s="297"/>
      <c r="E317" s="228">
        <v>-25850134</v>
      </c>
      <c r="F317" s="297"/>
      <c r="G317" s="228" t="e">
        <f t="shared" si="6"/>
        <v>#REF!</v>
      </c>
    </row>
    <row r="318" spans="1:7" x14ac:dyDescent="0.25">
      <c r="A318" s="226" t="s">
        <v>519</v>
      </c>
      <c r="B318" s="466"/>
      <c r="C318" s="65" t="e">
        <f>+#REF!</f>
        <v>#REF!</v>
      </c>
      <c r="D318" s="273"/>
      <c r="E318" s="227">
        <v>120697415</v>
      </c>
      <c r="F318" s="273"/>
      <c r="G318" s="228" t="e">
        <f t="shared" si="6"/>
        <v>#REF!</v>
      </c>
    </row>
    <row r="319" spans="1:7" x14ac:dyDescent="0.25">
      <c r="A319" s="226" t="s">
        <v>218</v>
      </c>
      <c r="B319" s="466"/>
      <c r="C319" s="228" t="e">
        <f>+#REF!</f>
        <v>#REF!</v>
      </c>
      <c r="D319" s="297"/>
      <c r="E319" s="228">
        <v>-3774540</v>
      </c>
      <c r="F319" s="297"/>
      <c r="G319" s="228" t="e">
        <f t="shared" si="6"/>
        <v>#REF!</v>
      </c>
    </row>
    <row r="320" spans="1:7" x14ac:dyDescent="0.25">
      <c r="A320" s="226" t="s">
        <v>210</v>
      </c>
      <c r="B320" s="466"/>
      <c r="C320" s="65" t="e">
        <f>+#REF!</f>
        <v>#REF!</v>
      </c>
      <c r="D320" s="273"/>
      <c r="E320" s="227">
        <v>34161048</v>
      </c>
      <c r="F320" s="273"/>
      <c r="G320" s="320" t="e">
        <f t="shared" si="6"/>
        <v>#REF!</v>
      </c>
    </row>
    <row r="321" spans="1:7" x14ac:dyDescent="0.25">
      <c r="A321" s="318" t="s">
        <v>520</v>
      </c>
      <c r="B321" s="498"/>
      <c r="C321" s="146"/>
      <c r="D321" s="283"/>
      <c r="E321" s="146"/>
      <c r="F321" s="283"/>
      <c r="G321" s="228">
        <f t="shared" si="6"/>
        <v>0</v>
      </c>
    </row>
    <row r="322" spans="1:7" x14ac:dyDescent="0.25">
      <c r="A322" s="226" t="s">
        <v>222</v>
      </c>
      <c r="B322" s="466"/>
      <c r="C322" s="65" t="e">
        <f>+#REF!</f>
        <v>#REF!</v>
      </c>
      <c r="D322" s="273"/>
      <c r="E322" s="227">
        <v>705182878</v>
      </c>
      <c r="F322" s="273"/>
      <c r="G322" s="320" t="e">
        <f t="shared" si="6"/>
        <v>#REF!</v>
      </c>
    </row>
    <row r="323" spans="1:7" hidden="1" x14ac:dyDescent="0.25">
      <c r="A323" s="226" t="s">
        <v>479</v>
      </c>
      <c r="B323" s="466"/>
      <c r="C323" s="65" t="e">
        <f>+#REF!</f>
        <v>#REF!</v>
      </c>
      <c r="D323" s="273"/>
      <c r="E323" s="65" t="s">
        <v>468</v>
      </c>
      <c r="F323" s="273"/>
      <c r="G323" s="228" t="e">
        <f t="shared" si="6"/>
        <v>#REF!</v>
      </c>
    </row>
    <row r="324" spans="1:7" x14ac:dyDescent="0.25">
      <c r="A324" s="226" t="s">
        <v>220</v>
      </c>
      <c r="B324" s="466"/>
      <c r="C324" s="65" t="e">
        <f>+#REF!</f>
        <v>#REF!</v>
      </c>
      <c r="D324" s="273"/>
      <c r="E324" s="227">
        <v>6142564</v>
      </c>
      <c r="F324" s="273"/>
      <c r="G324" s="228" t="e">
        <f t="shared" si="6"/>
        <v>#REF!</v>
      </c>
    </row>
    <row r="325" spans="1:7" hidden="1" x14ac:dyDescent="0.25">
      <c r="A325" s="226" t="s">
        <v>476</v>
      </c>
      <c r="B325" s="466"/>
      <c r="C325" s="65" t="e">
        <f>+#REF!</f>
        <v>#REF!</v>
      </c>
      <c r="D325" s="273"/>
      <c r="E325" s="65" t="s">
        <v>468</v>
      </c>
      <c r="F325" s="273"/>
      <c r="G325" s="228" t="e">
        <f t="shared" si="6"/>
        <v>#REF!</v>
      </c>
    </row>
    <row r="326" spans="1:7" x14ac:dyDescent="0.25">
      <c r="A326" s="229" t="s">
        <v>224</v>
      </c>
      <c r="B326" s="470"/>
      <c r="C326" s="65" t="e">
        <f>+#REF!</f>
        <v>#REF!</v>
      </c>
      <c r="D326" s="273"/>
      <c r="E326" s="190">
        <v>500</v>
      </c>
      <c r="F326" s="273"/>
      <c r="G326" s="228" t="e">
        <f t="shared" si="6"/>
        <v>#REF!</v>
      </c>
    </row>
    <row r="327" spans="1:7" x14ac:dyDescent="0.25">
      <c r="A327" s="318" t="s">
        <v>521</v>
      </c>
      <c r="B327" s="498"/>
      <c r="C327" s="190"/>
      <c r="D327" s="272"/>
      <c r="E327" s="190"/>
      <c r="F327" s="272"/>
      <c r="G327" s="228"/>
    </row>
    <row r="328" spans="1:7" x14ac:dyDescent="0.25">
      <c r="A328" s="226" t="s">
        <v>478</v>
      </c>
      <c r="B328" s="466"/>
      <c r="C328" s="65" t="e">
        <f>+#REF!</f>
        <v>#REF!</v>
      </c>
      <c r="D328" s="273"/>
      <c r="E328" s="65">
        <v>0</v>
      </c>
      <c r="F328" s="273"/>
      <c r="G328" s="228" t="e">
        <f t="shared" si="6"/>
        <v>#REF!</v>
      </c>
    </row>
    <row r="329" spans="1:7" x14ac:dyDescent="0.25">
      <c r="A329" s="226" t="s">
        <v>544</v>
      </c>
      <c r="B329" s="466"/>
      <c r="C329" s="65" t="e">
        <f>+#REF!</f>
        <v>#REF!</v>
      </c>
      <c r="D329" s="273"/>
      <c r="E329" s="65">
        <v>8016493</v>
      </c>
      <c r="F329" s="273"/>
      <c r="G329" s="228" t="e">
        <f t="shared" si="6"/>
        <v>#REF!</v>
      </c>
    </row>
    <row r="330" spans="1:7" x14ac:dyDescent="0.25">
      <c r="A330" s="226" t="s">
        <v>477</v>
      </c>
      <c r="B330" s="466"/>
      <c r="C330" s="65" t="e">
        <f>+#REF!</f>
        <v>#REF!</v>
      </c>
      <c r="D330" s="273"/>
      <c r="E330" s="65">
        <v>0</v>
      </c>
      <c r="F330" s="273"/>
      <c r="G330" s="228" t="e">
        <f t="shared" si="6"/>
        <v>#REF!</v>
      </c>
    </row>
    <row r="331" spans="1:7" x14ac:dyDescent="0.25">
      <c r="A331" s="226" t="s">
        <v>524</v>
      </c>
      <c r="B331" s="466"/>
      <c r="C331" s="65" t="e">
        <f>+#REF!</f>
        <v>#REF!</v>
      </c>
      <c r="D331" s="298"/>
      <c r="E331" s="315">
        <v>10136870</v>
      </c>
      <c r="F331" s="298"/>
      <c r="G331" s="228" t="e">
        <f t="shared" si="6"/>
        <v>#REF!</v>
      </c>
    </row>
    <row r="332" spans="1:7" x14ac:dyDescent="0.25">
      <c r="A332" s="318" t="s">
        <v>522</v>
      </c>
      <c r="B332" s="498"/>
      <c r="C332" s="146"/>
      <c r="D332" s="283"/>
      <c r="E332" s="227"/>
      <c r="F332" s="283"/>
      <c r="G332" s="228"/>
    </row>
    <row r="333" spans="1:7" x14ac:dyDescent="0.25">
      <c r="A333" s="229" t="s">
        <v>228</v>
      </c>
      <c r="B333" s="470"/>
      <c r="C333" s="65" t="e">
        <f>+#REF!</f>
        <v>#REF!</v>
      </c>
      <c r="D333" s="273"/>
      <c r="E333" s="65">
        <v>368487165</v>
      </c>
      <c r="F333" s="273"/>
      <c r="G333" s="228" t="e">
        <f t="shared" si="6"/>
        <v>#REF!</v>
      </c>
    </row>
    <row r="334" spans="1:7" x14ac:dyDescent="0.25">
      <c r="A334" s="229" t="s">
        <v>230</v>
      </c>
      <c r="B334" s="470"/>
      <c r="C334" s="65" t="e">
        <f>+#REF!</f>
        <v>#REF!</v>
      </c>
      <c r="D334" s="298"/>
      <c r="E334" s="65">
        <v>0</v>
      </c>
      <c r="F334" s="298"/>
      <c r="G334" s="228" t="e">
        <f t="shared" si="6"/>
        <v>#REF!</v>
      </c>
    </row>
    <row r="335" spans="1:7" x14ac:dyDescent="0.25">
      <c r="A335" s="229" t="s">
        <v>458</v>
      </c>
      <c r="B335" s="470"/>
      <c r="C335" s="65" t="e">
        <f>+#REF!</f>
        <v>#REF!</v>
      </c>
      <c r="D335" s="273"/>
      <c r="E335" s="65">
        <v>156282</v>
      </c>
      <c r="F335" s="286"/>
      <c r="G335" s="228" t="e">
        <f t="shared" si="6"/>
        <v>#REF!</v>
      </c>
    </row>
    <row r="336" spans="1:7" ht="16.5" thickBot="1" x14ac:dyDescent="0.3">
      <c r="A336" s="193" t="s">
        <v>523</v>
      </c>
      <c r="B336" s="467"/>
      <c r="C336" s="230" t="e">
        <f>SUM(C313:C335)</f>
        <v>#REF!</v>
      </c>
      <c r="D336" s="287"/>
      <c r="E336" s="230">
        <f>SUM(E313:E335)</f>
        <v>1406227450</v>
      </c>
      <c r="F336" s="436"/>
    </row>
    <row r="337" spans="1:7" ht="16.5" thickTop="1" x14ac:dyDescent="0.25">
      <c r="C337" s="97" t="e">
        <f>+C336-#REF!</f>
        <v>#REF!</v>
      </c>
      <c r="E337" s="97" t="e">
        <f>+E336-#REF!</f>
        <v>#REF!</v>
      </c>
      <c r="F337" s="262"/>
    </row>
    <row r="338" spans="1:7" x14ac:dyDescent="0.25">
      <c r="F338" s="262"/>
    </row>
    <row r="339" spans="1:7" x14ac:dyDescent="0.25">
      <c r="A339" s="73" t="s">
        <v>467</v>
      </c>
      <c r="B339" s="481"/>
      <c r="F339" s="262"/>
    </row>
    <row r="340" spans="1:7" x14ac:dyDescent="0.25">
      <c r="A340" s="77"/>
      <c r="B340" s="480"/>
      <c r="C340" s="78">
        <v>2018</v>
      </c>
      <c r="D340" s="289"/>
      <c r="E340" s="78">
        <v>2017</v>
      </c>
      <c r="F340" s="296"/>
    </row>
    <row r="341" spans="1:7" x14ac:dyDescent="0.25">
      <c r="A341" s="318" t="s">
        <v>525</v>
      </c>
      <c r="B341" s="498"/>
      <c r="C341" s="225"/>
      <c r="D341" s="284"/>
      <c r="E341" s="190"/>
      <c r="F341" s="437"/>
      <c r="G341" s="190"/>
    </row>
    <row r="342" spans="1:7" x14ac:dyDescent="0.25">
      <c r="A342" s="198" t="s">
        <v>528</v>
      </c>
      <c r="B342" s="470"/>
      <c r="C342" s="227" t="e">
        <f>+#REF!</f>
        <v>#REF!</v>
      </c>
      <c r="D342" s="273"/>
      <c r="E342" s="227">
        <v>45826023</v>
      </c>
      <c r="F342" s="286"/>
      <c r="G342" s="320" t="e">
        <f t="shared" ref="G342:G362" si="7">+C342-E342</f>
        <v>#REF!</v>
      </c>
    </row>
    <row r="343" spans="1:7" x14ac:dyDescent="0.25">
      <c r="A343" s="229" t="s">
        <v>529</v>
      </c>
      <c r="B343" s="470"/>
      <c r="C343" s="227" t="e">
        <f>+#REF!</f>
        <v>#REF!</v>
      </c>
      <c r="D343" s="273"/>
      <c r="E343" s="227">
        <v>210772</v>
      </c>
      <c r="F343" s="286"/>
      <c r="G343" s="228" t="e">
        <f t="shared" si="7"/>
        <v>#REF!</v>
      </c>
    </row>
    <row r="344" spans="1:7" x14ac:dyDescent="0.25">
      <c r="A344" s="229" t="s">
        <v>541</v>
      </c>
      <c r="B344" s="470"/>
      <c r="C344" s="227" t="e">
        <f>+#REF!</f>
        <v>#REF!</v>
      </c>
      <c r="D344" s="273"/>
      <c r="E344" s="227">
        <v>5665920</v>
      </c>
      <c r="F344" s="286"/>
      <c r="G344" s="228" t="e">
        <f t="shared" si="7"/>
        <v>#REF!</v>
      </c>
    </row>
    <row r="345" spans="1:7" x14ac:dyDescent="0.25">
      <c r="A345" s="229" t="s">
        <v>530</v>
      </c>
      <c r="B345" s="470"/>
      <c r="C345" s="227" t="e">
        <f>+#REF!</f>
        <v>#REF!</v>
      </c>
      <c r="D345" s="273"/>
      <c r="E345" s="227">
        <v>380693</v>
      </c>
      <c r="F345" s="286"/>
      <c r="G345" s="228" t="e">
        <f t="shared" si="7"/>
        <v>#REF!</v>
      </c>
    </row>
    <row r="346" spans="1:7" x14ac:dyDescent="0.25">
      <c r="A346" s="229" t="s">
        <v>531</v>
      </c>
      <c r="B346" s="470"/>
      <c r="C346" s="227" t="e">
        <f>+#REF!</f>
        <v>#REF!</v>
      </c>
      <c r="D346" s="273"/>
      <c r="E346" s="227">
        <v>9829408</v>
      </c>
      <c r="F346" s="286"/>
      <c r="G346" s="228" t="e">
        <f t="shared" si="7"/>
        <v>#REF!</v>
      </c>
    </row>
    <row r="347" spans="1:7" x14ac:dyDescent="0.25">
      <c r="A347" s="229" t="s">
        <v>532</v>
      </c>
      <c r="B347" s="470"/>
      <c r="C347" s="227" t="e">
        <f>+#REF!</f>
        <v>#REF!</v>
      </c>
      <c r="D347" s="273"/>
      <c r="E347" s="227">
        <v>2000</v>
      </c>
      <c r="F347" s="286"/>
      <c r="G347" s="228" t="e">
        <f t="shared" si="7"/>
        <v>#REF!</v>
      </c>
    </row>
    <row r="348" spans="1:7" x14ac:dyDescent="0.25">
      <c r="A348" s="229" t="s">
        <v>533</v>
      </c>
      <c r="B348" s="470"/>
      <c r="C348" s="227" t="e">
        <f>+#REF!</f>
        <v>#REF!</v>
      </c>
      <c r="D348" s="273"/>
      <c r="E348" s="227">
        <v>112080</v>
      </c>
      <c r="F348" s="286"/>
      <c r="G348" s="228" t="e">
        <f t="shared" si="7"/>
        <v>#REF!</v>
      </c>
    </row>
    <row r="349" spans="1:7" x14ac:dyDescent="0.25">
      <c r="A349" s="229" t="s">
        <v>542</v>
      </c>
      <c r="B349" s="470"/>
      <c r="C349" s="227" t="e">
        <f>+#REF!</f>
        <v>#REF!</v>
      </c>
      <c r="D349" s="273"/>
      <c r="E349" s="227">
        <v>1971995</v>
      </c>
      <c r="F349" s="286"/>
      <c r="G349" s="228" t="e">
        <f t="shared" si="7"/>
        <v>#REF!</v>
      </c>
    </row>
    <row r="350" spans="1:7" x14ac:dyDescent="0.25">
      <c r="A350" s="229" t="s">
        <v>534</v>
      </c>
      <c r="B350" s="470"/>
      <c r="C350" s="227" t="e">
        <f>+#REF!</f>
        <v>#REF!</v>
      </c>
      <c r="D350" s="273"/>
      <c r="E350" s="227">
        <v>5232778</v>
      </c>
      <c r="F350" s="286"/>
      <c r="G350" s="228" t="e">
        <f t="shared" si="7"/>
        <v>#REF!</v>
      </c>
    </row>
    <row r="351" spans="1:7" x14ac:dyDescent="0.25">
      <c r="A351" s="318" t="s">
        <v>526</v>
      </c>
      <c r="B351" s="498"/>
      <c r="C351" s="190"/>
      <c r="D351" s="272"/>
      <c r="E351" s="190"/>
      <c r="F351" s="288"/>
      <c r="G351" s="228"/>
    </row>
    <row r="352" spans="1:7" x14ac:dyDescent="0.25">
      <c r="A352" s="229" t="s">
        <v>459</v>
      </c>
      <c r="B352" s="470"/>
      <c r="C352" s="227" t="e">
        <f>+#REF!</f>
        <v>#REF!</v>
      </c>
      <c r="D352" s="273"/>
      <c r="E352" s="65">
        <v>919046</v>
      </c>
      <c r="F352" s="286"/>
      <c r="G352" s="228" t="e">
        <f t="shared" si="7"/>
        <v>#REF!</v>
      </c>
    </row>
    <row r="353" spans="1:7" x14ac:dyDescent="0.25">
      <c r="A353" s="229" t="s">
        <v>527</v>
      </c>
      <c r="B353" s="470"/>
      <c r="C353" s="227" t="e">
        <f>+#REF!</f>
        <v>#REF!</v>
      </c>
      <c r="D353" s="273"/>
      <c r="E353" s="227">
        <v>22325138</v>
      </c>
      <c r="F353" s="286"/>
      <c r="G353" s="228" t="e">
        <f t="shared" si="7"/>
        <v>#REF!</v>
      </c>
    </row>
    <row r="354" spans="1:7" hidden="1" x14ac:dyDescent="0.25">
      <c r="A354" s="229" t="s">
        <v>460</v>
      </c>
      <c r="B354" s="470"/>
      <c r="C354" s="65" t="e">
        <f>+#REF!</f>
        <v>#REF!</v>
      </c>
      <c r="D354" s="273"/>
      <c r="E354" s="65" t="s">
        <v>468</v>
      </c>
      <c r="F354" s="286"/>
      <c r="G354" s="228" t="e">
        <f t="shared" si="7"/>
        <v>#REF!</v>
      </c>
    </row>
    <row r="355" spans="1:7" x14ac:dyDescent="0.25">
      <c r="A355" s="229" t="s">
        <v>535</v>
      </c>
      <c r="B355" s="470"/>
      <c r="C355" s="227" t="e">
        <f>+#REF!</f>
        <v>#REF!</v>
      </c>
      <c r="D355" s="273"/>
      <c r="E355" s="227">
        <v>27523891</v>
      </c>
      <c r="F355" s="286"/>
      <c r="G355" s="228" t="e">
        <f t="shared" si="7"/>
        <v>#REF!</v>
      </c>
    </row>
    <row r="356" spans="1:7" x14ac:dyDescent="0.25">
      <c r="A356" s="229" t="s">
        <v>536</v>
      </c>
      <c r="B356" s="470"/>
      <c r="C356" s="227" t="e">
        <f>+#REF!</f>
        <v>#REF!</v>
      </c>
      <c r="D356" s="273"/>
      <c r="E356" s="227">
        <v>1348397</v>
      </c>
      <c r="F356" s="286"/>
      <c r="G356" s="228" t="e">
        <f t="shared" si="7"/>
        <v>#REF!</v>
      </c>
    </row>
    <row r="357" spans="1:7" x14ac:dyDescent="0.25">
      <c r="A357" s="229" t="s">
        <v>537</v>
      </c>
      <c r="B357" s="470"/>
      <c r="C357" s="227" t="e">
        <f>+#REF!</f>
        <v>#REF!</v>
      </c>
      <c r="D357" s="273"/>
      <c r="E357" s="227">
        <v>410400</v>
      </c>
      <c r="F357" s="286"/>
      <c r="G357" s="228" t="e">
        <f t="shared" si="7"/>
        <v>#REF!</v>
      </c>
    </row>
    <row r="358" spans="1:7" x14ac:dyDescent="0.25">
      <c r="A358" s="229" t="s">
        <v>538</v>
      </c>
      <c r="B358" s="470"/>
      <c r="C358" s="227" t="e">
        <f>+#REF!</f>
        <v>#REF!</v>
      </c>
      <c r="D358" s="273"/>
      <c r="E358" s="227">
        <v>8324572</v>
      </c>
      <c r="F358" s="286"/>
      <c r="G358" s="228" t="e">
        <f t="shared" si="7"/>
        <v>#REF!</v>
      </c>
    </row>
    <row r="359" spans="1:7" x14ac:dyDescent="0.25">
      <c r="A359" s="229" t="s">
        <v>539</v>
      </c>
      <c r="B359" s="470"/>
      <c r="C359" s="227" t="e">
        <f>+#REF!</f>
        <v>#REF!</v>
      </c>
      <c r="D359" s="273"/>
      <c r="E359" s="227">
        <v>46566238</v>
      </c>
      <c r="F359" s="286"/>
      <c r="G359" s="320" t="e">
        <f t="shared" si="7"/>
        <v>#REF!</v>
      </c>
    </row>
    <row r="360" spans="1:7" x14ac:dyDescent="0.25">
      <c r="A360" s="229" t="s">
        <v>540</v>
      </c>
      <c r="B360" s="470"/>
      <c r="C360" s="227" t="e">
        <f>+#REF!</f>
        <v>#REF!</v>
      </c>
      <c r="D360" s="273"/>
      <c r="E360" s="227">
        <v>9309471</v>
      </c>
      <c r="F360" s="286"/>
      <c r="G360" s="228" t="e">
        <f t="shared" si="7"/>
        <v>#REF!</v>
      </c>
    </row>
    <row r="361" spans="1:7" x14ac:dyDescent="0.25">
      <c r="A361" s="229" t="s">
        <v>543</v>
      </c>
      <c r="B361" s="470"/>
      <c r="C361" s="227" t="e">
        <f>+#REF!</f>
        <v>#REF!</v>
      </c>
      <c r="D361" s="273"/>
      <c r="E361" s="227">
        <v>9970428</v>
      </c>
      <c r="F361" s="286"/>
      <c r="G361" s="228" t="e">
        <f t="shared" si="7"/>
        <v>#REF!</v>
      </c>
    </row>
    <row r="362" spans="1:7" x14ac:dyDescent="0.25">
      <c r="A362" s="231" t="s">
        <v>267</v>
      </c>
      <c r="B362" s="499"/>
      <c r="C362" s="65" t="e">
        <f>+#REF!</f>
        <v>#REF!</v>
      </c>
      <c r="D362" s="273"/>
      <c r="E362" s="223">
        <v>2891666</v>
      </c>
      <c r="F362" s="286"/>
      <c r="G362" s="228" t="e">
        <f t="shared" si="7"/>
        <v>#REF!</v>
      </c>
    </row>
    <row r="363" spans="1:7" ht="16.5" thickBot="1" x14ac:dyDescent="0.3">
      <c r="A363" s="316"/>
      <c r="B363" s="500"/>
      <c r="C363" s="230" t="e">
        <f>SUM(C341:C362)</f>
        <v>#REF!</v>
      </c>
      <c r="D363" s="287"/>
      <c r="E363" s="230">
        <f>SUM(E341:E362)</f>
        <v>198820916</v>
      </c>
      <c r="F363" s="436"/>
    </row>
    <row r="364" spans="1:7" ht="16.5" thickTop="1" x14ac:dyDescent="0.25">
      <c r="C364" s="97" t="e">
        <f>+C363-#REF!</f>
        <v>#REF!</v>
      </c>
      <c r="E364" s="97" t="e">
        <f>+E363-#REF!</f>
        <v>#REF!</v>
      </c>
      <c r="F364" s="262"/>
    </row>
    <row r="365" spans="1:7" x14ac:dyDescent="0.25">
      <c r="E365" s="97"/>
      <c r="F365" s="262"/>
    </row>
    <row r="366" spans="1:7" x14ac:dyDescent="0.25">
      <c r="A366" s="171" t="s">
        <v>269</v>
      </c>
      <c r="F366" s="262"/>
    </row>
    <row r="367" spans="1:7" x14ac:dyDescent="0.25">
      <c r="F367" s="262"/>
    </row>
    <row r="368" spans="1:7" x14ac:dyDescent="0.25">
      <c r="A368" s="62"/>
      <c r="B368" s="347"/>
      <c r="C368" s="98">
        <v>2018</v>
      </c>
      <c r="D368" s="62"/>
      <c r="E368" s="66">
        <v>2017</v>
      </c>
      <c r="F368" s="62"/>
    </row>
    <row r="369" spans="1:12" x14ac:dyDescent="0.25">
      <c r="A369" s="257" t="s">
        <v>706</v>
      </c>
      <c r="B369" s="501" t="s">
        <v>450</v>
      </c>
      <c r="C369" s="258" t="e">
        <f>+#REF!</f>
        <v>#REF!</v>
      </c>
      <c r="D369" s="323" t="s">
        <v>450</v>
      </c>
      <c r="E369" s="259">
        <v>248724</v>
      </c>
      <c r="F369" s="342"/>
      <c r="G369" s="320" t="e">
        <f>+C369-E369</f>
        <v>#REF!</v>
      </c>
      <c r="J369" s="447"/>
    </row>
    <row r="370" spans="1:12" ht="16.5" thickBot="1" x14ac:dyDescent="0.3">
      <c r="A370" s="85" t="s">
        <v>485</v>
      </c>
      <c r="B370" s="502" t="s">
        <v>450</v>
      </c>
      <c r="C370" s="91" t="e">
        <f>SUM(C369)</f>
        <v>#REF!</v>
      </c>
      <c r="D370" s="90" t="s">
        <v>450</v>
      </c>
      <c r="E370" s="91">
        <f>SUM(E369)</f>
        <v>248724</v>
      </c>
      <c r="F370" s="438"/>
      <c r="J370" s="447"/>
    </row>
    <row r="371" spans="1:12" ht="16.5" thickTop="1" x14ac:dyDescent="0.25">
      <c r="C371" s="97" t="e">
        <f>+C370-#REF!</f>
        <v>#REF!</v>
      </c>
      <c r="E371" s="97" t="e">
        <f>+E370-#REF!</f>
        <v>#REF!</v>
      </c>
      <c r="F371" s="262"/>
      <c r="J371" s="447"/>
    </row>
    <row r="372" spans="1:12" ht="16.5" thickBot="1" x14ac:dyDescent="0.3">
      <c r="F372" s="262"/>
      <c r="J372" s="448"/>
      <c r="L372" s="184"/>
    </row>
    <row r="373" spans="1:12" ht="16.5" thickTop="1" x14ac:dyDescent="0.25">
      <c r="A373" s="76" t="s">
        <v>811</v>
      </c>
      <c r="C373" s="447">
        <v>4870400</v>
      </c>
      <c r="F373" s="262"/>
      <c r="J373" s="449"/>
      <c r="L373" s="184"/>
    </row>
    <row r="374" spans="1:12" x14ac:dyDescent="0.25">
      <c r="A374" s="76" t="s">
        <v>810</v>
      </c>
      <c r="C374" s="447">
        <v>947727</v>
      </c>
      <c r="F374" s="262"/>
      <c r="J374" s="449"/>
      <c r="L374" s="184"/>
    </row>
    <row r="375" spans="1:12" x14ac:dyDescent="0.25">
      <c r="A375" s="76" t="s">
        <v>670</v>
      </c>
      <c r="C375" s="447">
        <f>1070130-93473</f>
        <v>976657</v>
      </c>
      <c r="F375" s="262"/>
      <c r="J375" s="449"/>
      <c r="L375" s="184"/>
    </row>
    <row r="376" spans="1:12" ht="16.5" thickBot="1" x14ac:dyDescent="0.3">
      <c r="C376" s="448">
        <f>SUM(C373:C374)</f>
        <v>5818127</v>
      </c>
      <c r="F376" s="262"/>
      <c r="J376" s="449"/>
      <c r="L376" s="184"/>
    </row>
    <row r="377" spans="1:12" ht="16.5" thickTop="1" x14ac:dyDescent="0.25">
      <c r="F377" s="262"/>
      <c r="J377" s="449"/>
      <c r="L377" s="184"/>
    </row>
    <row r="378" spans="1:12" x14ac:dyDescent="0.25">
      <c r="A378" s="73" t="s">
        <v>457</v>
      </c>
      <c r="B378" s="481"/>
      <c r="F378" s="262"/>
    </row>
    <row r="379" spans="1:12" x14ac:dyDescent="0.25">
      <c r="A379" s="92"/>
      <c r="B379" s="460"/>
      <c r="C379" s="204">
        <v>2018</v>
      </c>
      <c r="D379" s="319"/>
      <c r="E379" s="204">
        <v>2017</v>
      </c>
      <c r="F379" s="294"/>
    </row>
    <row r="380" spans="1:12" x14ac:dyDescent="0.25">
      <c r="A380" s="76" t="s">
        <v>232</v>
      </c>
      <c r="C380" s="97" t="e">
        <f>+#REF!</f>
        <v>#REF!</v>
      </c>
      <c r="E380" s="97">
        <v>1294726</v>
      </c>
      <c r="F380" s="262"/>
      <c r="G380" s="228" t="e">
        <f t="shared" ref="G380:G382" si="8">+C380-E380</f>
        <v>#REF!</v>
      </c>
    </row>
    <row r="381" spans="1:12" x14ac:dyDescent="0.25">
      <c r="A381" s="76" t="s">
        <v>701</v>
      </c>
      <c r="C381" s="71" t="e">
        <f>+#REF!</f>
        <v>#REF!</v>
      </c>
      <c r="E381" s="97">
        <v>15000</v>
      </c>
      <c r="F381" s="262"/>
      <c r="G381" s="228" t="e">
        <f t="shared" si="8"/>
        <v>#REF!</v>
      </c>
    </row>
    <row r="382" spans="1:12" x14ac:dyDescent="0.25">
      <c r="A382" s="76" t="s">
        <v>461</v>
      </c>
      <c r="C382" s="97" t="e">
        <f>+#REF!</f>
        <v>#REF!</v>
      </c>
      <c r="E382" s="71">
        <v>18966141</v>
      </c>
      <c r="F382" s="262"/>
      <c r="G382" s="228" t="e">
        <f t="shared" si="8"/>
        <v>#REF!</v>
      </c>
    </row>
    <row r="383" spans="1:12" ht="16.5" thickBot="1" x14ac:dyDescent="0.3">
      <c r="A383" s="95"/>
      <c r="B383" s="454"/>
      <c r="C383" s="96" t="e">
        <f>SUM(C380:C382)</f>
        <v>#REF!</v>
      </c>
      <c r="D383" s="263"/>
      <c r="E383" s="96">
        <f>SUM(E380:E382)</f>
        <v>20275867</v>
      </c>
      <c r="F383" s="382"/>
    </row>
    <row r="384" spans="1:12" ht="16.5" thickTop="1" x14ac:dyDescent="0.25">
      <c r="C384" s="97" t="e">
        <f>+C383-#REF!</f>
        <v>#REF!</v>
      </c>
      <c r="E384" s="97" t="e">
        <f>+E383-#REF!</f>
        <v>#REF!</v>
      </c>
      <c r="F384" s="262"/>
    </row>
    <row r="385" spans="1:9" x14ac:dyDescent="0.25">
      <c r="F385" s="262"/>
    </row>
    <row r="386" spans="1:9" x14ac:dyDescent="0.25">
      <c r="A386" s="171" t="s">
        <v>549</v>
      </c>
      <c r="B386" s="450"/>
      <c r="F386" s="262"/>
    </row>
    <row r="387" spans="1:9" x14ac:dyDescent="0.25">
      <c r="A387" s="77"/>
      <c r="B387" s="480"/>
      <c r="C387" s="78">
        <v>2018</v>
      </c>
      <c r="D387" s="289"/>
      <c r="E387" s="78">
        <v>2017</v>
      </c>
      <c r="F387" s="296"/>
    </row>
    <row r="388" spans="1:9" x14ac:dyDescent="0.25">
      <c r="A388" s="318" t="s">
        <v>702</v>
      </c>
      <c r="B388" s="498"/>
      <c r="C388" s="225"/>
      <c r="D388" s="284"/>
      <c r="E388" s="190"/>
      <c r="F388" s="437"/>
      <c r="G388" s="190"/>
    </row>
    <row r="389" spans="1:9" x14ac:dyDescent="0.25">
      <c r="A389" s="226" t="s">
        <v>704</v>
      </c>
      <c r="B389" s="466"/>
      <c r="C389" s="207" t="e">
        <f>+#REF!</f>
        <v>#REF!</v>
      </c>
      <c r="D389" s="279"/>
      <c r="E389" s="207">
        <v>203326533</v>
      </c>
      <c r="F389" s="274"/>
      <c r="G389" s="228" t="e">
        <f t="shared" ref="G389:G411" si="9">+C389-E389</f>
        <v>#REF!</v>
      </c>
      <c r="H389" s="97"/>
      <c r="I389" s="97"/>
    </row>
    <row r="390" spans="1:9" x14ac:dyDescent="0.25">
      <c r="A390" s="226" t="s">
        <v>705</v>
      </c>
      <c r="B390" s="466"/>
      <c r="C390" s="207" t="e">
        <f>+#REF!</f>
        <v>#REF!</v>
      </c>
      <c r="D390" s="279"/>
      <c r="E390" s="207">
        <v>55524241</v>
      </c>
      <c r="F390" s="274"/>
      <c r="G390" s="228" t="e">
        <f t="shared" si="9"/>
        <v>#REF!</v>
      </c>
      <c r="H390" s="97"/>
      <c r="I390" s="97"/>
    </row>
    <row r="391" spans="1:9" x14ac:dyDescent="0.25">
      <c r="A391" s="318" t="s">
        <v>545</v>
      </c>
      <c r="B391" s="498"/>
      <c r="C391" s="190"/>
      <c r="D391" s="272"/>
      <c r="E391" s="190"/>
      <c r="F391" s="288"/>
      <c r="G391" s="228">
        <f t="shared" si="9"/>
        <v>0</v>
      </c>
      <c r="H391" s="97"/>
      <c r="I391" s="97"/>
    </row>
    <row r="392" spans="1:9" x14ac:dyDescent="0.25">
      <c r="A392" s="226" t="s">
        <v>710</v>
      </c>
      <c r="B392" s="466"/>
      <c r="C392" s="207" t="e">
        <f>+#REF!</f>
        <v>#REF!</v>
      </c>
      <c r="D392" s="279"/>
      <c r="E392" s="207">
        <v>25128428</v>
      </c>
      <c r="F392" s="274"/>
      <c r="G392" s="228" t="e">
        <f t="shared" si="9"/>
        <v>#REF!</v>
      </c>
      <c r="H392" s="97"/>
      <c r="I392" s="97"/>
    </row>
    <row r="393" spans="1:9" x14ac:dyDescent="0.25">
      <c r="A393" s="226" t="s">
        <v>711</v>
      </c>
      <c r="B393" s="466"/>
      <c r="C393" s="207" t="e">
        <f>+#REF!</f>
        <v>#REF!</v>
      </c>
      <c r="D393" s="279"/>
      <c r="E393" s="207">
        <v>4922200</v>
      </c>
      <c r="F393" s="274"/>
      <c r="G393" s="228" t="e">
        <f t="shared" si="9"/>
        <v>#REF!</v>
      </c>
      <c r="H393" s="97"/>
      <c r="I393" s="97"/>
    </row>
    <row r="394" spans="1:9" x14ac:dyDescent="0.25">
      <c r="A394" s="226" t="s">
        <v>712</v>
      </c>
      <c r="B394" s="466"/>
      <c r="C394" s="207" t="e">
        <f>+#REF!</f>
        <v>#REF!</v>
      </c>
      <c r="D394" s="279"/>
      <c r="E394" s="207">
        <v>4735200</v>
      </c>
      <c r="F394" s="274"/>
      <c r="G394" s="228" t="e">
        <f t="shared" si="9"/>
        <v>#REF!</v>
      </c>
      <c r="H394" s="97"/>
      <c r="I394" s="97"/>
    </row>
    <row r="395" spans="1:9" x14ac:dyDescent="0.25">
      <c r="A395" s="226" t="s">
        <v>281</v>
      </c>
      <c r="B395" s="466"/>
      <c r="C395" s="207" t="e">
        <f>+#REF!</f>
        <v>#REF!</v>
      </c>
      <c r="D395" s="279"/>
      <c r="E395" s="207">
        <v>5245450</v>
      </c>
      <c r="F395" s="274"/>
      <c r="G395" s="228" t="e">
        <f t="shared" si="9"/>
        <v>#REF!</v>
      </c>
      <c r="H395" s="97"/>
      <c r="I395" s="97"/>
    </row>
    <row r="396" spans="1:9" x14ac:dyDescent="0.25">
      <c r="A396" s="226" t="s">
        <v>283</v>
      </c>
      <c r="B396" s="466"/>
      <c r="C396" s="207" t="e">
        <f>+#REF!</f>
        <v>#REF!</v>
      </c>
      <c r="D396" s="279"/>
      <c r="E396" s="207">
        <v>5335225</v>
      </c>
      <c r="F396" s="274"/>
      <c r="G396" s="228" t="e">
        <f t="shared" si="9"/>
        <v>#REF!</v>
      </c>
      <c r="H396" s="97"/>
      <c r="I396" s="97"/>
    </row>
    <row r="397" spans="1:9" x14ac:dyDescent="0.25">
      <c r="A397" s="226" t="s">
        <v>285</v>
      </c>
      <c r="B397" s="466"/>
      <c r="C397" s="207" t="e">
        <f>+#REF!</f>
        <v>#REF!</v>
      </c>
      <c r="D397" s="279"/>
      <c r="E397" s="207">
        <v>764263</v>
      </c>
      <c r="F397" s="274"/>
      <c r="G397" s="228" t="e">
        <f t="shared" si="9"/>
        <v>#REF!</v>
      </c>
      <c r="H397" s="97"/>
      <c r="I397" s="97"/>
    </row>
    <row r="398" spans="1:9" x14ac:dyDescent="0.25">
      <c r="A398" s="226" t="s">
        <v>287</v>
      </c>
      <c r="B398" s="466"/>
      <c r="C398" s="207" t="e">
        <f>+#REF!</f>
        <v>#REF!</v>
      </c>
      <c r="D398" s="279"/>
      <c r="E398" s="207">
        <v>4767500</v>
      </c>
      <c r="F398" s="274"/>
      <c r="G398" s="228" t="e">
        <f t="shared" si="9"/>
        <v>#REF!</v>
      </c>
      <c r="H398" s="97"/>
      <c r="I398" s="97"/>
    </row>
    <row r="399" spans="1:9" x14ac:dyDescent="0.25">
      <c r="A399" s="226" t="s">
        <v>464</v>
      </c>
      <c r="B399" s="466"/>
      <c r="C399" s="207" t="e">
        <f>+#REF!</f>
        <v>#REF!</v>
      </c>
      <c r="D399" s="279"/>
      <c r="E399" s="65">
        <v>24135427</v>
      </c>
      <c r="F399" s="274"/>
      <c r="G399" s="228" t="e">
        <f t="shared" si="9"/>
        <v>#REF!</v>
      </c>
      <c r="H399" s="97"/>
      <c r="I399" s="97"/>
    </row>
    <row r="400" spans="1:9" x14ac:dyDescent="0.25">
      <c r="A400" s="226" t="s">
        <v>463</v>
      </c>
      <c r="B400" s="466"/>
      <c r="C400" s="207" t="e">
        <f>+#REF!</f>
        <v>#REF!</v>
      </c>
      <c r="D400" s="279"/>
      <c r="E400" s="65">
        <v>3070000</v>
      </c>
      <c r="F400" s="274"/>
      <c r="G400" s="228" t="e">
        <f t="shared" si="9"/>
        <v>#REF!</v>
      </c>
      <c r="H400" s="97"/>
      <c r="I400" s="97"/>
    </row>
    <row r="401" spans="1:9" x14ac:dyDescent="0.25">
      <c r="A401" s="226" t="s">
        <v>715</v>
      </c>
      <c r="B401" s="466"/>
      <c r="C401" s="207" t="e">
        <f>+#REF!</f>
        <v>#REF!</v>
      </c>
      <c r="D401" s="279"/>
      <c r="E401" s="207">
        <v>2228652</v>
      </c>
      <c r="F401" s="274"/>
      <c r="G401" s="228" t="e">
        <f t="shared" si="9"/>
        <v>#REF!</v>
      </c>
      <c r="H401" s="97"/>
      <c r="I401" s="97"/>
    </row>
    <row r="402" spans="1:9" x14ac:dyDescent="0.25">
      <c r="A402" s="226" t="s">
        <v>291</v>
      </c>
      <c r="B402" s="466"/>
      <c r="C402" s="207" t="e">
        <f>+#REF!</f>
        <v>#REF!</v>
      </c>
      <c r="D402" s="279"/>
      <c r="E402" s="207">
        <v>21583939</v>
      </c>
      <c r="F402" s="274"/>
      <c r="G402" s="228" t="e">
        <f t="shared" si="9"/>
        <v>#REF!</v>
      </c>
      <c r="H402" s="97"/>
      <c r="I402" s="97"/>
    </row>
    <row r="403" spans="1:9" x14ac:dyDescent="0.25">
      <c r="A403" s="226" t="s">
        <v>293</v>
      </c>
      <c r="B403" s="466"/>
      <c r="C403" s="207" t="e">
        <f>+#REF!</f>
        <v>#REF!</v>
      </c>
      <c r="D403" s="279"/>
      <c r="E403" s="207">
        <v>5214400</v>
      </c>
      <c r="F403" s="274"/>
      <c r="G403" s="228" t="e">
        <f t="shared" si="9"/>
        <v>#REF!</v>
      </c>
      <c r="H403" s="97"/>
      <c r="I403" s="97"/>
    </row>
    <row r="404" spans="1:9" x14ac:dyDescent="0.25">
      <c r="A404" s="226" t="s">
        <v>465</v>
      </c>
      <c r="B404" s="466"/>
      <c r="C404" s="207" t="e">
        <f>+#REF!</f>
        <v>#REF!</v>
      </c>
      <c r="D404" s="279"/>
      <c r="E404" s="65">
        <v>46196769</v>
      </c>
      <c r="F404" s="274"/>
      <c r="G404" s="228" t="e">
        <f t="shared" si="9"/>
        <v>#REF!</v>
      </c>
      <c r="H404" s="97"/>
      <c r="I404" s="97"/>
    </row>
    <row r="405" spans="1:9" x14ac:dyDescent="0.25">
      <c r="A405" s="318" t="s">
        <v>546</v>
      </c>
      <c r="B405" s="498"/>
      <c r="C405" s="190"/>
      <c r="D405" s="272"/>
      <c r="E405" s="190"/>
      <c r="F405" s="288"/>
      <c r="G405" s="228">
        <f t="shared" si="9"/>
        <v>0</v>
      </c>
      <c r="H405" s="97"/>
      <c r="I405" s="97"/>
    </row>
    <row r="406" spans="1:9" x14ac:dyDescent="0.25">
      <c r="A406" s="226" t="s">
        <v>707</v>
      </c>
      <c r="B406" s="466"/>
      <c r="C406" s="207" t="e">
        <f>+#REF!</f>
        <v>#REF!</v>
      </c>
      <c r="D406" s="279"/>
      <c r="E406" s="207">
        <v>31742464</v>
      </c>
      <c r="F406" s="274"/>
      <c r="G406" s="320" t="e">
        <f t="shared" si="9"/>
        <v>#REF!</v>
      </c>
      <c r="H406" s="97"/>
      <c r="I406" s="97"/>
    </row>
    <row r="407" spans="1:9" x14ac:dyDescent="0.25">
      <c r="A407" s="226" t="s">
        <v>708</v>
      </c>
      <c r="B407" s="466"/>
      <c r="C407" s="207" t="e">
        <f>+#REF!</f>
        <v>#REF!</v>
      </c>
      <c r="D407" s="279"/>
      <c r="E407" s="207">
        <v>1227000</v>
      </c>
      <c r="F407" s="274"/>
      <c r="G407" s="228" t="e">
        <f t="shared" si="9"/>
        <v>#REF!</v>
      </c>
      <c r="H407" s="97"/>
      <c r="I407" s="97"/>
    </row>
    <row r="408" spans="1:9" x14ac:dyDescent="0.25">
      <c r="A408" s="226" t="s">
        <v>709</v>
      </c>
      <c r="B408" s="466"/>
      <c r="C408" s="207" t="e">
        <f>+#REF!</f>
        <v>#REF!</v>
      </c>
      <c r="D408" s="279"/>
      <c r="E408" s="207">
        <v>2712325</v>
      </c>
      <c r="F408" s="274"/>
      <c r="G408" s="228" t="e">
        <f t="shared" si="9"/>
        <v>#REF!</v>
      </c>
      <c r="H408" s="97"/>
      <c r="I408" s="97"/>
    </row>
    <row r="409" spans="1:9" x14ac:dyDescent="0.25">
      <c r="A409" s="226" t="s">
        <v>301</v>
      </c>
      <c r="B409" s="466"/>
      <c r="C409" s="207" t="e">
        <f>+#REF!</f>
        <v>#REF!</v>
      </c>
      <c r="D409" s="279"/>
      <c r="E409" s="207">
        <v>1284582</v>
      </c>
      <c r="F409" s="274"/>
      <c r="G409" s="228" t="e">
        <f t="shared" si="9"/>
        <v>#REF!</v>
      </c>
      <c r="H409" s="97"/>
      <c r="I409" s="97"/>
    </row>
    <row r="410" spans="1:9" x14ac:dyDescent="0.25">
      <c r="A410" s="318" t="s">
        <v>547</v>
      </c>
      <c r="B410" s="498"/>
      <c r="C410" s="207"/>
      <c r="D410" s="279"/>
      <c r="E410" s="190"/>
      <c r="F410" s="274"/>
      <c r="G410" s="228">
        <f t="shared" si="9"/>
        <v>0</v>
      </c>
      <c r="H410" s="97"/>
      <c r="I410" s="97"/>
    </row>
    <row r="411" spans="1:9" x14ac:dyDescent="0.25">
      <c r="A411" s="226" t="s">
        <v>303</v>
      </c>
      <c r="B411" s="466"/>
      <c r="C411" s="207" t="e">
        <f>+#REF!</f>
        <v>#REF!</v>
      </c>
      <c r="D411" s="279"/>
      <c r="E411" s="207">
        <v>13189169</v>
      </c>
      <c r="F411" s="274"/>
      <c r="G411" s="228" t="e">
        <f t="shared" si="9"/>
        <v>#REF!</v>
      </c>
      <c r="H411" s="97"/>
      <c r="I411" s="97"/>
    </row>
    <row r="412" spans="1:9" hidden="1" x14ac:dyDescent="0.25">
      <c r="A412" s="231" t="s">
        <v>548</v>
      </c>
      <c r="B412" s="499"/>
      <c r="C412" s="65" t="e">
        <f>+#REF!</f>
        <v>#REF!</v>
      </c>
      <c r="D412" s="279"/>
      <c r="E412" s="89" t="s">
        <v>468</v>
      </c>
      <c r="F412" s="274"/>
      <c r="G412" s="110"/>
      <c r="H412" s="97"/>
      <c r="I412" s="97"/>
    </row>
    <row r="413" spans="1:9" ht="16.5" thickBot="1" x14ac:dyDescent="0.3">
      <c r="A413" s="317"/>
      <c r="B413" s="503"/>
      <c r="C413" s="230" t="e">
        <f>SUM(C389:C412)</f>
        <v>#REF!</v>
      </c>
      <c r="D413" s="287"/>
      <c r="E413" s="230">
        <f>SUM(E389:E412)</f>
        <v>462333767</v>
      </c>
      <c r="F413" s="436"/>
      <c r="G413" s="232"/>
    </row>
    <row r="414" spans="1:9" ht="16.5" thickTop="1" x14ac:dyDescent="0.25">
      <c r="C414" s="97" t="e">
        <f>+C413-#REF!</f>
        <v>#REF!</v>
      </c>
      <c r="E414" s="97" t="e">
        <f>+E413-#REF!</f>
        <v>#REF!</v>
      </c>
      <c r="F414" s="262"/>
    </row>
    <row r="415" spans="1:9" x14ac:dyDescent="0.25">
      <c r="F415" s="262"/>
    </row>
    <row r="416" spans="1:9" x14ac:dyDescent="0.25">
      <c r="A416" s="61" t="s">
        <v>433</v>
      </c>
      <c r="B416" s="481"/>
      <c r="F416" s="262"/>
    </row>
    <row r="417" spans="1:10" x14ac:dyDescent="0.25">
      <c r="A417" s="77"/>
      <c r="B417" s="480"/>
      <c r="C417" s="78">
        <v>2018</v>
      </c>
      <c r="D417" s="289"/>
      <c r="E417" s="78">
        <v>2017</v>
      </c>
      <c r="F417" s="296"/>
    </row>
    <row r="418" spans="1:10" x14ac:dyDescent="0.25">
      <c r="A418" s="318" t="s">
        <v>550</v>
      </c>
      <c r="B418" s="498"/>
      <c r="C418" s="225"/>
      <c r="D418" s="284"/>
      <c r="E418" s="225"/>
      <c r="F418" s="437"/>
      <c r="H418" s="190"/>
      <c r="I418" s="190"/>
    </row>
    <row r="419" spans="1:10" x14ac:dyDescent="0.25">
      <c r="A419" s="226" t="s">
        <v>307</v>
      </c>
      <c r="B419" s="466"/>
      <c r="C419" s="227" t="e">
        <f>+#REF!</f>
        <v>#REF!</v>
      </c>
      <c r="D419" s="273"/>
      <c r="E419" s="227">
        <v>1826111</v>
      </c>
      <c r="F419" s="286"/>
      <c r="G419" s="396" t="e">
        <f t="shared" ref="G419:G452" si="10">+C419-E419</f>
        <v>#REF!</v>
      </c>
    </row>
    <row r="420" spans="1:10" x14ac:dyDescent="0.25">
      <c r="A420" s="226" t="s">
        <v>309</v>
      </c>
      <c r="B420" s="466"/>
      <c r="C420" s="227" t="e">
        <f>+#REF!</f>
        <v>#REF!</v>
      </c>
      <c r="D420" s="273"/>
      <c r="E420" s="227">
        <v>3759534</v>
      </c>
      <c r="F420" s="286"/>
      <c r="G420" s="396" t="e">
        <f t="shared" si="10"/>
        <v>#REF!</v>
      </c>
    </row>
    <row r="421" spans="1:10" x14ac:dyDescent="0.25">
      <c r="A421" s="318" t="s">
        <v>551</v>
      </c>
      <c r="B421" s="498"/>
      <c r="C421" s="190"/>
      <c r="D421" s="272"/>
      <c r="E421" s="190"/>
      <c r="F421" s="288"/>
      <c r="G421" s="396">
        <f t="shared" si="10"/>
        <v>0</v>
      </c>
    </row>
    <row r="422" spans="1:10" x14ac:dyDescent="0.25">
      <c r="A422" s="226" t="s">
        <v>311</v>
      </c>
      <c r="B422" s="466"/>
      <c r="C422" s="227" t="e">
        <f>+#REF!</f>
        <v>#REF!</v>
      </c>
      <c r="D422" s="273"/>
      <c r="E422" s="227">
        <v>23625040</v>
      </c>
      <c r="F422" s="273"/>
      <c r="G422" s="439" t="e">
        <f t="shared" si="10"/>
        <v>#REF!</v>
      </c>
    </row>
    <row r="423" spans="1:10" x14ac:dyDescent="0.25">
      <c r="A423" s="226" t="s">
        <v>313</v>
      </c>
      <c r="B423" s="466"/>
      <c r="C423" s="227" t="e">
        <f>+#REF!</f>
        <v>#REF!</v>
      </c>
      <c r="D423" s="273"/>
      <c r="E423" s="227">
        <v>480592</v>
      </c>
      <c r="F423" s="273"/>
      <c r="G423" s="396" t="e">
        <f t="shared" si="10"/>
        <v>#REF!</v>
      </c>
    </row>
    <row r="424" spans="1:10" x14ac:dyDescent="0.25">
      <c r="A424" s="318" t="s">
        <v>552</v>
      </c>
      <c r="B424" s="498"/>
      <c r="C424" s="190"/>
      <c r="D424" s="272"/>
      <c r="E424" s="190"/>
      <c r="F424" s="272"/>
      <c r="G424" s="396">
        <f t="shared" si="10"/>
        <v>0</v>
      </c>
    </row>
    <row r="425" spans="1:10" x14ac:dyDescent="0.25">
      <c r="A425" s="226" t="s">
        <v>315</v>
      </c>
      <c r="B425" s="466"/>
      <c r="C425" s="227" t="e">
        <f>+#REF!</f>
        <v>#REF!</v>
      </c>
      <c r="D425" s="273"/>
      <c r="E425" s="227">
        <v>15645136</v>
      </c>
      <c r="F425" s="273"/>
      <c r="G425" s="396" t="e">
        <f t="shared" si="10"/>
        <v>#REF!</v>
      </c>
    </row>
    <row r="426" spans="1:10" x14ac:dyDescent="0.25">
      <c r="A426" s="226" t="s">
        <v>317</v>
      </c>
      <c r="B426" s="466"/>
      <c r="C426" s="227" t="e">
        <f>+#REF!</f>
        <v>#REF!</v>
      </c>
      <c r="D426" s="273"/>
      <c r="E426" s="227">
        <v>5411299</v>
      </c>
      <c r="F426" s="273"/>
      <c r="G426" s="396" t="e">
        <f t="shared" si="10"/>
        <v>#REF!</v>
      </c>
    </row>
    <row r="427" spans="1:10" x14ac:dyDescent="0.25">
      <c r="A427" s="226" t="s">
        <v>466</v>
      </c>
      <c r="B427" s="466"/>
      <c r="C427" s="227" t="e">
        <f>+#REF!</f>
        <v>#REF!</v>
      </c>
      <c r="D427" s="273"/>
      <c r="E427" s="65">
        <v>793500</v>
      </c>
      <c r="F427" s="273"/>
      <c r="G427" s="396" t="e">
        <f t="shared" si="10"/>
        <v>#REF!</v>
      </c>
      <c r="J427" s="184"/>
    </row>
    <row r="428" spans="1:10" x14ac:dyDescent="0.25">
      <c r="A428" s="226" t="s">
        <v>319</v>
      </c>
      <c r="B428" s="466"/>
      <c r="C428" s="227" t="e">
        <f>+#REF!</f>
        <v>#REF!</v>
      </c>
      <c r="D428" s="273"/>
      <c r="E428" s="227">
        <v>307975</v>
      </c>
      <c r="F428" s="273"/>
      <c r="G428" s="396" t="e">
        <f t="shared" si="10"/>
        <v>#REF!</v>
      </c>
    </row>
    <row r="429" spans="1:10" x14ac:dyDescent="0.25">
      <c r="A429" s="226" t="s">
        <v>321</v>
      </c>
      <c r="B429" s="466"/>
      <c r="C429" s="227" t="e">
        <f>+#REF!</f>
        <v>#REF!</v>
      </c>
      <c r="D429" s="273"/>
      <c r="E429" s="227">
        <v>3756346</v>
      </c>
      <c r="F429" s="273"/>
      <c r="G429" s="396" t="e">
        <f t="shared" si="10"/>
        <v>#REF!</v>
      </c>
    </row>
    <row r="430" spans="1:10" x14ac:dyDescent="0.25">
      <c r="A430" s="226" t="s">
        <v>622</v>
      </c>
      <c r="B430" s="466"/>
      <c r="C430" s="71" t="e">
        <f>+#REF!</f>
        <v>#REF!</v>
      </c>
      <c r="D430" s="273"/>
      <c r="E430" s="65">
        <v>351096</v>
      </c>
      <c r="F430" s="273"/>
      <c r="G430" s="396" t="e">
        <f t="shared" si="10"/>
        <v>#REF!</v>
      </c>
    </row>
    <row r="431" spans="1:10" x14ac:dyDescent="0.25">
      <c r="A431" s="226" t="s">
        <v>325</v>
      </c>
      <c r="B431" s="466"/>
      <c r="C431" s="65" t="e">
        <f>+#REF!</f>
        <v>#REF!</v>
      </c>
      <c r="D431" s="298"/>
      <c r="E431" s="227">
        <v>18620093</v>
      </c>
      <c r="F431" s="298"/>
      <c r="G431" s="396" t="e">
        <f t="shared" si="10"/>
        <v>#REF!</v>
      </c>
    </row>
    <row r="432" spans="1:10" x14ac:dyDescent="0.25">
      <c r="A432" s="226" t="s">
        <v>714</v>
      </c>
      <c r="B432" s="466"/>
      <c r="C432" s="65" t="e">
        <f>+#REF!</f>
        <v>#REF!</v>
      </c>
      <c r="D432" s="298"/>
      <c r="E432" s="227">
        <v>35991051</v>
      </c>
      <c r="F432" s="298"/>
      <c r="G432" s="396" t="e">
        <f t="shared" si="10"/>
        <v>#REF!</v>
      </c>
    </row>
    <row r="433" spans="1:7" x14ac:dyDescent="0.25">
      <c r="A433" s="226" t="s">
        <v>716</v>
      </c>
      <c r="B433" s="466"/>
      <c r="C433" s="65" t="e">
        <f>+#REF!</f>
        <v>#REF!</v>
      </c>
      <c r="D433" s="298"/>
      <c r="E433" s="227">
        <v>5932757</v>
      </c>
      <c r="F433" s="298"/>
      <c r="G433" s="396" t="e">
        <f t="shared" si="10"/>
        <v>#REF!</v>
      </c>
    </row>
    <row r="434" spans="1:7" x14ac:dyDescent="0.25">
      <c r="A434" s="226" t="s">
        <v>331</v>
      </c>
      <c r="B434" s="466"/>
      <c r="C434" s="65" t="e">
        <f>+#REF!</f>
        <v>#REF!</v>
      </c>
      <c r="D434" s="298"/>
      <c r="E434" s="227">
        <v>53860070</v>
      </c>
      <c r="F434" s="298"/>
      <c r="G434" s="396" t="e">
        <f t="shared" si="10"/>
        <v>#REF!</v>
      </c>
    </row>
    <row r="435" spans="1:7" x14ac:dyDescent="0.25">
      <c r="A435" s="226" t="s">
        <v>717</v>
      </c>
      <c r="B435" s="466"/>
      <c r="C435" s="65" t="e">
        <f>+#REF!</f>
        <v>#REF!</v>
      </c>
      <c r="D435" s="298"/>
      <c r="E435" s="65">
        <v>857150</v>
      </c>
      <c r="F435" s="298"/>
      <c r="G435" s="396" t="e">
        <f t="shared" si="10"/>
        <v>#REF!</v>
      </c>
    </row>
    <row r="436" spans="1:7" x14ac:dyDescent="0.25">
      <c r="A436" s="226" t="s">
        <v>333</v>
      </c>
      <c r="B436" s="466"/>
      <c r="C436" s="65" t="e">
        <f>+#REF!</f>
        <v>#REF!</v>
      </c>
      <c r="D436" s="298"/>
      <c r="E436" s="227">
        <v>68392281</v>
      </c>
      <c r="F436" s="298"/>
      <c r="G436" s="439" t="e">
        <f t="shared" si="10"/>
        <v>#REF!</v>
      </c>
    </row>
    <row r="437" spans="1:7" x14ac:dyDescent="0.25">
      <c r="A437" s="318" t="s">
        <v>553</v>
      </c>
      <c r="B437" s="498"/>
      <c r="C437" s="190"/>
      <c r="D437" s="272"/>
      <c r="E437" s="190"/>
      <c r="F437" s="272"/>
      <c r="G437" s="396">
        <f t="shared" si="10"/>
        <v>0</v>
      </c>
    </row>
    <row r="438" spans="1:7" x14ac:dyDescent="0.25">
      <c r="A438" s="226" t="s">
        <v>335</v>
      </c>
      <c r="B438" s="466"/>
      <c r="C438" s="227" t="e">
        <f>+#REF!</f>
        <v>#REF!</v>
      </c>
      <c r="D438" s="273"/>
      <c r="E438" s="227">
        <v>15811189</v>
      </c>
      <c r="F438" s="273"/>
      <c r="G438" s="396" t="e">
        <f t="shared" si="10"/>
        <v>#REF!</v>
      </c>
    </row>
    <row r="439" spans="1:7" x14ac:dyDescent="0.25">
      <c r="A439" s="226" t="s">
        <v>337</v>
      </c>
      <c r="B439" s="466"/>
      <c r="C439" s="227" t="e">
        <f>+#REF!</f>
        <v>#REF!</v>
      </c>
      <c r="D439" s="273"/>
      <c r="E439" s="227">
        <v>80362782</v>
      </c>
      <c r="F439" s="273"/>
      <c r="G439" s="396" t="e">
        <f t="shared" si="10"/>
        <v>#REF!</v>
      </c>
    </row>
    <row r="440" spans="1:7" x14ac:dyDescent="0.25">
      <c r="A440" s="318" t="s">
        <v>554</v>
      </c>
      <c r="B440" s="498"/>
      <c r="C440" s="190"/>
      <c r="D440" s="272"/>
      <c r="E440" s="190"/>
      <c r="F440" s="272"/>
      <c r="G440" s="396">
        <f t="shared" si="10"/>
        <v>0</v>
      </c>
    </row>
    <row r="441" spans="1:7" x14ac:dyDescent="0.25">
      <c r="A441" s="226" t="s">
        <v>718</v>
      </c>
      <c r="B441" s="466"/>
      <c r="C441" s="227" t="e">
        <f>+#REF!</f>
        <v>#REF!</v>
      </c>
      <c r="D441" s="273"/>
      <c r="E441" s="227">
        <v>176479</v>
      </c>
      <c r="F441" s="273"/>
      <c r="G441" s="396" t="e">
        <f t="shared" si="10"/>
        <v>#REF!</v>
      </c>
    </row>
    <row r="442" spans="1:7" x14ac:dyDescent="0.25">
      <c r="A442" s="226" t="s">
        <v>341</v>
      </c>
      <c r="B442" s="466"/>
      <c r="C442" s="227" t="e">
        <f>+#REF!</f>
        <v>#REF!</v>
      </c>
      <c r="D442" s="273"/>
      <c r="E442" s="227">
        <v>4406368</v>
      </c>
      <c r="F442" s="286"/>
      <c r="G442" s="396" t="e">
        <f t="shared" si="10"/>
        <v>#REF!</v>
      </c>
    </row>
    <row r="443" spans="1:7" x14ac:dyDescent="0.25">
      <c r="A443" s="226" t="s">
        <v>343</v>
      </c>
      <c r="B443" s="466"/>
      <c r="C443" s="227" t="e">
        <f>+#REF!</f>
        <v>#REF!</v>
      </c>
      <c r="D443" s="273"/>
      <c r="E443" s="227">
        <v>674606</v>
      </c>
      <c r="F443" s="286"/>
      <c r="G443" s="396" t="e">
        <f t="shared" si="10"/>
        <v>#REF!</v>
      </c>
    </row>
    <row r="444" spans="1:7" x14ac:dyDescent="0.25">
      <c r="A444" s="226" t="s">
        <v>719</v>
      </c>
      <c r="B444" s="466"/>
      <c r="C444" s="227" t="e">
        <f>+#REF!</f>
        <v>#REF!</v>
      </c>
      <c r="D444" s="273"/>
      <c r="E444" s="227">
        <v>392231</v>
      </c>
      <c r="F444" s="286"/>
      <c r="G444" s="396" t="e">
        <f t="shared" si="10"/>
        <v>#REF!</v>
      </c>
    </row>
    <row r="445" spans="1:7" x14ac:dyDescent="0.25">
      <c r="A445" s="318" t="s">
        <v>555</v>
      </c>
      <c r="B445" s="498"/>
      <c r="C445" s="190"/>
      <c r="D445" s="272"/>
      <c r="E445" s="190"/>
      <c r="F445" s="288"/>
      <c r="G445" s="396">
        <f t="shared" si="10"/>
        <v>0</v>
      </c>
    </row>
    <row r="446" spans="1:7" x14ac:dyDescent="0.25">
      <c r="A446" s="226" t="s">
        <v>347</v>
      </c>
      <c r="B446" s="466"/>
      <c r="C446" s="71" t="e">
        <f>+#REF!</f>
        <v>#REF!</v>
      </c>
      <c r="D446" s="273"/>
      <c r="E446" s="227">
        <v>582200</v>
      </c>
      <c r="F446" s="286"/>
      <c r="G446" s="396" t="e">
        <f t="shared" si="10"/>
        <v>#REF!</v>
      </c>
    </row>
    <row r="447" spans="1:7" x14ac:dyDescent="0.25">
      <c r="A447" s="226" t="s">
        <v>349</v>
      </c>
      <c r="B447" s="466"/>
      <c r="C447" s="227" t="e">
        <f>+#REF!</f>
        <v>#REF!</v>
      </c>
      <c r="D447" s="273"/>
      <c r="E447" s="227">
        <v>1670300</v>
      </c>
      <c r="F447" s="286"/>
      <c r="G447" s="396" t="e">
        <f t="shared" si="10"/>
        <v>#REF!</v>
      </c>
    </row>
    <row r="448" spans="1:7" hidden="1" x14ac:dyDescent="0.25">
      <c r="A448" s="225" t="s">
        <v>556</v>
      </c>
      <c r="B448" s="498"/>
      <c r="C448" s="190"/>
      <c r="D448" s="272"/>
      <c r="E448" s="190"/>
      <c r="F448" s="288"/>
      <c r="G448" s="396">
        <f t="shared" si="10"/>
        <v>0</v>
      </c>
    </row>
    <row r="449" spans="1:7" hidden="1" x14ac:dyDescent="0.25">
      <c r="A449" s="226" t="s">
        <v>720</v>
      </c>
      <c r="B449" s="466"/>
      <c r="C449" s="65" t="e">
        <f>+#REF!</f>
        <v>#REF!</v>
      </c>
      <c r="D449" s="298"/>
      <c r="E449" s="65">
        <v>0</v>
      </c>
      <c r="F449" s="298"/>
      <c r="G449" s="396" t="e">
        <f t="shared" si="10"/>
        <v>#REF!</v>
      </c>
    </row>
    <row r="450" spans="1:7" x14ac:dyDescent="0.25">
      <c r="A450" s="318" t="s">
        <v>557</v>
      </c>
      <c r="B450" s="498"/>
      <c r="C450" s="190"/>
      <c r="D450" s="272"/>
      <c r="E450" s="190"/>
      <c r="F450" s="288"/>
      <c r="G450" s="396">
        <f t="shared" si="10"/>
        <v>0</v>
      </c>
    </row>
    <row r="451" spans="1:7" x14ac:dyDescent="0.25">
      <c r="A451" s="231" t="s">
        <v>621</v>
      </c>
      <c r="B451" s="498"/>
      <c r="C451" s="227" t="e">
        <f>+#REF!</f>
        <v>#REF!</v>
      </c>
      <c r="D451" s="273"/>
      <c r="E451" s="65">
        <v>166000</v>
      </c>
      <c r="F451" s="286"/>
      <c r="G451" s="396" t="e">
        <f t="shared" si="10"/>
        <v>#REF!</v>
      </c>
    </row>
    <row r="452" spans="1:7" x14ac:dyDescent="0.25">
      <c r="A452" s="231" t="s">
        <v>721</v>
      </c>
      <c r="B452" s="499"/>
      <c r="C452" s="223" t="e">
        <f>+#REF!</f>
        <v>#REF!</v>
      </c>
      <c r="D452" s="286"/>
      <c r="E452" s="223">
        <v>1761383</v>
      </c>
      <c r="F452" s="286"/>
      <c r="G452" s="396" t="e">
        <f t="shared" si="10"/>
        <v>#REF!</v>
      </c>
    </row>
    <row r="453" spans="1:7" ht="16.5" thickBot="1" x14ac:dyDescent="0.3">
      <c r="A453" s="316"/>
      <c r="B453" s="500"/>
      <c r="C453" s="230" t="e">
        <f>SUM(C419:C452)</f>
        <v>#REF!</v>
      </c>
      <c r="D453" s="287"/>
      <c r="E453" s="230">
        <f>SUM(E419:E452)</f>
        <v>345613569</v>
      </c>
      <c r="F453" s="436"/>
      <c r="G453" s="63"/>
    </row>
    <row r="454" spans="1:7" ht="16.5" thickTop="1" x14ac:dyDescent="0.25">
      <c r="E454" s="97"/>
      <c r="F454" s="262"/>
      <c r="G454" s="74"/>
    </row>
    <row r="455" spans="1:7" x14ac:dyDescent="0.25">
      <c r="A455" s="73" t="s">
        <v>560</v>
      </c>
      <c r="B455" s="481"/>
      <c r="F455" s="262"/>
    </row>
    <row r="456" spans="1:7" x14ac:dyDescent="0.25">
      <c r="A456" s="77"/>
      <c r="B456" s="480"/>
      <c r="C456" s="78">
        <v>2018</v>
      </c>
      <c r="D456" s="289"/>
      <c r="E456" s="78">
        <v>2017</v>
      </c>
      <c r="F456" s="296"/>
    </row>
    <row r="457" spans="1:7" x14ac:dyDescent="0.25">
      <c r="A457" s="225" t="s">
        <v>558</v>
      </c>
      <c r="B457" s="498"/>
      <c r="C457" s="225"/>
      <c r="D457" s="284"/>
      <c r="F457" s="437"/>
    </row>
    <row r="458" spans="1:7" x14ac:dyDescent="0.25">
      <c r="A458" s="226" t="s">
        <v>355</v>
      </c>
      <c r="B458" s="466"/>
      <c r="C458" s="71" t="e">
        <f>+#REF!</f>
        <v>#REF!</v>
      </c>
      <c r="D458" s="273"/>
      <c r="E458" s="227">
        <v>334000</v>
      </c>
      <c r="F458" s="286"/>
      <c r="G458" s="396" t="e">
        <f t="shared" ref="G458:G464" si="11">+C458-E458</f>
        <v>#REF!</v>
      </c>
    </row>
    <row r="459" spans="1:7" x14ac:dyDescent="0.25">
      <c r="A459" s="226" t="s">
        <v>357</v>
      </c>
      <c r="B459" s="466"/>
      <c r="C459" s="227" t="e">
        <f>+#REF!</f>
        <v>#REF!</v>
      </c>
      <c r="D459" s="273"/>
      <c r="E459" s="227">
        <v>45721946</v>
      </c>
      <c r="F459" s="286"/>
      <c r="G459" s="439" t="e">
        <f t="shared" si="11"/>
        <v>#REF!</v>
      </c>
    </row>
    <row r="460" spans="1:7" x14ac:dyDescent="0.25">
      <c r="A460" s="225" t="s">
        <v>559</v>
      </c>
      <c r="B460" s="498"/>
      <c r="C460" s="190"/>
      <c r="D460" s="272"/>
      <c r="E460" s="190"/>
      <c r="F460" s="288"/>
      <c r="G460" s="396">
        <f t="shared" si="11"/>
        <v>0</v>
      </c>
    </row>
    <row r="461" spans="1:7" x14ac:dyDescent="0.25">
      <c r="A461" s="226" t="s">
        <v>359</v>
      </c>
      <c r="B461" s="466"/>
      <c r="C461" s="227" t="e">
        <f>+#REF!</f>
        <v>#REF!</v>
      </c>
      <c r="D461" s="273"/>
      <c r="E461" s="227">
        <v>86399537</v>
      </c>
      <c r="F461" s="286"/>
      <c r="G461" s="439" t="e">
        <f t="shared" si="11"/>
        <v>#REF!</v>
      </c>
    </row>
    <row r="462" spans="1:7" x14ac:dyDescent="0.25">
      <c r="A462" s="226" t="s">
        <v>361</v>
      </c>
      <c r="B462" s="466"/>
      <c r="C462" s="227" t="e">
        <f>+#REF!</f>
        <v>#REF!</v>
      </c>
      <c r="D462" s="273"/>
      <c r="E462" s="227">
        <v>22034568</v>
      </c>
      <c r="F462" s="286"/>
      <c r="G462" s="396" t="e">
        <f t="shared" si="11"/>
        <v>#REF!</v>
      </c>
    </row>
    <row r="463" spans="1:7" x14ac:dyDescent="0.25">
      <c r="A463" s="226" t="s">
        <v>363</v>
      </c>
      <c r="B463" s="466"/>
      <c r="C463" s="227" t="e">
        <f>+#REF!</f>
        <v>#REF!</v>
      </c>
      <c r="D463" s="273"/>
      <c r="E463" s="227">
        <v>45716112</v>
      </c>
      <c r="F463" s="286"/>
      <c r="G463" s="396" t="e">
        <f t="shared" si="11"/>
        <v>#REF!</v>
      </c>
    </row>
    <row r="464" spans="1:7" x14ac:dyDescent="0.25">
      <c r="A464" s="231" t="s">
        <v>365</v>
      </c>
      <c r="B464" s="499"/>
      <c r="C464" s="227" t="e">
        <f>+#REF!</f>
        <v>#REF!</v>
      </c>
      <c r="D464" s="273"/>
      <c r="E464" s="223">
        <v>40581901</v>
      </c>
      <c r="F464" s="286"/>
      <c r="G464" s="439" t="e">
        <f t="shared" si="11"/>
        <v>#REF!</v>
      </c>
    </row>
    <row r="465" spans="1:7" ht="16.5" thickBot="1" x14ac:dyDescent="0.3">
      <c r="A465" s="239" t="s">
        <v>430</v>
      </c>
      <c r="B465" s="504"/>
      <c r="C465" s="230" t="e">
        <f>SUM(C458:C464)</f>
        <v>#REF!</v>
      </c>
      <c r="D465" s="287"/>
      <c r="E465" s="230">
        <f>SUM(E458:E464)</f>
        <v>240788064</v>
      </c>
      <c r="F465" s="436"/>
    </row>
    <row r="466" spans="1:7" ht="16.5" thickTop="1" x14ac:dyDescent="0.25">
      <c r="F466" s="262"/>
    </row>
    <row r="467" spans="1:7" x14ac:dyDescent="0.25">
      <c r="A467" s="73" t="s">
        <v>561</v>
      </c>
      <c r="B467" s="481"/>
      <c r="F467" s="262"/>
    </row>
    <row r="468" spans="1:7" x14ac:dyDescent="0.25">
      <c r="A468" s="77"/>
      <c r="B468" s="480"/>
      <c r="C468" s="78">
        <v>2018</v>
      </c>
      <c r="D468" s="289"/>
      <c r="E468" s="78">
        <v>2017</v>
      </c>
      <c r="F468" s="296"/>
    </row>
    <row r="469" spans="1:7" hidden="1" x14ac:dyDescent="0.25">
      <c r="A469" s="233" t="s">
        <v>722</v>
      </c>
      <c r="B469" s="499"/>
      <c r="C469" s="65" t="e">
        <f>+#REF!</f>
        <v>#REF!</v>
      </c>
      <c r="D469" s="298"/>
      <c r="E469" s="65">
        <v>0</v>
      </c>
      <c r="F469" s="298"/>
    </row>
    <row r="470" spans="1:7" x14ac:dyDescent="0.25">
      <c r="A470" s="235" t="s">
        <v>723</v>
      </c>
      <c r="B470" s="466"/>
      <c r="C470" s="227" t="e">
        <f>+#REF!</f>
        <v>#REF!</v>
      </c>
      <c r="D470" s="273"/>
      <c r="E470" s="227">
        <v>24567057</v>
      </c>
      <c r="F470" s="286"/>
      <c r="G470" s="439" t="e">
        <f t="shared" ref="G470:G475" si="12">+C470-E470</f>
        <v>#REF!</v>
      </c>
    </row>
    <row r="471" spans="1:7" x14ac:dyDescent="0.25">
      <c r="A471" s="235" t="s">
        <v>724</v>
      </c>
      <c r="B471" s="466"/>
      <c r="C471" s="227" t="e">
        <f>+#REF!</f>
        <v>#REF!</v>
      </c>
      <c r="D471" s="273"/>
      <c r="E471" s="227">
        <v>18396634</v>
      </c>
      <c r="F471" s="286"/>
      <c r="G471" s="439" t="e">
        <f t="shared" si="12"/>
        <v>#REF!</v>
      </c>
    </row>
    <row r="472" spans="1:7" x14ac:dyDescent="0.25">
      <c r="A472" s="235" t="s">
        <v>729</v>
      </c>
      <c r="B472" s="466"/>
      <c r="C472" s="227" t="e">
        <f>+#REF!</f>
        <v>#REF!</v>
      </c>
      <c r="D472" s="273"/>
      <c r="E472" s="227">
        <v>7872969</v>
      </c>
      <c r="F472" s="286"/>
      <c r="G472" s="396" t="e">
        <f t="shared" si="12"/>
        <v>#REF!</v>
      </c>
    </row>
    <row r="473" spans="1:7" x14ac:dyDescent="0.25">
      <c r="A473" s="235" t="s">
        <v>730</v>
      </c>
      <c r="B473" s="466"/>
      <c r="C473" s="227" t="e">
        <f>+#REF!</f>
        <v>#REF!</v>
      </c>
      <c r="D473" s="273"/>
      <c r="E473" s="227">
        <v>4394957</v>
      </c>
      <c r="F473" s="286"/>
      <c r="G473" s="396" t="e">
        <f t="shared" si="12"/>
        <v>#REF!</v>
      </c>
    </row>
    <row r="474" spans="1:7" x14ac:dyDescent="0.25">
      <c r="A474" s="234" t="s">
        <v>731</v>
      </c>
      <c r="B474" s="499"/>
      <c r="C474" s="71" t="e">
        <f>+#REF!</f>
        <v>#REF!</v>
      </c>
      <c r="D474" s="273"/>
      <c r="E474" s="223">
        <v>609750</v>
      </c>
      <c r="F474" s="286"/>
      <c r="G474" s="396" t="e">
        <f t="shared" si="12"/>
        <v>#REF!</v>
      </c>
    </row>
    <row r="475" spans="1:7" x14ac:dyDescent="0.25">
      <c r="A475" s="234" t="s">
        <v>725</v>
      </c>
      <c r="B475" s="499"/>
      <c r="C475" s="71" t="e">
        <f>+#REF!</f>
        <v>#REF!</v>
      </c>
      <c r="D475" s="273"/>
      <c r="E475" s="65">
        <v>30440</v>
      </c>
      <c r="F475" s="286"/>
      <c r="G475" s="396" t="e">
        <f t="shared" si="12"/>
        <v>#REF!</v>
      </c>
    </row>
    <row r="476" spans="1:7" ht="16.5" thickBot="1" x14ac:dyDescent="0.3">
      <c r="A476" s="236" t="s">
        <v>430</v>
      </c>
      <c r="B476" s="505"/>
      <c r="C476" s="230" t="e">
        <f>SUM(C469:C475)</f>
        <v>#REF!</v>
      </c>
      <c r="D476" s="287"/>
      <c r="E476" s="230">
        <f>SUM(E469:E475)</f>
        <v>55871807</v>
      </c>
      <c r="F476" s="436"/>
    </row>
    <row r="477" spans="1:7" ht="16.5" thickTop="1" x14ac:dyDescent="0.25">
      <c r="F477" s="262"/>
    </row>
    <row r="478" spans="1:7" x14ac:dyDescent="0.25">
      <c r="A478" s="61" t="s">
        <v>562</v>
      </c>
      <c r="B478" s="481"/>
      <c r="F478" s="262"/>
    </row>
    <row r="479" spans="1:7" x14ac:dyDescent="0.25">
      <c r="A479" s="77"/>
      <c r="B479" s="480"/>
      <c r="C479" s="78">
        <v>2018</v>
      </c>
      <c r="D479" s="289"/>
      <c r="E479" s="78">
        <v>2017</v>
      </c>
      <c r="F479" s="296"/>
    </row>
    <row r="480" spans="1:7" x14ac:dyDescent="0.25">
      <c r="A480" s="79" t="s">
        <v>726</v>
      </c>
      <c r="B480" s="482"/>
      <c r="C480" s="207" t="e">
        <f>+#REF!</f>
        <v>#REF!</v>
      </c>
      <c r="D480" s="279"/>
      <c r="E480" s="207">
        <v>587278</v>
      </c>
      <c r="F480" s="274"/>
      <c r="G480" s="396" t="e">
        <f t="shared" ref="G480:G482" si="13">+C480-E480</f>
        <v>#REF!</v>
      </c>
    </row>
    <row r="481" spans="1:7" x14ac:dyDescent="0.25">
      <c r="A481" s="79" t="s">
        <v>389</v>
      </c>
      <c r="B481" s="482"/>
      <c r="C481" s="207" t="e">
        <f>+#REF!</f>
        <v>#REF!</v>
      </c>
      <c r="D481" s="279"/>
      <c r="E481" s="207">
        <v>285225</v>
      </c>
      <c r="F481" s="274"/>
      <c r="G481" s="396" t="e">
        <f t="shared" si="13"/>
        <v>#REF!</v>
      </c>
    </row>
    <row r="482" spans="1:7" x14ac:dyDescent="0.25">
      <c r="A482" s="63" t="s">
        <v>391</v>
      </c>
      <c r="B482" s="473"/>
      <c r="C482" s="89" t="e">
        <f>+#REF!</f>
        <v>#REF!</v>
      </c>
      <c r="D482" s="274"/>
      <c r="E482" s="89">
        <v>3344295</v>
      </c>
      <c r="F482" s="274"/>
      <c r="G482" s="396" t="e">
        <f t="shared" si="13"/>
        <v>#REF!</v>
      </c>
    </row>
    <row r="483" spans="1:7" ht="16.5" thickBot="1" x14ac:dyDescent="0.3">
      <c r="A483" s="85" t="s">
        <v>430</v>
      </c>
      <c r="B483" s="463"/>
      <c r="C483" s="91" t="e">
        <f>SUM(C480:C482)</f>
        <v>#REF!</v>
      </c>
      <c r="D483" s="271"/>
      <c r="E483" s="91">
        <f>SUM(E480:E482)</f>
        <v>4216798</v>
      </c>
      <c r="F483" s="294"/>
    </row>
    <row r="484" spans="1:7" ht="16.5" thickTop="1" x14ac:dyDescent="0.25">
      <c r="F484" s="262"/>
    </row>
    <row r="485" spans="1:7" x14ac:dyDescent="0.25">
      <c r="A485" s="61" t="s">
        <v>407</v>
      </c>
      <c r="B485" s="481"/>
      <c r="F485" s="262"/>
    </row>
    <row r="486" spans="1:7" x14ac:dyDescent="0.25">
      <c r="A486" s="77"/>
      <c r="B486" s="480"/>
      <c r="C486" s="78">
        <v>2018</v>
      </c>
      <c r="D486" s="289"/>
      <c r="E486" s="78">
        <v>2017</v>
      </c>
      <c r="F486" s="296"/>
    </row>
    <row r="487" spans="1:7" x14ac:dyDescent="0.25">
      <c r="A487" s="191" t="s">
        <v>393</v>
      </c>
      <c r="B487" s="466"/>
      <c r="C487" s="227" t="e">
        <f>+#REF!</f>
        <v>#REF!</v>
      </c>
      <c r="D487" s="273"/>
      <c r="E487" s="227">
        <v>2332283</v>
      </c>
      <c r="F487" s="286"/>
      <c r="G487" s="396" t="e">
        <f t="shared" ref="G487:G494" si="14">+C487-E487</f>
        <v>#REF!</v>
      </c>
    </row>
    <row r="488" spans="1:7" x14ac:dyDescent="0.25">
      <c r="A488" s="191" t="s">
        <v>727</v>
      </c>
      <c r="B488" s="466"/>
      <c r="C488" s="227" t="e">
        <f>+#REF!</f>
        <v>#REF!</v>
      </c>
      <c r="D488" s="273"/>
      <c r="E488" s="227">
        <v>7429703</v>
      </c>
      <c r="F488" s="286"/>
      <c r="G488" s="439" t="e">
        <f t="shared" si="14"/>
        <v>#REF!</v>
      </c>
    </row>
    <row r="489" spans="1:7" x14ac:dyDescent="0.25">
      <c r="A489" s="191" t="s">
        <v>397</v>
      </c>
      <c r="B489" s="466"/>
      <c r="C489" s="227" t="e">
        <f>+#REF!</f>
        <v>#REF!</v>
      </c>
      <c r="D489" s="273"/>
      <c r="E489" s="227">
        <v>10749565</v>
      </c>
      <c r="F489" s="286"/>
      <c r="G489" s="439" t="e">
        <f t="shared" si="14"/>
        <v>#REF!</v>
      </c>
    </row>
    <row r="490" spans="1:7" x14ac:dyDescent="0.25">
      <c r="A490" s="191" t="s">
        <v>399</v>
      </c>
      <c r="B490" s="466"/>
      <c r="C490" s="227" t="e">
        <f>+#REF!</f>
        <v>#REF!</v>
      </c>
      <c r="D490" s="273"/>
      <c r="E490" s="227">
        <v>4047791</v>
      </c>
      <c r="F490" s="286"/>
      <c r="G490" s="439" t="e">
        <f t="shared" si="14"/>
        <v>#REF!</v>
      </c>
    </row>
    <row r="491" spans="1:7" x14ac:dyDescent="0.25">
      <c r="A491" s="191" t="s">
        <v>728</v>
      </c>
      <c r="B491" s="466"/>
      <c r="C491" s="227" t="e">
        <f>+#REF!</f>
        <v>#REF!</v>
      </c>
      <c r="D491" s="273"/>
      <c r="E491" s="227">
        <v>262140</v>
      </c>
      <c r="F491" s="286"/>
      <c r="G491" s="396" t="e">
        <f t="shared" si="14"/>
        <v>#REF!</v>
      </c>
    </row>
    <row r="492" spans="1:7" x14ac:dyDescent="0.25">
      <c r="A492" s="191" t="s">
        <v>403</v>
      </c>
      <c r="B492" s="466"/>
      <c r="C492" s="227" t="e">
        <f>+#REF!</f>
        <v>#REF!</v>
      </c>
      <c r="D492" s="273"/>
      <c r="E492" s="227">
        <v>163217</v>
      </c>
      <c r="F492" s="286"/>
      <c r="G492" s="396" t="e">
        <f t="shared" si="14"/>
        <v>#REF!</v>
      </c>
    </row>
    <row r="493" spans="1:7" x14ac:dyDescent="0.25">
      <c r="A493" s="191" t="s">
        <v>405</v>
      </c>
      <c r="B493" s="466"/>
      <c r="C493" s="227" t="e">
        <f>+#REF!</f>
        <v>#REF!</v>
      </c>
      <c r="D493" s="273"/>
      <c r="E493" s="227">
        <v>36709476</v>
      </c>
      <c r="F493" s="286"/>
      <c r="G493" s="439" t="e">
        <f t="shared" si="14"/>
        <v>#REF!</v>
      </c>
    </row>
    <row r="494" spans="1:7" x14ac:dyDescent="0.25">
      <c r="A494" s="237" t="s">
        <v>407</v>
      </c>
      <c r="B494" s="499"/>
      <c r="C494" s="227" t="e">
        <f>+#REF!</f>
        <v>#REF!</v>
      </c>
      <c r="D494" s="273"/>
      <c r="E494" s="223">
        <v>19463241</v>
      </c>
      <c r="F494" s="286"/>
      <c r="G494" s="439" t="e">
        <f t="shared" si="14"/>
        <v>#REF!</v>
      </c>
    </row>
    <row r="495" spans="1:7" ht="16.5" thickBot="1" x14ac:dyDescent="0.3">
      <c r="A495" s="193" t="s">
        <v>563</v>
      </c>
      <c r="B495" s="467"/>
      <c r="C495" s="230" t="e">
        <f>SUM(C487:C494)</f>
        <v>#REF!</v>
      </c>
      <c r="D495" s="287"/>
      <c r="E495" s="230">
        <f>SUM(E487:E494)</f>
        <v>81157416</v>
      </c>
      <c r="F495" s="436"/>
    </row>
    <row r="496" spans="1:7" ht="16.5" thickTop="1" x14ac:dyDescent="0.25">
      <c r="C496" s="97" t="e">
        <f>+C495+C483+C476+C465+C453</f>
        <v>#REF!</v>
      </c>
      <c r="E496" s="97">
        <f>+E495+E483+E476+E465+E453</f>
        <v>727647654</v>
      </c>
      <c r="F496" s="262"/>
    </row>
    <row r="497" spans="1:8" x14ac:dyDescent="0.25">
      <c r="C497" s="97" t="e">
        <f>+C496-#REF!</f>
        <v>#REF!</v>
      </c>
      <c r="E497" s="97" t="e">
        <f>+E496-#REF!</f>
        <v>#REF!</v>
      </c>
      <c r="F497" s="262"/>
    </row>
    <row r="498" spans="1:8" x14ac:dyDescent="0.25">
      <c r="F498" s="262"/>
    </row>
    <row r="499" spans="1:8" x14ac:dyDescent="0.25">
      <c r="A499" s="73" t="s">
        <v>434</v>
      </c>
      <c r="B499" s="481"/>
      <c r="F499" s="262"/>
    </row>
    <row r="500" spans="1:8" x14ac:dyDescent="0.25">
      <c r="A500" s="77"/>
      <c r="B500" s="480"/>
      <c r="C500" s="78">
        <v>2018</v>
      </c>
      <c r="D500" s="289"/>
      <c r="E500" s="78">
        <v>2017</v>
      </c>
      <c r="F500" s="296"/>
    </row>
    <row r="501" spans="1:8" x14ac:dyDescent="0.25">
      <c r="A501" s="191" t="s">
        <v>409</v>
      </c>
      <c r="B501" s="466"/>
      <c r="C501" s="227" t="e">
        <f>+#REF!</f>
        <v>#REF!</v>
      </c>
      <c r="D501" s="273"/>
      <c r="E501" s="227">
        <v>28831375</v>
      </c>
      <c r="F501" s="286"/>
      <c r="G501" s="396" t="e">
        <f t="shared" ref="G501:G502" si="15">+C501-E501</f>
        <v>#REF!</v>
      </c>
    </row>
    <row r="502" spans="1:8" x14ac:dyDescent="0.25">
      <c r="A502" s="237" t="s">
        <v>411</v>
      </c>
      <c r="B502" s="499"/>
      <c r="C502" s="223" t="e">
        <f>+#REF!</f>
        <v>#REF!</v>
      </c>
      <c r="D502" s="286"/>
      <c r="E502" s="223">
        <v>365495</v>
      </c>
      <c r="F502" s="286"/>
      <c r="G502" s="396" t="e">
        <f t="shared" si="15"/>
        <v>#REF!</v>
      </c>
    </row>
    <row r="503" spans="1:8" ht="16.5" thickBot="1" x14ac:dyDescent="0.3">
      <c r="A503" s="193" t="s">
        <v>430</v>
      </c>
      <c r="B503" s="467"/>
      <c r="C503" s="230" t="e">
        <f>SUM(C501:C502)</f>
        <v>#REF!</v>
      </c>
      <c r="D503" s="287"/>
      <c r="E503" s="230">
        <f>SUM(E501:E502)</f>
        <v>29196870</v>
      </c>
      <c r="F503" s="436"/>
    </row>
    <row r="504" spans="1:8" ht="16.5" thickTop="1" x14ac:dyDescent="0.25">
      <c r="C504" s="97" t="e">
        <f>+C503-#REF!</f>
        <v>#REF!</v>
      </c>
      <c r="E504" s="97" t="e">
        <f>+E503-#REF!</f>
        <v>#REF!</v>
      </c>
      <c r="F504" s="262"/>
    </row>
    <row r="505" spans="1:8" x14ac:dyDescent="0.25">
      <c r="F505" s="262"/>
    </row>
    <row r="506" spans="1:8" x14ac:dyDescent="0.25">
      <c r="A506" s="171" t="s">
        <v>435</v>
      </c>
      <c r="B506" s="450"/>
      <c r="F506" s="262"/>
    </row>
    <row r="507" spans="1:8" x14ac:dyDescent="0.25">
      <c r="A507" s="77"/>
      <c r="B507" s="480"/>
      <c r="C507" s="78">
        <v>2018</v>
      </c>
      <c r="D507" s="289"/>
      <c r="E507" s="78">
        <v>2017</v>
      </c>
      <c r="F507" s="296"/>
    </row>
    <row r="508" spans="1:8" x14ac:dyDescent="0.25">
      <c r="A508" s="321" t="s">
        <v>487</v>
      </c>
      <c r="B508" s="506"/>
      <c r="C508" s="238"/>
      <c r="D508" s="296"/>
      <c r="E508" s="238"/>
      <c r="F508" s="296"/>
    </row>
    <row r="509" spans="1:8" x14ac:dyDescent="0.25">
      <c r="A509" s="226" t="s">
        <v>439</v>
      </c>
      <c r="B509" s="466"/>
      <c r="C509" s="227" t="e">
        <f>+#REF!</f>
        <v>#REF!</v>
      </c>
      <c r="D509" s="273"/>
      <c r="E509" s="227">
        <v>20800023</v>
      </c>
      <c r="F509" s="286"/>
    </row>
    <row r="510" spans="1:8" x14ac:dyDescent="0.25">
      <c r="A510" s="226" t="s">
        <v>65</v>
      </c>
      <c r="B510" s="466"/>
      <c r="C510" s="227" t="e">
        <f>+#REF!</f>
        <v>#REF!</v>
      </c>
      <c r="D510" s="273"/>
      <c r="E510" s="227">
        <v>9712759</v>
      </c>
      <c r="F510" s="286"/>
      <c r="H510" s="97">
        <v>20810749</v>
      </c>
    </row>
    <row r="511" spans="1:8" x14ac:dyDescent="0.25">
      <c r="A511" s="226" t="s">
        <v>568</v>
      </c>
      <c r="B511" s="466"/>
      <c r="C511" s="247" t="e">
        <f>+#REF!</f>
        <v>#REF!</v>
      </c>
      <c r="D511" s="273"/>
      <c r="E511" s="227">
        <v>6235857</v>
      </c>
      <c r="F511" s="286"/>
    </row>
    <row r="512" spans="1:8" x14ac:dyDescent="0.25">
      <c r="A512" s="226" t="s">
        <v>616</v>
      </c>
      <c r="B512" s="466"/>
      <c r="C512" s="227" t="e">
        <f>+#REF!</f>
        <v>#REF!</v>
      </c>
      <c r="D512" s="273"/>
      <c r="E512" s="227">
        <v>45389847</v>
      </c>
      <c r="F512" s="286"/>
    </row>
    <row r="513" spans="1:7" x14ac:dyDescent="0.25">
      <c r="A513" s="226" t="s">
        <v>617</v>
      </c>
      <c r="B513" s="466"/>
      <c r="C513" s="227" t="e">
        <f>+#REF!</f>
        <v>#REF!</v>
      </c>
      <c r="D513" s="273"/>
      <c r="E513" s="227">
        <v>85309741</v>
      </c>
      <c r="F513" s="286"/>
    </row>
    <row r="514" spans="1:7" x14ac:dyDescent="0.25">
      <c r="A514" s="226" t="s">
        <v>570</v>
      </c>
      <c r="B514" s="466"/>
      <c r="C514" s="227" t="e">
        <f>+#REF!</f>
        <v>#REF!</v>
      </c>
      <c r="D514" s="273"/>
      <c r="E514" s="227">
        <v>7268337</v>
      </c>
      <c r="F514" s="286"/>
    </row>
    <row r="515" spans="1:7" x14ac:dyDescent="0.25">
      <c r="A515" s="226" t="s">
        <v>569</v>
      </c>
      <c r="B515" s="466"/>
      <c r="C515" s="227" t="e">
        <f>+#REF!</f>
        <v>#REF!</v>
      </c>
      <c r="D515" s="273"/>
      <c r="E515" s="227">
        <v>9761817</v>
      </c>
      <c r="F515" s="286"/>
    </row>
    <row r="516" spans="1:7" x14ac:dyDescent="0.25">
      <c r="A516" s="226" t="s">
        <v>618</v>
      </c>
      <c r="B516" s="466"/>
      <c r="C516" s="227" t="e">
        <f>+#REF!</f>
        <v>#REF!</v>
      </c>
      <c r="D516" s="273"/>
      <c r="E516" s="227">
        <v>6203020</v>
      </c>
      <c r="F516" s="286"/>
    </row>
    <row r="517" spans="1:7" x14ac:dyDescent="0.25">
      <c r="A517" s="322" t="s">
        <v>572</v>
      </c>
      <c r="B517" s="466"/>
      <c r="C517" s="227"/>
      <c r="D517" s="273"/>
      <c r="E517" s="227"/>
      <c r="F517" s="286"/>
    </row>
    <row r="518" spans="1:7" x14ac:dyDescent="0.25">
      <c r="A518" s="226" t="s">
        <v>564</v>
      </c>
      <c r="B518" s="499"/>
      <c r="C518" s="227" t="e">
        <f>+#REF!</f>
        <v>#REF!</v>
      </c>
      <c r="D518" s="273"/>
      <c r="E518" s="223">
        <v>17249373</v>
      </c>
      <c r="F518" s="286"/>
    </row>
    <row r="519" spans="1:7" ht="16.5" thickBot="1" x14ac:dyDescent="0.3">
      <c r="A519" s="193" t="s">
        <v>430</v>
      </c>
      <c r="B519" s="467"/>
      <c r="C519" s="230" t="e">
        <f>SUM(C509:C518)</f>
        <v>#REF!</v>
      </c>
      <c r="D519" s="287"/>
      <c r="E519" s="230">
        <f>SUM(E509:E518)</f>
        <v>207930774</v>
      </c>
      <c r="F519" s="436"/>
    </row>
    <row r="520" spans="1:7" ht="16.5" thickTop="1" x14ac:dyDescent="0.25">
      <c r="C520" s="97" t="e">
        <f>+C519-#REF!</f>
        <v>#REF!</v>
      </c>
      <c r="E520" s="97" t="e">
        <f>+E519-#REF!</f>
        <v>#REF!</v>
      </c>
      <c r="F520" s="262"/>
    </row>
    <row r="521" spans="1:7" x14ac:dyDescent="0.25">
      <c r="F521" s="262"/>
    </row>
    <row r="522" spans="1:7" x14ac:dyDescent="0.25">
      <c r="A522" s="171" t="s">
        <v>703</v>
      </c>
      <c r="B522" s="450"/>
      <c r="F522" s="262"/>
    </row>
    <row r="523" spans="1:7" x14ac:dyDescent="0.25">
      <c r="A523" s="77"/>
      <c r="B523" s="480"/>
      <c r="C523" s="78">
        <v>2018</v>
      </c>
      <c r="D523" s="289"/>
      <c r="E523" s="78">
        <v>2017</v>
      </c>
      <c r="F523" s="296"/>
    </row>
    <row r="524" spans="1:7" x14ac:dyDescent="0.25">
      <c r="A524" s="321" t="s">
        <v>619</v>
      </c>
      <c r="B524" s="506"/>
      <c r="C524" s="238"/>
      <c r="D524" s="296"/>
      <c r="E524" s="238"/>
      <c r="F524" s="296"/>
    </row>
    <row r="525" spans="1:7" x14ac:dyDescent="0.25">
      <c r="A525" s="226" t="s">
        <v>379</v>
      </c>
      <c r="B525" s="466"/>
      <c r="C525" s="227" t="e">
        <f>+#REF!</f>
        <v>#REF!</v>
      </c>
      <c r="D525" s="273"/>
      <c r="E525" s="227">
        <v>45953000</v>
      </c>
      <c r="F525" s="286"/>
      <c r="G525" s="439" t="e">
        <f t="shared" ref="G525:G527" si="16">+C525-E525</f>
        <v>#REF!</v>
      </c>
    </row>
    <row r="526" spans="1:7" x14ac:dyDescent="0.25">
      <c r="A526" s="226" t="s">
        <v>381</v>
      </c>
      <c r="B526" s="466"/>
      <c r="C526" s="227" t="e">
        <f>+#REF!</f>
        <v>#REF!</v>
      </c>
      <c r="D526" s="273"/>
      <c r="E526" s="65">
        <v>210000</v>
      </c>
      <c r="F526" s="286"/>
      <c r="G526" s="396" t="e">
        <f t="shared" si="16"/>
        <v>#REF!</v>
      </c>
    </row>
    <row r="527" spans="1:7" x14ac:dyDescent="0.25">
      <c r="A527" s="226" t="s">
        <v>594</v>
      </c>
      <c r="B527" s="466"/>
      <c r="C527" s="65" t="e">
        <f>SUM(#REF!)</f>
        <v>#REF!</v>
      </c>
      <c r="D527" s="298"/>
      <c r="E527" s="227">
        <v>3324523</v>
      </c>
      <c r="F527" s="298"/>
      <c r="G527" s="228" t="e">
        <f t="shared" si="16"/>
        <v>#REF!</v>
      </c>
    </row>
    <row r="528" spans="1:7" x14ac:dyDescent="0.25">
      <c r="A528" s="318" t="s">
        <v>620</v>
      </c>
      <c r="B528" s="466"/>
      <c r="C528" s="65"/>
      <c r="D528" s="298"/>
      <c r="E528" s="227"/>
      <c r="F528" s="298"/>
    </row>
    <row r="529" spans="1:26" x14ac:dyDescent="0.25">
      <c r="A529" s="226" t="s">
        <v>582</v>
      </c>
      <c r="B529" s="466"/>
      <c r="C529" s="65" t="e">
        <f>+#REF!</f>
        <v>#REF!</v>
      </c>
      <c r="D529" s="298"/>
      <c r="E529" s="227">
        <v>30951727</v>
      </c>
      <c r="F529" s="298"/>
      <c r="G529" s="228" t="e">
        <f t="shared" ref="G529" si="17">+C529-E529</f>
        <v>#REF!</v>
      </c>
    </row>
    <row r="530" spans="1:26" ht="16.5" thickBot="1" x14ac:dyDescent="0.3">
      <c r="A530" s="239"/>
      <c r="B530" s="504"/>
      <c r="C530" s="194" t="e">
        <f>SUM(C525:C529)</f>
        <v>#REF!</v>
      </c>
      <c r="D530" s="291"/>
      <c r="E530" s="194">
        <f>SUM(E525:E529)</f>
        <v>80439250</v>
      </c>
      <c r="F530" s="384"/>
    </row>
    <row r="531" spans="1:26" ht="16.5" thickTop="1" x14ac:dyDescent="0.25">
      <c r="A531" s="240" t="s">
        <v>430</v>
      </c>
      <c r="B531" s="507"/>
      <c r="C531" s="97" t="e">
        <f>+C530+#REF!</f>
        <v>#REF!</v>
      </c>
      <c r="E531" s="97" t="e">
        <f>+E530+#REF!</f>
        <v>#REF!</v>
      </c>
    </row>
    <row r="532" spans="1:26" s="74" customFormat="1" x14ac:dyDescent="0.25">
      <c r="B532" s="453"/>
      <c r="C532" s="94"/>
      <c r="D532" s="262"/>
      <c r="F532" s="262"/>
      <c r="U532" s="341"/>
      <c r="V532" s="199"/>
      <c r="W532" s="199"/>
      <c r="X532" s="199"/>
      <c r="Y532" s="199"/>
      <c r="Z532" s="199"/>
    </row>
  </sheetData>
  <sortState xmlns:xlrd2="http://schemas.microsoft.com/office/spreadsheetml/2017/richdata2" ref="A263:AA273">
    <sortCondition descending="1" ref="C263:C273"/>
  </sortState>
  <pageMargins left="0" right="0" top="0.74803149606299213" bottom="0.74803149606299213" header="0.31496062992125984" footer="0.31496062992125984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W33"/>
  <sheetViews>
    <sheetView workbookViewId="0">
      <selection activeCell="G478" sqref="G478"/>
    </sheetView>
  </sheetViews>
  <sheetFormatPr defaultRowHeight="12.75" x14ac:dyDescent="0.2"/>
  <cols>
    <col min="1" max="1" width="15.85546875" customWidth="1"/>
    <col min="2" max="2" width="19.42578125" customWidth="1"/>
    <col min="3" max="3" width="10.42578125" customWidth="1"/>
    <col min="4" max="4" width="16.42578125" customWidth="1"/>
    <col min="5" max="5" width="18.7109375" bestFit="1" customWidth="1"/>
    <col min="6" max="6" width="13.28515625" customWidth="1"/>
    <col min="7" max="7" width="14.42578125" bestFit="1" customWidth="1"/>
    <col min="8" max="8" width="14.7109375" bestFit="1" customWidth="1"/>
    <col min="9" max="9" width="14.42578125" bestFit="1" customWidth="1"/>
    <col min="11" max="11" width="12.7109375" bestFit="1" customWidth="1"/>
    <col min="12" max="12" width="2.28515625" bestFit="1" customWidth="1"/>
    <col min="13" max="13" width="14.140625" customWidth="1"/>
    <col min="14" max="14" width="2.85546875" bestFit="1" customWidth="1"/>
    <col min="15" max="15" width="14.140625" customWidth="1"/>
    <col min="16" max="16" width="1.7109375" customWidth="1"/>
    <col min="17" max="17" width="12.7109375" bestFit="1" customWidth="1"/>
    <col min="18" max="18" width="2.28515625" bestFit="1" customWidth="1"/>
    <col min="19" max="19" width="16.7109375" customWidth="1"/>
    <col min="20" max="20" width="2.28515625" bestFit="1" customWidth="1"/>
    <col min="21" max="21" width="17.7109375" customWidth="1"/>
    <col min="22" max="23" width="9.7109375" bestFit="1" customWidth="1"/>
  </cols>
  <sheetData>
    <row r="1" spans="1:23" ht="63" x14ac:dyDescent="0.2">
      <c r="A1" s="211" t="s">
        <v>494</v>
      </c>
      <c r="B1" s="211" t="s">
        <v>495</v>
      </c>
      <c r="C1" s="211" t="s">
        <v>739</v>
      </c>
      <c r="D1" s="357" t="s">
        <v>745</v>
      </c>
      <c r="E1" s="357" t="s">
        <v>744</v>
      </c>
      <c r="F1" s="357" t="s">
        <v>681</v>
      </c>
      <c r="G1" s="357" t="s">
        <v>502</v>
      </c>
      <c r="H1" s="357" t="s">
        <v>513</v>
      </c>
      <c r="I1" s="357" t="s">
        <v>803</v>
      </c>
      <c r="K1" s="389" t="s">
        <v>761</v>
      </c>
      <c r="L1" s="389"/>
      <c r="M1" s="389" t="s">
        <v>762</v>
      </c>
      <c r="N1" s="389"/>
      <c r="O1" s="389" t="s">
        <v>763</v>
      </c>
      <c r="Q1" s="394" t="s">
        <v>761</v>
      </c>
      <c r="R1" s="394"/>
      <c r="S1" s="394" t="s">
        <v>762</v>
      </c>
      <c r="T1" s="394"/>
      <c r="U1" s="394" t="s">
        <v>763</v>
      </c>
    </row>
    <row r="2" spans="1:23" ht="15.75" x14ac:dyDescent="0.2">
      <c r="A2" s="359" t="s">
        <v>496</v>
      </c>
      <c r="B2" s="190" t="s">
        <v>497</v>
      </c>
      <c r="C2" s="359">
        <v>15</v>
      </c>
      <c r="D2" s="409">
        <v>514004000</v>
      </c>
      <c r="E2" s="360">
        <v>287120710</v>
      </c>
      <c r="F2" s="360"/>
      <c r="G2" s="360">
        <v>266486147</v>
      </c>
      <c r="H2" s="360">
        <f>D2-G2</f>
        <v>247517853</v>
      </c>
      <c r="I2" s="360">
        <v>266486147</v>
      </c>
      <c r="Q2" s="206">
        <v>2018</v>
      </c>
      <c r="R2" s="395" t="s">
        <v>450</v>
      </c>
      <c r="S2" s="396">
        <v>2956997</v>
      </c>
      <c r="T2" s="395" t="s">
        <v>450</v>
      </c>
      <c r="U2" s="396">
        <v>1568701</v>
      </c>
    </row>
    <row r="3" spans="1:23" ht="15.75" x14ac:dyDescent="0.2">
      <c r="A3" s="208">
        <v>41190</v>
      </c>
      <c r="B3" s="79" t="s">
        <v>498</v>
      </c>
      <c r="C3" s="206">
        <v>10</v>
      </c>
      <c r="D3" s="410">
        <v>76663000</v>
      </c>
      <c r="E3" s="81">
        <v>38331500</v>
      </c>
      <c r="F3" s="81"/>
      <c r="G3" s="81">
        <v>45997800</v>
      </c>
      <c r="H3" s="360">
        <f t="shared" ref="H3:H8" si="0">D3-G3</f>
        <v>30665200</v>
      </c>
      <c r="I3" s="81">
        <v>45997800</v>
      </c>
      <c r="K3" s="388">
        <v>2017</v>
      </c>
      <c r="L3" s="253" t="s">
        <v>450</v>
      </c>
      <c r="M3" s="247">
        <v>637772</v>
      </c>
      <c r="N3" s="253" t="s">
        <v>764</v>
      </c>
      <c r="O3" s="247">
        <v>396864</v>
      </c>
      <c r="Q3" s="206">
        <v>2017</v>
      </c>
      <c r="R3" s="107"/>
      <c r="S3" s="396">
        <v>8265454</v>
      </c>
      <c r="T3" s="107"/>
      <c r="U3" s="396">
        <v>4988836</v>
      </c>
      <c r="V3" s="393">
        <f t="shared" ref="V3:V10" si="1">+S3-M3</f>
        <v>7627682</v>
      </c>
      <c r="W3" s="393">
        <f t="shared" ref="W3:W10" si="2">+U3-O3</f>
        <v>4591972</v>
      </c>
    </row>
    <row r="4" spans="1:23" ht="15.75" x14ac:dyDescent="0.25">
      <c r="A4" s="208">
        <v>41190</v>
      </c>
      <c r="B4" s="79" t="s">
        <v>499</v>
      </c>
      <c r="C4" s="206">
        <v>10</v>
      </c>
      <c r="D4" s="410">
        <v>47138000</v>
      </c>
      <c r="E4" s="81">
        <v>23569000</v>
      </c>
      <c r="F4" s="81"/>
      <c r="G4" s="81">
        <v>28282800</v>
      </c>
      <c r="H4" s="360">
        <f t="shared" si="0"/>
        <v>18855200</v>
      </c>
      <c r="I4" s="81">
        <v>28282800</v>
      </c>
      <c r="K4" s="388">
        <v>2016</v>
      </c>
      <c r="L4" s="387"/>
      <c r="M4" s="247">
        <v>8631957</v>
      </c>
      <c r="N4" s="387"/>
      <c r="O4" s="247">
        <v>4865020</v>
      </c>
      <c r="Q4" s="206">
        <v>2016</v>
      </c>
      <c r="R4" s="387"/>
      <c r="S4" s="396">
        <v>2837457</v>
      </c>
      <c r="T4" s="387"/>
      <c r="U4" s="396">
        <v>1769385</v>
      </c>
      <c r="V4" s="160">
        <f t="shared" si="1"/>
        <v>-5794500</v>
      </c>
      <c r="W4" s="160">
        <f t="shared" si="2"/>
        <v>-3095635</v>
      </c>
    </row>
    <row r="5" spans="1:23" ht="15.75" x14ac:dyDescent="0.25">
      <c r="A5" s="208">
        <v>41281</v>
      </c>
      <c r="B5" s="79" t="s">
        <v>500</v>
      </c>
      <c r="C5" s="206">
        <v>10</v>
      </c>
      <c r="D5" s="410">
        <v>23220000</v>
      </c>
      <c r="E5" s="81">
        <v>11907692</v>
      </c>
      <c r="F5" s="81"/>
      <c r="G5" s="81">
        <v>13693846</v>
      </c>
      <c r="H5" s="360">
        <f t="shared" si="0"/>
        <v>9526154</v>
      </c>
      <c r="I5" s="81">
        <v>13693846</v>
      </c>
      <c r="K5" s="388">
        <v>2015</v>
      </c>
      <c r="L5" s="387"/>
      <c r="M5" s="247">
        <v>3873629</v>
      </c>
      <c r="N5" s="387"/>
      <c r="O5" s="247">
        <v>2425537</v>
      </c>
      <c r="Q5" s="206">
        <v>2015</v>
      </c>
      <c r="R5" s="387"/>
      <c r="S5" s="396">
        <v>3394364</v>
      </c>
      <c r="T5" s="387"/>
      <c r="U5" s="396">
        <v>2138009</v>
      </c>
      <c r="V5" s="160">
        <f t="shared" si="1"/>
        <v>-479265</v>
      </c>
      <c r="W5" s="160">
        <f t="shared" si="2"/>
        <v>-287528</v>
      </c>
    </row>
    <row r="6" spans="1:23" ht="15.75" x14ac:dyDescent="0.25">
      <c r="A6" s="208">
        <v>41305</v>
      </c>
      <c r="B6" s="79" t="s">
        <v>501</v>
      </c>
      <c r="C6" s="206">
        <v>10</v>
      </c>
      <c r="D6" s="413">
        <v>43836000</v>
      </c>
      <c r="E6" s="81">
        <v>23013900</v>
      </c>
      <c r="F6" s="81"/>
      <c r="G6" s="81">
        <v>25205700</v>
      </c>
      <c r="H6" s="360">
        <f t="shared" si="0"/>
        <v>18630300</v>
      </c>
      <c r="I6" s="81">
        <v>25205700</v>
      </c>
      <c r="K6" s="388">
        <v>2014</v>
      </c>
      <c r="L6" s="387"/>
      <c r="M6" s="247">
        <v>8248756</v>
      </c>
      <c r="N6" s="387"/>
      <c r="O6" s="247">
        <v>5308599</v>
      </c>
      <c r="Q6" s="206">
        <v>2014</v>
      </c>
      <c r="R6" s="387"/>
      <c r="S6" s="396">
        <v>8884217</v>
      </c>
      <c r="T6" s="387"/>
      <c r="U6" s="396">
        <v>5738745</v>
      </c>
      <c r="V6" s="393">
        <f t="shared" si="1"/>
        <v>635461</v>
      </c>
      <c r="W6" s="393">
        <f t="shared" si="2"/>
        <v>430146</v>
      </c>
    </row>
    <row r="7" spans="1:23" ht="15.75" x14ac:dyDescent="0.25">
      <c r="A7" s="208">
        <v>42942</v>
      </c>
      <c r="B7" s="79" t="s">
        <v>678</v>
      </c>
      <c r="C7" s="206">
        <v>5</v>
      </c>
      <c r="D7" s="412">
        <v>15750900</v>
      </c>
      <c r="E7" s="81">
        <v>14963355</v>
      </c>
      <c r="F7" s="81"/>
      <c r="G7" s="81">
        <v>3937725</v>
      </c>
      <c r="H7" s="360">
        <f t="shared" si="0"/>
        <v>11813175</v>
      </c>
      <c r="I7" s="81">
        <v>3937725</v>
      </c>
      <c r="K7" s="388">
        <v>2013</v>
      </c>
      <c r="L7" s="387"/>
      <c r="M7" s="247">
        <v>3100624</v>
      </c>
      <c r="N7" s="387"/>
      <c r="O7" s="247">
        <v>1923784</v>
      </c>
      <c r="Q7" s="206">
        <v>2013</v>
      </c>
      <c r="R7" s="387"/>
      <c r="S7" s="396">
        <v>2674442</v>
      </c>
      <c r="T7" s="387"/>
      <c r="U7" s="396">
        <v>1679465</v>
      </c>
      <c r="V7" s="160">
        <f t="shared" si="1"/>
        <v>-426182</v>
      </c>
      <c r="W7" s="160">
        <f t="shared" si="2"/>
        <v>-244319</v>
      </c>
    </row>
    <row r="8" spans="1:23" ht="15.75" x14ac:dyDescent="0.25">
      <c r="A8" s="208">
        <v>42942</v>
      </c>
      <c r="B8" s="79" t="s">
        <v>679</v>
      </c>
      <c r="C8" s="206">
        <v>10</v>
      </c>
      <c r="D8" s="81">
        <v>44941157</v>
      </c>
      <c r="E8" s="81">
        <v>44941157</v>
      </c>
      <c r="F8" s="81"/>
      <c r="G8" s="81">
        <v>0</v>
      </c>
      <c r="H8" s="360">
        <f t="shared" si="0"/>
        <v>44941157</v>
      </c>
      <c r="I8" s="81">
        <v>0</v>
      </c>
      <c r="K8" s="388">
        <v>2012</v>
      </c>
      <c r="L8" s="387"/>
      <c r="M8" s="247">
        <v>3851199</v>
      </c>
      <c r="N8" s="387"/>
      <c r="O8" s="247">
        <v>2235709</v>
      </c>
      <c r="Q8" s="206">
        <v>2012</v>
      </c>
      <c r="R8" s="387"/>
      <c r="S8" s="396">
        <v>3827933</v>
      </c>
      <c r="T8" s="387"/>
      <c r="U8" s="396">
        <v>2183856</v>
      </c>
      <c r="V8" s="160">
        <f t="shared" si="1"/>
        <v>-23266</v>
      </c>
      <c r="W8" s="160">
        <f t="shared" si="2"/>
        <v>-51853</v>
      </c>
    </row>
    <row r="9" spans="1:23" ht="15.75" x14ac:dyDescent="0.25">
      <c r="A9" s="210">
        <v>42942</v>
      </c>
      <c r="B9" s="63" t="s">
        <v>678</v>
      </c>
      <c r="C9" s="342">
        <v>10</v>
      </c>
      <c r="D9" s="71">
        <v>2045827</v>
      </c>
      <c r="E9" s="71">
        <v>1994681</v>
      </c>
      <c r="F9" s="71"/>
      <c r="G9" s="71">
        <v>255729</v>
      </c>
      <c r="H9" s="360">
        <f>D9-G9</f>
        <v>1790098</v>
      </c>
      <c r="I9" s="71">
        <v>255729</v>
      </c>
      <c r="K9" s="388">
        <v>2011</v>
      </c>
      <c r="L9" s="387"/>
      <c r="M9" s="247">
        <v>3470931</v>
      </c>
      <c r="N9" s="387"/>
      <c r="O9" s="247">
        <v>2086789</v>
      </c>
      <c r="Q9" s="206">
        <v>2011</v>
      </c>
      <c r="R9" s="387"/>
      <c r="S9" s="396">
        <v>3196650</v>
      </c>
      <c r="T9" s="387"/>
      <c r="U9" s="396">
        <v>1912523</v>
      </c>
      <c r="V9" s="160">
        <f t="shared" si="1"/>
        <v>-274281</v>
      </c>
      <c r="W9" s="160">
        <f t="shared" si="2"/>
        <v>-174266</v>
      </c>
    </row>
    <row r="10" spans="1:23" ht="15.75" x14ac:dyDescent="0.25">
      <c r="A10" s="210">
        <v>43377</v>
      </c>
      <c r="B10" s="63" t="s">
        <v>756</v>
      </c>
      <c r="C10" s="342"/>
      <c r="D10" s="71">
        <v>77573890</v>
      </c>
      <c r="E10" s="71">
        <v>0</v>
      </c>
      <c r="F10" s="71">
        <v>77573890</v>
      </c>
      <c r="G10" s="71">
        <v>0</v>
      </c>
      <c r="H10" s="360">
        <f>+F10-G10</f>
        <v>77573890</v>
      </c>
      <c r="I10" s="71">
        <v>0</v>
      </c>
      <c r="K10" s="388">
        <v>2010</v>
      </c>
      <c r="L10" s="387"/>
      <c r="M10" s="247">
        <v>3915947</v>
      </c>
      <c r="N10" s="387"/>
      <c r="O10" s="247">
        <v>2338873</v>
      </c>
      <c r="Q10" s="206">
        <v>2010</v>
      </c>
      <c r="R10" s="387"/>
      <c r="S10" s="396">
        <v>3901173</v>
      </c>
      <c r="T10" s="387"/>
      <c r="U10" s="396">
        <v>2317457</v>
      </c>
      <c r="V10" s="160">
        <f t="shared" si="1"/>
        <v>-14774</v>
      </c>
      <c r="W10" s="160">
        <f t="shared" si="2"/>
        <v>-21416</v>
      </c>
    </row>
    <row r="11" spans="1:23" ht="15.75" x14ac:dyDescent="0.25">
      <c r="A11" s="210"/>
      <c r="B11" s="63"/>
      <c r="C11" s="342"/>
      <c r="D11" s="71"/>
      <c r="E11" s="71"/>
      <c r="F11" s="71"/>
      <c r="G11" s="212"/>
      <c r="H11" s="71"/>
      <c r="I11" s="212"/>
      <c r="K11" s="388">
        <v>2009</v>
      </c>
      <c r="L11" s="387"/>
      <c r="M11" s="247">
        <v>5349869</v>
      </c>
      <c r="N11" s="387"/>
      <c r="O11" s="247">
        <v>2820675</v>
      </c>
      <c r="Q11" s="206">
        <v>2009</v>
      </c>
      <c r="R11" s="387"/>
      <c r="S11" s="396">
        <v>1971448</v>
      </c>
      <c r="T11" s="387"/>
      <c r="U11" s="396">
        <v>1096341</v>
      </c>
      <c r="V11" s="160">
        <f>+S11-M11</f>
        <v>-3378421</v>
      </c>
      <c r="W11" s="160">
        <f>+U11-O11</f>
        <v>-1724334</v>
      </c>
    </row>
    <row r="12" spans="1:23" ht="15.75" x14ac:dyDescent="0.25">
      <c r="A12" s="215" t="s">
        <v>485</v>
      </c>
      <c r="B12" s="378"/>
      <c r="C12" s="379"/>
      <c r="D12" s="380">
        <f>SUM(D2:D11)</f>
        <v>845172774</v>
      </c>
      <c r="E12" s="380">
        <f>SUM(E2:E11)</f>
        <v>445841995</v>
      </c>
      <c r="F12" s="380">
        <f t="shared" ref="F12" si="3">SUM(F2:F11)</f>
        <v>77573890</v>
      </c>
      <c r="G12" s="380">
        <f>SUM(G2:G11)</f>
        <v>383859747</v>
      </c>
      <c r="H12" s="380">
        <f>SUM(H2:H11)</f>
        <v>461313027</v>
      </c>
      <c r="I12" s="380">
        <f>SUM(I2:I11)</f>
        <v>383859747</v>
      </c>
      <c r="J12" s="358"/>
      <c r="K12" s="388">
        <v>2008</v>
      </c>
      <c r="L12" s="387"/>
      <c r="M12" s="247">
        <v>1726297</v>
      </c>
      <c r="N12" s="387"/>
      <c r="O12" s="247">
        <v>958281</v>
      </c>
      <c r="Q12" s="79" t="s">
        <v>766</v>
      </c>
      <c r="R12" s="387"/>
      <c r="S12" s="396">
        <v>55997326</v>
      </c>
      <c r="T12" s="387"/>
      <c r="U12" s="396">
        <v>31859827</v>
      </c>
    </row>
    <row r="13" spans="1:23" ht="16.5" thickBot="1" x14ac:dyDescent="0.3">
      <c r="A13" s="592" t="s">
        <v>592</v>
      </c>
      <c r="B13" s="592"/>
      <c r="C13" s="343"/>
      <c r="D13" s="313"/>
      <c r="E13" s="126">
        <v>59586786</v>
      </c>
      <c r="F13" s="126">
        <v>0</v>
      </c>
      <c r="G13" s="126">
        <v>0</v>
      </c>
      <c r="H13" s="126">
        <v>62102858</v>
      </c>
      <c r="I13" s="126">
        <v>0</v>
      </c>
      <c r="J13" s="401"/>
      <c r="K13" s="388" t="s">
        <v>765</v>
      </c>
      <c r="L13" s="387"/>
      <c r="M13" s="247">
        <v>41279824</v>
      </c>
      <c r="N13" s="387"/>
      <c r="O13" s="247">
        <v>23482332</v>
      </c>
      <c r="Q13" s="85"/>
      <c r="R13" s="397" t="s">
        <v>450</v>
      </c>
      <c r="S13" s="398">
        <f>SUM(S2:S12)</f>
        <v>97907461</v>
      </c>
      <c r="T13" s="397" t="s">
        <v>450</v>
      </c>
      <c r="U13" s="398">
        <f>SUM(U2:U12)</f>
        <v>57253145</v>
      </c>
    </row>
    <row r="14" spans="1:23" ht="17.25" thickTop="1" thickBot="1" x14ac:dyDescent="0.25">
      <c r="A14" s="374"/>
      <c r="B14" s="374"/>
      <c r="C14" s="375"/>
      <c r="D14" s="376"/>
      <c r="E14" s="377">
        <f>+E12-E13</f>
        <v>386255209</v>
      </c>
      <c r="F14" s="377">
        <f>+F12-F13</f>
        <v>77573890</v>
      </c>
      <c r="G14" s="377">
        <f>+G12-G13</f>
        <v>383859747</v>
      </c>
      <c r="H14" s="377">
        <f>+H12-H13</f>
        <v>399210169</v>
      </c>
      <c r="I14" s="377">
        <f>+I12-I13</f>
        <v>383859747</v>
      </c>
      <c r="J14" s="358"/>
      <c r="K14" s="390" t="s">
        <v>485</v>
      </c>
      <c r="L14" s="391" t="s">
        <v>450</v>
      </c>
      <c r="M14" s="392">
        <f>SUM(M3:M13)</f>
        <v>84086805</v>
      </c>
      <c r="N14" s="391" t="s">
        <v>764</v>
      </c>
      <c r="O14" s="392">
        <f>SUM(O3:O13)</f>
        <v>48842463</v>
      </c>
    </row>
    <row r="15" spans="1:23" ht="16.5" thickTop="1" x14ac:dyDescent="0.25">
      <c r="A15" s="79"/>
      <c r="B15" s="76"/>
      <c r="C15" s="121"/>
      <c r="D15" s="88"/>
      <c r="E15" s="88"/>
      <c r="F15" s="88"/>
      <c r="G15" s="88"/>
      <c r="H15" s="83" t="e">
        <f>+#REF!+#REF!</f>
        <v>#REF!</v>
      </c>
      <c r="I15" s="88">
        <f>+E14-G14</f>
        <v>2395462</v>
      </c>
    </row>
    <row r="16" spans="1:23" ht="15.75" x14ac:dyDescent="0.25">
      <c r="F16" s="88"/>
      <c r="G16" s="88"/>
      <c r="H16" s="400" t="e">
        <f>+H15-H12</f>
        <v>#REF!</v>
      </c>
      <c r="I16" s="88"/>
    </row>
    <row r="17" spans="1:9" ht="15.75" x14ac:dyDescent="0.25">
      <c r="A17" s="416"/>
      <c r="B17" s="416" t="s">
        <v>490</v>
      </c>
      <c r="C17" s="416"/>
      <c r="D17" s="416" t="s">
        <v>778</v>
      </c>
      <c r="E17" s="416" t="s">
        <v>745</v>
      </c>
      <c r="F17" s="88"/>
      <c r="G17" s="88"/>
      <c r="H17" s="88"/>
      <c r="I17" s="88"/>
    </row>
    <row r="18" spans="1:9" ht="15.75" x14ac:dyDescent="0.25">
      <c r="A18" s="405"/>
      <c r="B18" s="405" t="s">
        <v>740</v>
      </c>
      <c r="C18" s="406"/>
      <c r="D18" s="405"/>
      <c r="E18" s="411">
        <v>661025000</v>
      </c>
      <c r="F18" s="88"/>
      <c r="G18" s="88"/>
      <c r="H18" s="88"/>
      <c r="I18" s="88"/>
    </row>
    <row r="19" spans="1:9" ht="15.75" x14ac:dyDescent="0.25">
      <c r="A19" s="405"/>
      <c r="B19" s="405" t="s">
        <v>757</v>
      </c>
      <c r="C19" s="405"/>
      <c r="D19" s="405"/>
      <c r="E19" s="414">
        <v>43836000</v>
      </c>
      <c r="F19" s="88"/>
      <c r="G19" s="88"/>
      <c r="H19" s="88"/>
      <c r="I19" s="88"/>
    </row>
    <row r="20" spans="1:9" ht="15.75" x14ac:dyDescent="0.25">
      <c r="A20" s="405" t="s">
        <v>771</v>
      </c>
      <c r="B20" s="405" t="s">
        <v>741</v>
      </c>
      <c r="C20" s="405"/>
      <c r="D20" s="407">
        <v>5</v>
      </c>
      <c r="E20" s="415">
        <v>16000000</v>
      </c>
      <c r="F20" s="88"/>
      <c r="G20" s="88"/>
      <c r="H20" s="88"/>
      <c r="I20" s="88"/>
    </row>
    <row r="21" spans="1:9" ht="15.75" x14ac:dyDescent="0.25">
      <c r="A21" s="57" t="s">
        <v>772</v>
      </c>
      <c r="B21" s="57" t="s">
        <v>742</v>
      </c>
      <c r="C21" s="57"/>
      <c r="D21" s="399">
        <v>15</v>
      </c>
      <c r="E21" s="58">
        <v>16000000</v>
      </c>
      <c r="F21" s="88"/>
      <c r="G21" s="88"/>
      <c r="H21" s="88"/>
      <c r="I21" s="88"/>
    </row>
    <row r="22" spans="1:9" ht="15.75" x14ac:dyDescent="0.25">
      <c r="A22" s="57" t="s">
        <v>772</v>
      </c>
      <c r="B22" s="57" t="s">
        <v>743</v>
      </c>
      <c r="C22" s="57"/>
      <c r="D22" s="399">
        <v>15</v>
      </c>
      <c r="E22" s="58">
        <v>284000000</v>
      </c>
      <c r="F22" s="88"/>
      <c r="G22" s="88"/>
      <c r="H22" s="88"/>
      <c r="I22" s="88"/>
    </row>
    <row r="23" spans="1:9" ht="15.75" x14ac:dyDescent="0.25">
      <c r="A23" s="403"/>
      <c r="B23" s="403"/>
      <c r="C23" s="403"/>
      <c r="D23" s="408"/>
      <c r="E23" s="404">
        <f>SUM(E20:E22)</f>
        <v>316000000</v>
      </c>
      <c r="F23" s="88"/>
      <c r="G23" s="88"/>
      <c r="H23" s="88"/>
      <c r="I23" s="88"/>
    </row>
    <row r="24" spans="1:9" ht="15.75" x14ac:dyDescent="0.25">
      <c r="A24" s="57" t="s">
        <v>773</v>
      </c>
      <c r="B24" s="57" t="s">
        <v>774</v>
      </c>
      <c r="C24" s="57"/>
      <c r="D24" s="399">
        <v>10</v>
      </c>
      <c r="E24" s="58">
        <v>140000000</v>
      </c>
      <c r="F24" s="88"/>
      <c r="G24" s="88"/>
      <c r="H24" s="88"/>
      <c r="I24" s="88"/>
    </row>
    <row r="25" spans="1:9" ht="15.75" x14ac:dyDescent="0.25">
      <c r="A25" s="57" t="s">
        <v>773</v>
      </c>
      <c r="B25" s="57" t="s">
        <v>775</v>
      </c>
      <c r="C25" s="57"/>
      <c r="D25" s="399">
        <v>10</v>
      </c>
      <c r="E25" s="58">
        <v>20000000</v>
      </c>
      <c r="F25" s="88"/>
      <c r="G25" s="88"/>
      <c r="H25" s="88"/>
      <c r="I25" s="88"/>
    </row>
    <row r="26" spans="1:9" ht="15.75" x14ac:dyDescent="0.25">
      <c r="A26" s="57" t="s">
        <v>773</v>
      </c>
      <c r="B26" s="57" t="s">
        <v>776</v>
      </c>
      <c r="C26" s="57"/>
      <c r="D26" s="399">
        <v>10</v>
      </c>
      <c r="E26" s="58">
        <v>10000000</v>
      </c>
      <c r="F26" s="88"/>
      <c r="G26" s="88"/>
      <c r="H26" s="88"/>
      <c r="I26" s="88"/>
    </row>
    <row r="27" spans="1:9" ht="15.75" x14ac:dyDescent="0.25">
      <c r="A27" s="57" t="s">
        <v>773</v>
      </c>
      <c r="B27" s="57" t="s">
        <v>777</v>
      </c>
      <c r="C27" s="57"/>
      <c r="D27" s="399">
        <v>10</v>
      </c>
      <c r="E27" s="58">
        <v>14000000</v>
      </c>
      <c r="F27" s="88"/>
      <c r="G27" s="88"/>
      <c r="H27" s="88"/>
      <c r="I27" s="88"/>
    </row>
    <row r="28" spans="1:9" ht="15" x14ac:dyDescent="0.25">
      <c r="A28" s="403"/>
      <c r="B28" s="403"/>
      <c r="C28" s="403"/>
      <c r="D28" s="403"/>
      <c r="E28" s="404">
        <f>SUM(E24:E27)</f>
        <v>184000000</v>
      </c>
    </row>
    <row r="29" spans="1:9" ht="15.75" thickBot="1" x14ac:dyDescent="0.3">
      <c r="A29" s="57"/>
      <c r="B29" s="57"/>
      <c r="C29" s="399"/>
      <c r="D29" s="59"/>
      <c r="E29" s="402">
        <f>+E23+E28</f>
        <v>500000000</v>
      </c>
    </row>
    <row r="30" spans="1:9" ht="15.75" thickTop="1" x14ac:dyDescent="0.25">
      <c r="A30" s="57"/>
      <c r="B30" s="57"/>
      <c r="C30" s="57"/>
      <c r="D30" s="57"/>
      <c r="E30" s="58">
        <f>+D12-E29</f>
        <v>345172774</v>
      </c>
    </row>
    <row r="31" spans="1:9" ht="15" x14ac:dyDescent="0.25">
      <c r="A31" s="57" t="s">
        <v>758</v>
      </c>
      <c r="B31" s="57"/>
      <c r="C31" s="57"/>
      <c r="D31" s="57"/>
      <c r="E31" s="58" t="e">
        <f>+Notes!C5</f>
        <v>#REF!</v>
      </c>
    </row>
    <row r="32" spans="1:9" ht="15" x14ac:dyDescent="0.25">
      <c r="A32" s="57"/>
      <c r="B32" s="57"/>
      <c r="C32" s="57"/>
      <c r="D32" s="57"/>
      <c r="E32" s="57"/>
    </row>
    <row r="33" spans="1:5" ht="15" x14ac:dyDescent="0.25">
      <c r="A33" s="57" t="s">
        <v>759</v>
      </c>
      <c r="B33" s="57"/>
      <c r="C33" s="57"/>
      <c r="D33" s="57"/>
      <c r="E33" s="58" t="e">
        <f>+E29-E31</f>
        <v>#REF!</v>
      </c>
    </row>
  </sheetData>
  <mergeCells count="1">
    <mergeCell ref="A13:B1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7"/>
  <dimension ref="A1:F19"/>
  <sheetViews>
    <sheetView workbookViewId="0">
      <selection activeCell="G478" sqref="G478"/>
    </sheetView>
  </sheetViews>
  <sheetFormatPr defaultColWidth="9.140625" defaultRowHeight="15.75" x14ac:dyDescent="0.25"/>
  <cols>
    <col min="1" max="1" width="18.5703125" style="440" bestFit="1" customWidth="1"/>
    <col min="2" max="2" width="18.7109375" style="70" bestFit="1" customWidth="1"/>
    <col min="3" max="3" width="16.85546875" style="70" bestFit="1" customWidth="1"/>
    <col min="4" max="4" width="18.7109375" style="70" bestFit="1" customWidth="1"/>
    <col min="5" max="5" width="15.7109375" style="76" bestFit="1" customWidth="1"/>
    <col min="6" max="6" width="14" style="76" bestFit="1" customWidth="1"/>
    <col min="7" max="16384" width="9.140625" style="76"/>
  </cols>
  <sheetData>
    <row r="1" spans="1:6" s="121" customFormat="1" x14ac:dyDescent="0.25">
      <c r="A1" s="442" t="s">
        <v>733</v>
      </c>
      <c r="B1" s="442" t="s">
        <v>442</v>
      </c>
      <c r="C1" s="442" t="s">
        <v>734</v>
      </c>
      <c r="D1" s="442" t="s">
        <v>485</v>
      </c>
    </row>
    <row r="2" spans="1:6" x14ac:dyDescent="0.25">
      <c r="A2" s="336" t="s">
        <v>651</v>
      </c>
      <c r="B2" s="89">
        <v>1992815508</v>
      </c>
      <c r="C2" s="89">
        <v>137700000</v>
      </c>
      <c r="D2" s="89">
        <f>SUM(B2:C2)</f>
        <v>2130515508</v>
      </c>
    </row>
    <row r="3" spans="1:6" x14ac:dyDescent="0.25">
      <c r="A3" s="336" t="s">
        <v>804</v>
      </c>
      <c r="B3" s="145">
        <v>47000000</v>
      </c>
      <c r="C3" s="89">
        <v>13164100</v>
      </c>
      <c r="D3" s="89">
        <f t="shared" ref="D3:D6" si="0">SUM(B3:C3)</f>
        <v>60164100</v>
      </c>
    </row>
    <row r="4" spans="1:6" x14ac:dyDescent="0.25">
      <c r="A4" s="336" t="s">
        <v>805</v>
      </c>
      <c r="B4" s="145">
        <v>99177910</v>
      </c>
      <c r="C4" s="89">
        <v>11882500</v>
      </c>
      <c r="D4" s="89">
        <f t="shared" si="0"/>
        <v>111060410</v>
      </c>
    </row>
    <row r="5" spans="1:6" x14ac:dyDescent="0.25">
      <c r="A5" s="336" t="s">
        <v>806</v>
      </c>
      <c r="B5" s="145">
        <v>99262147</v>
      </c>
      <c r="C5" s="89">
        <v>7640000</v>
      </c>
      <c r="D5" s="89">
        <f t="shared" si="0"/>
        <v>106902147</v>
      </c>
    </row>
    <row r="6" spans="1:6" x14ac:dyDescent="0.25">
      <c r="A6" s="72" t="s">
        <v>807</v>
      </c>
      <c r="B6" s="145">
        <v>0</v>
      </c>
      <c r="C6" s="118">
        <v>10000000</v>
      </c>
      <c r="D6" s="118">
        <f t="shared" si="0"/>
        <v>10000000</v>
      </c>
    </row>
    <row r="7" spans="1:6" ht="16.5" thickBot="1" x14ac:dyDescent="0.3">
      <c r="A7" s="152" t="s">
        <v>735</v>
      </c>
      <c r="B7" s="91">
        <f t="shared" ref="B7" si="1">SUM(B2:B6)</f>
        <v>2238255565</v>
      </c>
      <c r="C7" s="91">
        <f>SUM(C2:C6)</f>
        <v>180386600</v>
      </c>
      <c r="D7" s="91">
        <f t="shared" ref="D7" si="2">SUM(D2:D6)</f>
        <v>2418642165</v>
      </c>
      <c r="E7" s="83">
        <v>2283810926</v>
      </c>
      <c r="F7" s="184">
        <f>+D7-E7</f>
        <v>134831239</v>
      </c>
    </row>
    <row r="8" spans="1:6" ht="16.5" thickTop="1" x14ac:dyDescent="0.25">
      <c r="B8" s="509">
        <v>1920000000</v>
      </c>
      <c r="C8" s="509">
        <v>186698705</v>
      </c>
    </row>
    <row r="9" spans="1:6" x14ac:dyDescent="0.25">
      <c r="B9" s="510">
        <f>+B8-B7</f>
        <v>-318255565</v>
      </c>
      <c r="C9" s="510">
        <f>+C8-C7</f>
        <v>6312105</v>
      </c>
    </row>
    <row r="14" spans="1:6" x14ac:dyDescent="0.25">
      <c r="A14" s="335" t="s">
        <v>651</v>
      </c>
      <c r="B14" s="441">
        <v>43073</v>
      </c>
      <c r="C14" s="441">
        <v>43038</v>
      </c>
    </row>
    <row r="15" spans="1:6" x14ac:dyDescent="0.25">
      <c r="A15" s="336" t="s">
        <v>804</v>
      </c>
      <c r="B15" s="441">
        <v>43178</v>
      </c>
      <c r="C15" s="441">
        <v>43138</v>
      </c>
    </row>
    <row r="16" spans="1:6" x14ac:dyDescent="0.25">
      <c r="A16" s="336" t="s">
        <v>805</v>
      </c>
      <c r="B16" s="441">
        <v>43206</v>
      </c>
      <c r="C16" s="441">
        <v>43158</v>
      </c>
    </row>
    <row r="17" spans="1:4" x14ac:dyDescent="0.25">
      <c r="A17" s="336" t="s">
        <v>806</v>
      </c>
      <c r="B17" s="441">
        <v>43360</v>
      </c>
      <c r="C17" s="441">
        <v>43214</v>
      </c>
    </row>
    <row r="18" spans="1:4" x14ac:dyDescent="0.25">
      <c r="A18" s="336" t="s">
        <v>807</v>
      </c>
      <c r="B18" s="441" t="s">
        <v>468</v>
      </c>
      <c r="C18" s="441">
        <v>43298</v>
      </c>
    </row>
    <row r="19" spans="1:4" s="74" customFormat="1" x14ac:dyDescent="0.25">
      <c r="A19" s="443"/>
      <c r="B19" s="444"/>
      <c r="C19" s="444"/>
      <c r="D19" s="4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/>
  <dimension ref="A1:I22"/>
  <sheetViews>
    <sheetView workbookViewId="0">
      <selection activeCell="F11" sqref="F11"/>
    </sheetView>
  </sheetViews>
  <sheetFormatPr defaultColWidth="8.85546875" defaultRowHeight="15.75" x14ac:dyDescent="0.25"/>
  <cols>
    <col min="1" max="1" width="59.42578125" style="76" customWidth="1"/>
    <col min="2" max="2" width="2.140625" style="76" bestFit="1" customWidth="1"/>
    <col min="3" max="3" width="16.85546875" style="76" bestFit="1" customWidth="1"/>
    <col min="4" max="4" width="14.7109375" style="76" bestFit="1" customWidth="1"/>
    <col min="5" max="5" width="1.7109375" style="76" customWidth="1"/>
    <col min="6" max="6" width="16.85546875" style="76" bestFit="1" customWidth="1"/>
    <col min="7" max="8" width="8.85546875" style="76"/>
    <col min="9" max="9" width="16.85546875" style="76" bestFit="1" customWidth="1"/>
    <col min="10" max="16384" width="8.85546875" style="76"/>
  </cols>
  <sheetData>
    <row r="1" spans="1:9" x14ac:dyDescent="0.25">
      <c r="A1" s="61" t="s">
        <v>567</v>
      </c>
      <c r="B1" s="75"/>
      <c r="C1" s="75"/>
      <c r="D1" s="75"/>
    </row>
    <row r="2" spans="1:9" x14ac:dyDescent="0.25">
      <c r="A2" s="70"/>
      <c r="B2" s="75"/>
      <c r="C2" s="75"/>
      <c r="D2" s="75"/>
    </row>
    <row r="3" spans="1:9" x14ac:dyDescent="0.25">
      <c r="A3" s="77"/>
      <c r="B3" s="78"/>
      <c r="C3" s="78">
        <v>2018</v>
      </c>
      <c r="D3" s="78">
        <v>2017</v>
      </c>
      <c r="F3" s="121" t="s">
        <v>680</v>
      </c>
      <c r="G3" s="121" t="s">
        <v>734</v>
      </c>
      <c r="H3" s="121" t="s">
        <v>812</v>
      </c>
      <c r="I3" s="121" t="s">
        <v>485</v>
      </c>
    </row>
    <row r="4" spans="1:9" x14ac:dyDescent="0.25">
      <c r="A4" s="79" t="s">
        <v>732</v>
      </c>
      <c r="B4" s="80" t="s">
        <v>450</v>
      </c>
      <c r="C4" s="81" t="e">
        <f>+#REF!</f>
        <v>#REF!</v>
      </c>
      <c r="D4" s="75">
        <v>118024642</v>
      </c>
      <c r="F4" s="88">
        <v>258749155.88999999</v>
      </c>
      <c r="G4" s="88"/>
      <c r="H4" s="88"/>
      <c r="I4" s="88">
        <f>SUM(F4:H4)</f>
        <v>258749155.88999999</v>
      </c>
    </row>
    <row r="5" spans="1:9" x14ac:dyDescent="0.25">
      <c r="A5" s="324" t="s">
        <v>565</v>
      </c>
      <c r="B5" s="80"/>
      <c r="C5" s="82"/>
      <c r="D5" s="75"/>
      <c r="F5" s="88"/>
      <c r="G5" s="88"/>
      <c r="H5" s="88"/>
      <c r="I5" s="88">
        <f t="shared" ref="I5:I19" si="0">SUM(F5:H5)</f>
        <v>0</v>
      </c>
    </row>
    <row r="6" spans="1:9" x14ac:dyDescent="0.25">
      <c r="A6" s="84" t="s">
        <v>487</v>
      </c>
      <c r="B6" s="80"/>
      <c r="C6" s="81" t="e">
        <f>#REF!</f>
        <v>#REF!</v>
      </c>
      <c r="D6" s="75">
        <v>190681401</v>
      </c>
      <c r="F6" s="88">
        <v>162864221.36000001</v>
      </c>
      <c r="G6" s="88"/>
      <c r="H6" s="88"/>
      <c r="I6" s="88">
        <f t="shared" si="0"/>
        <v>162864221.36000001</v>
      </c>
    </row>
    <row r="7" spans="1:9" x14ac:dyDescent="0.25">
      <c r="A7" s="84" t="s">
        <v>572</v>
      </c>
      <c r="B7" s="80"/>
      <c r="C7" s="81" t="e">
        <f>#REF!</f>
        <v>#REF!</v>
      </c>
      <c r="D7" s="75">
        <v>17249373</v>
      </c>
      <c r="F7" s="88">
        <v>14681276.140000001</v>
      </c>
      <c r="G7" s="88"/>
      <c r="H7" s="88"/>
      <c r="I7" s="88">
        <f t="shared" si="0"/>
        <v>14681276.140000001</v>
      </c>
    </row>
    <row r="8" spans="1:9" x14ac:dyDescent="0.25">
      <c r="A8" s="84" t="s">
        <v>584</v>
      </c>
      <c r="B8" s="80"/>
      <c r="C8" s="81" t="e">
        <f>#REF!</f>
        <v>#REF!</v>
      </c>
      <c r="D8" s="81">
        <v>-18966141</v>
      </c>
      <c r="F8" s="88">
        <v>-17049606.579999998</v>
      </c>
      <c r="G8" s="88"/>
      <c r="H8" s="88"/>
      <c r="I8" s="88">
        <f t="shared" si="0"/>
        <v>-17049606.579999998</v>
      </c>
    </row>
    <row r="9" spans="1:9" x14ac:dyDescent="0.25">
      <c r="A9" s="79" t="s">
        <v>573</v>
      </c>
      <c r="B9" s="80"/>
      <c r="C9" s="81"/>
      <c r="D9" s="75"/>
      <c r="F9" s="88"/>
      <c r="G9" s="88"/>
      <c r="H9" s="88"/>
      <c r="I9" s="88">
        <f t="shared" si="0"/>
        <v>0</v>
      </c>
    </row>
    <row r="10" spans="1:9" x14ac:dyDescent="0.25">
      <c r="A10" s="84" t="s">
        <v>437</v>
      </c>
      <c r="B10" s="80"/>
      <c r="C10" s="81" t="e">
        <f>+#REF!</f>
        <v>#REF!</v>
      </c>
      <c r="D10" s="75">
        <v>-68110186</v>
      </c>
      <c r="F10" s="88">
        <v>-1718568.16</v>
      </c>
      <c r="G10" s="88"/>
      <c r="H10" s="88"/>
      <c r="I10" s="88">
        <f t="shared" si="0"/>
        <v>-1718568.16</v>
      </c>
    </row>
    <row r="11" spans="1:9" x14ac:dyDescent="0.25">
      <c r="A11" s="84" t="s">
        <v>438</v>
      </c>
      <c r="B11" s="80"/>
      <c r="C11" s="81" t="e">
        <f>+#REF!</f>
        <v>#REF!</v>
      </c>
      <c r="D11" s="75">
        <v>11167121</v>
      </c>
      <c r="F11" s="88">
        <v>-11826865.9</v>
      </c>
      <c r="G11" s="88"/>
      <c r="H11" s="88"/>
      <c r="I11" s="88">
        <f t="shared" si="0"/>
        <v>-11826865.9</v>
      </c>
    </row>
    <row r="12" spans="1:9" x14ac:dyDescent="0.25">
      <c r="A12" s="84" t="s">
        <v>574</v>
      </c>
      <c r="B12" s="80"/>
      <c r="C12" s="81" t="e">
        <f>+#REF!</f>
        <v>#REF!</v>
      </c>
      <c r="D12" s="75">
        <v>-53245897</v>
      </c>
      <c r="F12" s="88">
        <v>15523979.73</v>
      </c>
      <c r="G12" s="88"/>
      <c r="H12" s="88"/>
      <c r="I12" s="88">
        <f t="shared" si="0"/>
        <v>15523979.73</v>
      </c>
    </row>
    <row r="13" spans="1:9" x14ac:dyDescent="0.25">
      <c r="A13" s="84" t="s">
        <v>979</v>
      </c>
      <c r="B13" s="80"/>
      <c r="C13" s="81">
        <v>64199622</v>
      </c>
      <c r="D13" s="75">
        <v>0</v>
      </c>
      <c r="F13" s="88"/>
      <c r="G13" s="88"/>
      <c r="H13" s="88"/>
      <c r="I13" s="88">
        <f t="shared" si="0"/>
        <v>0</v>
      </c>
    </row>
    <row r="14" spans="1:9" x14ac:dyDescent="0.25">
      <c r="A14" s="79" t="s">
        <v>575</v>
      </c>
      <c r="B14" s="80"/>
      <c r="C14" s="82"/>
      <c r="D14" s="75"/>
      <c r="F14" s="88"/>
      <c r="G14" s="88"/>
      <c r="H14" s="88"/>
      <c r="I14" s="88">
        <f t="shared" si="0"/>
        <v>0</v>
      </c>
    </row>
    <row r="15" spans="1:9" x14ac:dyDescent="0.25">
      <c r="A15" s="84" t="s">
        <v>576</v>
      </c>
      <c r="B15" s="80"/>
      <c r="C15" s="81" t="e">
        <f>+#REF!</f>
        <v>#REF!</v>
      </c>
      <c r="D15" s="75">
        <v>-42484837</v>
      </c>
      <c r="F15" s="88">
        <v>-3452110.5</v>
      </c>
      <c r="G15" s="88"/>
      <c r="H15" s="88"/>
      <c r="I15" s="88">
        <f t="shared" si="0"/>
        <v>-3452110.5</v>
      </c>
    </row>
    <row r="16" spans="1:9" x14ac:dyDescent="0.25">
      <c r="A16" s="84" t="s">
        <v>577</v>
      </c>
      <c r="B16" s="80"/>
      <c r="C16" s="81" t="e">
        <f>+#REF!</f>
        <v>#REF!</v>
      </c>
      <c r="D16" s="75">
        <v>-12860863</v>
      </c>
      <c r="F16" s="88">
        <v>-2915167.23</v>
      </c>
      <c r="G16" s="88"/>
      <c r="H16" s="88"/>
      <c r="I16" s="88">
        <f t="shared" si="0"/>
        <v>-2915167.23</v>
      </c>
    </row>
    <row r="17" spans="1:9" x14ac:dyDescent="0.25">
      <c r="A17" s="84" t="s">
        <v>578</v>
      </c>
      <c r="B17" s="80"/>
      <c r="C17" s="81" t="e">
        <f>+#REF!</f>
        <v>#REF!</v>
      </c>
      <c r="D17" s="75">
        <v>-4875596</v>
      </c>
      <c r="F17" s="88">
        <v>127509</v>
      </c>
      <c r="G17" s="88"/>
      <c r="H17" s="88"/>
      <c r="I17" s="88">
        <f t="shared" si="0"/>
        <v>127509</v>
      </c>
    </row>
    <row r="18" spans="1:9" x14ac:dyDescent="0.25">
      <c r="A18" s="84" t="s">
        <v>579</v>
      </c>
      <c r="B18" s="80"/>
      <c r="C18" s="81" t="e">
        <f>+#REF!</f>
        <v>#REF!</v>
      </c>
      <c r="D18" s="75">
        <v>73489212</v>
      </c>
      <c r="F18" s="88"/>
      <c r="G18" s="88"/>
      <c r="H18" s="88"/>
      <c r="I18" s="88">
        <f t="shared" si="0"/>
        <v>0</v>
      </c>
    </row>
    <row r="19" spans="1:9" x14ac:dyDescent="0.25">
      <c r="A19" s="84" t="s">
        <v>580</v>
      </c>
      <c r="B19" s="80"/>
      <c r="C19" s="81" t="e">
        <f>+#REF!</f>
        <v>#REF!</v>
      </c>
      <c r="D19" s="75">
        <v>22365871</v>
      </c>
      <c r="F19" s="88"/>
      <c r="G19" s="88"/>
      <c r="H19" s="88"/>
      <c r="I19" s="88">
        <f t="shared" si="0"/>
        <v>0</v>
      </c>
    </row>
    <row r="20" spans="1:9" ht="16.5" thickBot="1" x14ac:dyDescent="0.3">
      <c r="A20" s="85" t="s">
        <v>566</v>
      </c>
      <c r="B20" s="86" t="s">
        <v>450</v>
      </c>
      <c r="C20" s="87" t="e">
        <f>SUM(C4:C19)</f>
        <v>#REF!</v>
      </c>
      <c r="D20" s="87">
        <f>SUM(D4:D19)</f>
        <v>232434100</v>
      </c>
      <c r="F20" s="88">
        <f>SUM(F4:F19)</f>
        <v>414983823.75</v>
      </c>
      <c r="G20" s="88">
        <f t="shared" ref="G20:I20" si="1">SUM(G4:G19)</f>
        <v>0</v>
      </c>
      <c r="H20" s="88">
        <f t="shared" si="1"/>
        <v>0</v>
      </c>
      <c r="I20" s="88">
        <f t="shared" si="1"/>
        <v>414983823.75</v>
      </c>
    </row>
    <row r="21" spans="1:9" ht="16.5" thickTop="1" x14ac:dyDescent="0.25">
      <c r="A21" s="70"/>
      <c r="B21" s="75"/>
      <c r="C21" s="75" t="e">
        <f>+#REF!</f>
        <v>#REF!</v>
      </c>
      <c r="D21" s="75" t="e">
        <f>+D20-#REF!</f>
        <v>#REF!</v>
      </c>
    </row>
    <row r="22" spans="1:9" x14ac:dyDescent="0.25">
      <c r="C22" s="400" t="e">
        <f>+C21-C20</f>
        <v>#REF!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0"/>
  <dimension ref="A1:M32"/>
  <sheetViews>
    <sheetView workbookViewId="0">
      <selection sqref="A1:F14"/>
    </sheetView>
  </sheetViews>
  <sheetFormatPr defaultRowHeight="12.75" x14ac:dyDescent="0.2"/>
  <cols>
    <col min="1" max="1" width="9.85546875" bestFit="1" customWidth="1"/>
    <col min="2" max="3" width="13.85546875" style="100" bestFit="1" customWidth="1"/>
    <col min="4" max="4" width="8.7109375" style="100"/>
    <col min="5" max="5" width="14.5703125" style="100" bestFit="1" customWidth="1"/>
    <col min="6" max="7" width="13.85546875" style="100" bestFit="1" customWidth="1"/>
    <col min="8" max="13" width="8.7109375" style="100"/>
  </cols>
  <sheetData>
    <row r="1" spans="1:13" s="102" customFormat="1" ht="25.5" x14ac:dyDescent="0.2">
      <c r="B1" s="103" t="s">
        <v>571</v>
      </c>
      <c r="C1" s="103" t="s">
        <v>598</v>
      </c>
      <c r="D1" s="103" t="s">
        <v>599</v>
      </c>
      <c r="E1" s="103" t="s">
        <v>600</v>
      </c>
      <c r="F1" s="103" t="s">
        <v>601</v>
      </c>
      <c r="G1" s="103"/>
      <c r="H1" s="103"/>
      <c r="I1" s="103"/>
      <c r="J1" s="103"/>
      <c r="K1" s="103"/>
      <c r="L1" s="103"/>
      <c r="M1" s="103"/>
    </row>
    <row r="2" spans="1:13" x14ac:dyDescent="0.2">
      <c r="A2" s="99">
        <v>41274</v>
      </c>
      <c r="B2" s="100">
        <v>15495907.199999999</v>
      </c>
      <c r="C2" s="100">
        <f>+B2/5</f>
        <v>3099181.44</v>
      </c>
      <c r="D2" s="104">
        <v>4</v>
      </c>
      <c r="E2" s="100">
        <f>+C2*D2</f>
        <v>12396725.76</v>
      </c>
      <c r="F2" s="100">
        <f>+B2-E2</f>
        <v>3099181.4399999995</v>
      </c>
    </row>
    <row r="3" spans="1:13" x14ac:dyDescent="0.2">
      <c r="A3" s="99">
        <v>41639</v>
      </c>
      <c r="B3" s="100">
        <v>12913256</v>
      </c>
      <c r="C3" s="100">
        <f>+B3/5</f>
        <v>2582651.2000000002</v>
      </c>
      <c r="D3" s="104">
        <v>3</v>
      </c>
      <c r="E3" s="100">
        <f>+C3*D3</f>
        <v>7747953.6000000006</v>
      </c>
      <c r="F3" s="100">
        <f>+B3-E3</f>
        <v>5165302.3999999994</v>
      </c>
    </row>
    <row r="4" spans="1:13" x14ac:dyDescent="0.2">
      <c r="A4" s="99">
        <v>42004</v>
      </c>
      <c r="B4" s="100">
        <v>6300000</v>
      </c>
      <c r="C4" s="100">
        <f>+B4/5</f>
        <v>1260000</v>
      </c>
      <c r="D4" s="104">
        <v>2</v>
      </c>
      <c r="E4" s="100">
        <f>+C4*D4</f>
        <v>2520000</v>
      </c>
      <c r="F4" s="100">
        <f>+B4-E4</f>
        <v>3780000</v>
      </c>
    </row>
    <row r="5" spans="1:13" x14ac:dyDescent="0.2">
      <c r="A5" s="99">
        <v>42368</v>
      </c>
      <c r="B5" s="100">
        <v>6300000</v>
      </c>
      <c r="C5" s="100">
        <f>+B5/5</f>
        <v>1260000</v>
      </c>
      <c r="D5" s="104">
        <v>1</v>
      </c>
      <c r="E5" s="100">
        <f>+C5*D5</f>
        <v>1260000</v>
      </c>
      <c r="F5" s="100">
        <f>+B5-E5</f>
        <v>5040000</v>
      </c>
    </row>
    <row r="6" spans="1:13" x14ac:dyDescent="0.2">
      <c r="A6" s="99">
        <v>42368</v>
      </c>
      <c r="B6" s="100">
        <v>48919986.799999997</v>
      </c>
      <c r="C6" s="100">
        <f>+B6/5</f>
        <v>9783997.3599999994</v>
      </c>
      <c r="D6" s="104">
        <v>1</v>
      </c>
      <c r="E6" s="100">
        <f>+C6*D6</f>
        <v>9783997.3599999994</v>
      </c>
      <c r="F6" s="100">
        <f>+B6-E6</f>
        <v>39135989.439999998</v>
      </c>
    </row>
    <row r="7" spans="1:13" s="105" customFormat="1" ht="13.5" thickBot="1" x14ac:dyDescent="0.25">
      <c r="B7" s="106">
        <f>SUM(B2:B6)</f>
        <v>89929150</v>
      </c>
      <c r="C7" s="106">
        <f>SUM(C2:C6)</f>
        <v>17985830</v>
      </c>
      <c r="D7" s="106"/>
      <c r="E7" s="106">
        <f>SUM(E2:E6)</f>
        <v>33708676.719999999</v>
      </c>
      <c r="F7" s="106">
        <f>SUM(F2:F6)</f>
        <v>56220473.280000001</v>
      </c>
      <c r="G7" s="106"/>
      <c r="H7" s="106"/>
      <c r="I7" s="106"/>
      <c r="J7" s="106"/>
      <c r="K7" s="106"/>
      <c r="L7" s="106"/>
      <c r="M7" s="106"/>
    </row>
    <row r="8" spans="1:13" ht="13.5" thickTop="1" x14ac:dyDescent="0.2">
      <c r="A8" s="107" t="s">
        <v>604</v>
      </c>
      <c r="B8" s="100" t="e">
        <f>+#REF!</f>
        <v>#REF!</v>
      </c>
      <c r="C8" s="100" t="e">
        <f>+#REF!</f>
        <v>#REF!</v>
      </c>
      <c r="E8" s="100" t="e">
        <f>+#REF!</f>
        <v>#REF!</v>
      </c>
      <c r="F8" s="100" t="e">
        <f>+#REF!</f>
        <v>#REF!</v>
      </c>
    </row>
    <row r="9" spans="1:13" x14ac:dyDescent="0.2">
      <c r="A9" s="108"/>
      <c r="B9" s="109"/>
      <c r="C9" s="109"/>
      <c r="D9" s="109"/>
      <c r="E9" s="109"/>
      <c r="F9" s="109"/>
    </row>
    <row r="10" spans="1:13" x14ac:dyDescent="0.2">
      <c r="A10" s="107" t="s">
        <v>602</v>
      </c>
      <c r="C10" s="100" t="e">
        <f>+#REF!</f>
        <v>#REF!</v>
      </c>
      <c r="E10" s="100" t="e">
        <f>+#REF!</f>
        <v>#REF!</v>
      </c>
      <c r="F10" s="100" t="e">
        <f>+#REF!</f>
        <v>#REF!</v>
      </c>
      <c r="G10" s="100">
        <v>32825570</v>
      </c>
    </row>
    <row r="11" spans="1:13" x14ac:dyDescent="0.2">
      <c r="C11" s="100" t="e">
        <f>+C7-C10</f>
        <v>#REF!</v>
      </c>
      <c r="E11" s="100" t="e">
        <f>+E7-E10</f>
        <v>#REF!</v>
      </c>
    </row>
    <row r="15" spans="1:13" ht="15" x14ac:dyDescent="0.25">
      <c r="A15" s="60" t="s">
        <v>480</v>
      </c>
    </row>
    <row r="16" spans="1:13" x14ac:dyDescent="0.2">
      <c r="A16" t="s">
        <v>454</v>
      </c>
      <c r="E16" s="100">
        <v>751102</v>
      </c>
    </row>
    <row r="17" spans="1:7" x14ac:dyDescent="0.2">
      <c r="A17" s="107" t="s">
        <v>202</v>
      </c>
      <c r="E17" s="100">
        <v>132005</v>
      </c>
    </row>
    <row r="18" spans="1:7" x14ac:dyDescent="0.2">
      <c r="B18" s="100" t="s">
        <v>453</v>
      </c>
      <c r="F18" s="100">
        <f>751102+132005</f>
        <v>883107</v>
      </c>
    </row>
    <row r="21" spans="1:7" x14ac:dyDescent="0.2">
      <c r="E21" s="100">
        <f>SUM(E16:E20)</f>
        <v>883107</v>
      </c>
      <c r="F21" s="100">
        <f>SUM(F16:F20)</f>
        <v>883107</v>
      </c>
      <c r="G21" s="100">
        <f>+E21-F21</f>
        <v>0</v>
      </c>
    </row>
    <row r="25" spans="1:7" x14ac:dyDescent="0.2">
      <c r="A25" s="101" t="s">
        <v>603</v>
      </c>
    </row>
    <row r="26" spans="1:7" x14ac:dyDescent="0.2">
      <c r="A26" s="99">
        <v>41274</v>
      </c>
      <c r="E26" s="100">
        <f>2789263.3+2789263.3+5578526.59+3047528.42</f>
        <v>14204581.609999999</v>
      </c>
      <c r="F26" s="100">
        <f>+B2-E26</f>
        <v>1291325.5899999999</v>
      </c>
    </row>
    <row r="27" spans="1:7" x14ac:dyDescent="0.2">
      <c r="A27" s="99">
        <v>41639</v>
      </c>
      <c r="E27" s="100">
        <f>2324386.08+2324386.08+2485801.78</f>
        <v>7134573.9399999995</v>
      </c>
      <c r="F27" s="100">
        <f>+B3-E27</f>
        <v>5778682.0600000005</v>
      </c>
    </row>
    <row r="28" spans="1:7" x14ac:dyDescent="0.2">
      <c r="A28" s="99">
        <v>42004</v>
      </c>
      <c r="E28" s="100">
        <v>1209600</v>
      </c>
      <c r="F28" s="100">
        <f>+B4-E28</f>
        <v>5090400</v>
      </c>
    </row>
    <row r="29" spans="1:7" x14ac:dyDescent="0.2">
      <c r="A29" s="99">
        <v>42368</v>
      </c>
      <c r="E29" s="100">
        <v>1260000</v>
      </c>
      <c r="F29" s="100">
        <f>+B5-E29</f>
        <v>5040000</v>
      </c>
    </row>
    <row r="30" spans="1:7" x14ac:dyDescent="0.2">
      <c r="A30" s="99">
        <v>42368</v>
      </c>
      <c r="E30" s="100">
        <v>9783997.3599999994</v>
      </c>
      <c r="F30" s="100">
        <f>+B6-E30</f>
        <v>39135989.439999998</v>
      </c>
    </row>
    <row r="31" spans="1:7" ht="13.5" thickBot="1" x14ac:dyDescent="0.25">
      <c r="A31" s="105"/>
      <c r="B31" s="106"/>
      <c r="C31" s="106"/>
      <c r="D31" s="106"/>
      <c r="E31" s="106">
        <f>SUM(E26:E30)</f>
        <v>33592752.909999996</v>
      </c>
      <c r="F31" s="106">
        <f>SUM(F26:F30)</f>
        <v>56336397.089999996</v>
      </c>
    </row>
    <row r="32" spans="1:7" ht="13.5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4"/>
  <dimension ref="A1:I83"/>
  <sheetViews>
    <sheetView workbookViewId="0">
      <pane ySplit="3" topLeftCell="A73" activePane="bottomLeft" state="frozen"/>
      <selection activeCell="C43" sqref="C43"/>
      <selection pane="bottomLeft" activeCell="C43" sqref="C43"/>
    </sheetView>
  </sheetViews>
  <sheetFormatPr defaultColWidth="9.140625" defaultRowHeight="15" x14ac:dyDescent="0.25"/>
  <cols>
    <col min="1" max="2" width="9.140625" style="514"/>
    <col min="3" max="3" width="16.140625" style="514" bestFit="1" customWidth="1"/>
    <col min="4" max="4" width="16.7109375" style="514" customWidth="1"/>
    <col min="5" max="5" width="19.140625" style="514" customWidth="1"/>
    <col min="6" max="6" width="16" style="514" customWidth="1"/>
    <col min="7" max="7" width="16.140625" style="514" bestFit="1" customWidth="1"/>
    <col min="8" max="8" width="9.28515625" style="514" bestFit="1" customWidth="1"/>
    <col min="9" max="9" width="10.42578125" style="514" bestFit="1" customWidth="1"/>
    <col min="10" max="16384" width="9.140625" style="514"/>
  </cols>
  <sheetData>
    <row r="1" spans="1:9" ht="15.75" x14ac:dyDescent="0.25">
      <c r="A1" s="558" t="s">
        <v>9</v>
      </c>
    </row>
    <row r="3" spans="1:9" x14ac:dyDescent="0.25">
      <c r="A3" s="539" t="s">
        <v>933</v>
      </c>
      <c r="B3" s="539"/>
      <c r="C3" s="539" t="s">
        <v>932</v>
      </c>
      <c r="D3" s="539" t="s">
        <v>931</v>
      </c>
      <c r="E3" s="539" t="s">
        <v>931</v>
      </c>
      <c r="F3" s="538">
        <v>2018</v>
      </c>
      <c r="G3" s="538">
        <v>2017</v>
      </c>
    </row>
    <row r="4" spans="1:9" x14ac:dyDescent="0.25">
      <c r="A4" s="557" t="s">
        <v>680</v>
      </c>
      <c r="B4" s="557" t="s">
        <v>955</v>
      </c>
      <c r="C4" s="557" t="s">
        <v>817</v>
      </c>
      <c r="D4" s="556" t="s">
        <v>954</v>
      </c>
      <c r="E4" s="556" t="s">
        <v>953</v>
      </c>
      <c r="F4" s="555">
        <v>128648879</v>
      </c>
      <c r="G4" s="555">
        <v>60789505</v>
      </c>
    </row>
    <row r="5" spans="1:9" x14ac:dyDescent="0.25">
      <c r="A5" s="554" t="s">
        <v>680</v>
      </c>
      <c r="B5" s="554" t="s">
        <v>952</v>
      </c>
      <c r="C5" s="554" t="s">
        <v>817</v>
      </c>
      <c r="D5" s="553" t="s">
        <v>951</v>
      </c>
      <c r="E5" s="553" t="s">
        <v>950</v>
      </c>
      <c r="F5" s="552">
        <v>13070279</v>
      </c>
      <c r="G5" s="552">
        <v>9354516</v>
      </c>
    </row>
    <row r="6" spans="1:9" x14ac:dyDescent="0.25">
      <c r="A6" s="554" t="s">
        <v>734</v>
      </c>
      <c r="B6" s="554" t="s">
        <v>734</v>
      </c>
      <c r="C6" s="554" t="s">
        <v>817</v>
      </c>
      <c r="D6" s="553" t="s">
        <v>949</v>
      </c>
      <c r="E6" s="553" t="s">
        <v>948</v>
      </c>
      <c r="F6" s="552">
        <v>57023755</v>
      </c>
      <c r="G6" s="552">
        <v>49165127</v>
      </c>
    </row>
    <row r="7" spans="1:9" x14ac:dyDescent="0.25">
      <c r="A7" s="554" t="s">
        <v>812</v>
      </c>
      <c r="B7" s="554" t="s">
        <v>947</v>
      </c>
      <c r="C7" s="554" t="s">
        <v>817</v>
      </c>
      <c r="D7" s="553" t="s">
        <v>946</v>
      </c>
      <c r="E7" s="553" t="s">
        <v>945</v>
      </c>
      <c r="F7" s="552">
        <v>212303314</v>
      </c>
      <c r="G7" s="552">
        <v>110602102</v>
      </c>
    </row>
    <row r="8" spans="1:9" x14ac:dyDescent="0.25">
      <c r="A8" s="554" t="s">
        <v>812</v>
      </c>
      <c r="B8" s="554" t="s">
        <v>944</v>
      </c>
      <c r="C8" s="554" t="s">
        <v>817</v>
      </c>
      <c r="D8" s="553" t="s">
        <v>943</v>
      </c>
      <c r="E8" s="553" t="s">
        <v>942</v>
      </c>
      <c r="F8" s="552">
        <v>99655</v>
      </c>
      <c r="G8" s="552">
        <v>99575</v>
      </c>
    </row>
    <row r="9" spans="1:9" x14ac:dyDescent="0.25">
      <c r="A9" s="554" t="s">
        <v>812</v>
      </c>
      <c r="B9" s="554" t="s">
        <v>941</v>
      </c>
      <c r="C9" s="554" t="s">
        <v>817</v>
      </c>
      <c r="D9" s="553" t="s">
        <v>940</v>
      </c>
      <c r="E9" s="553" t="s">
        <v>939</v>
      </c>
      <c r="F9" s="552">
        <v>68944</v>
      </c>
      <c r="G9" s="552">
        <v>68944</v>
      </c>
    </row>
    <row r="10" spans="1:9" x14ac:dyDescent="0.25">
      <c r="A10" s="554" t="s">
        <v>812</v>
      </c>
      <c r="B10" s="554" t="s">
        <v>938</v>
      </c>
      <c r="C10" s="554" t="s">
        <v>817</v>
      </c>
      <c r="D10" s="553" t="s">
        <v>937</v>
      </c>
      <c r="E10" s="553" t="s">
        <v>936</v>
      </c>
      <c r="F10" s="552">
        <v>164259</v>
      </c>
      <c r="G10" s="552">
        <v>0</v>
      </c>
    </row>
    <row r="11" spans="1:9" hidden="1" x14ac:dyDescent="0.25">
      <c r="A11" s="554"/>
      <c r="B11" s="554"/>
      <c r="C11" s="554" t="s">
        <v>817</v>
      </c>
      <c r="D11" s="553" t="s">
        <v>935</v>
      </c>
      <c r="E11" s="553" t="s">
        <v>934</v>
      </c>
      <c r="F11" s="552">
        <v>0</v>
      </c>
      <c r="G11" s="552">
        <v>0</v>
      </c>
      <c r="I11" s="551">
        <v>21365.79</v>
      </c>
    </row>
    <row r="12" spans="1:9" hidden="1" x14ac:dyDescent="0.25">
      <c r="A12" s="550"/>
      <c r="B12" s="550"/>
      <c r="C12" s="550"/>
      <c r="D12" s="549"/>
      <c r="E12" s="549"/>
      <c r="F12" s="548"/>
      <c r="G12" s="548"/>
    </row>
    <row r="13" spans="1:9" ht="15.75" thickBot="1" x14ac:dyDescent="0.3">
      <c r="A13" s="547"/>
      <c r="B13" s="547"/>
      <c r="C13" s="547"/>
      <c r="D13" s="546"/>
      <c r="E13" s="546"/>
      <c r="F13" s="545">
        <f>SUM(F4:F12)</f>
        <v>411379085</v>
      </c>
      <c r="G13" s="545">
        <f>SUM(G4:G12)</f>
        <v>230079769</v>
      </c>
    </row>
    <row r="14" spans="1:9" s="540" customFormat="1" ht="15.75" thickTop="1" x14ac:dyDescent="0.25">
      <c r="F14" s="544" t="e">
        <f>+Notes!$C$4</f>
        <v>#REF!</v>
      </c>
      <c r="G14" s="544">
        <f>+Notes!$E$4</f>
        <v>230079769</v>
      </c>
      <c r="H14" s="514"/>
    </row>
    <row r="15" spans="1:9" s="540" customFormat="1" x14ac:dyDescent="0.25">
      <c r="F15" s="543" t="e">
        <f>+F13-F14</f>
        <v>#REF!</v>
      </c>
      <c r="G15" s="543">
        <f>+G13-G14</f>
        <v>0</v>
      </c>
      <c r="H15" s="514"/>
    </row>
    <row r="16" spans="1:9" s="540" customFormat="1" ht="15.75" x14ac:dyDescent="0.25">
      <c r="A16" s="542" t="s">
        <v>455</v>
      </c>
      <c r="G16" s="541" t="e">
        <f>+F13-F14</f>
        <v>#REF!</v>
      </c>
      <c r="H16" s="541">
        <f>+G14-G13</f>
        <v>0</v>
      </c>
    </row>
    <row r="17" spans="1:7" x14ac:dyDescent="0.25">
      <c r="A17" s="539" t="s">
        <v>933</v>
      </c>
      <c r="B17" s="539"/>
      <c r="C17" s="539" t="s">
        <v>932</v>
      </c>
      <c r="D17" s="539" t="s">
        <v>931</v>
      </c>
      <c r="E17" s="539" t="s">
        <v>931</v>
      </c>
      <c r="F17" s="538">
        <v>2018</v>
      </c>
      <c r="G17" s="538">
        <v>2017</v>
      </c>
    </row>
    <row r="18" spans="1:7" x14ac:dyDescent="0.25">
      <c r="A18" s="525" t="s">
        <v>680</v>
      </c>
      <c r="B18" s="525"/>
      <c r="C18" s="525" t="s">
        <v>817</v>
      </c>
      <c r="D18" s="523" t="s">
        <v>930</v>
      </c>
      <c r="E18" s="523" t="s">
        <v>929</v>
      </c>
      <c r="F18" s="533">
        <v>37369667</v>
      </c>
      <c r="G18" s="533">
        <v>37031529</v>
      </c>
    </row>
    <row r="19" spans="1:7" x14ac:dyDescent="0.25">
      <c r="A19" s="530" t="s">
        <v>680</v>
      </c>
      <c r="B19" s="525"/>
      <c r="C19" s="525" t="s">
        <v>817</v>
      </c>
      <c r="D19" s="529" t="s">
        <v>928</v>
      </c>
      <c r="E19" s="523" t="s">
        <v>927</v>
      </c>
      <c r="F19" s="528">
        <v>35259873</v>
      </c>
      <c r="G19" s="528">
        <v>0</v>
      </c>
    </row>
    <row r="20" spans="1:7" x14ac:dyDescent="0.25">
      <c r="A20" s="530" t="s">
        <v>680</v>
      </c>
      <c r="B20" s="525"/>
      <c r="C20" s="525" t="s">
        <v>817</v>
      </c>
      <c r="D20" s="529" t="s">
        <v>926</v>
      </c>
      <c r="E20" s="523" t="s">
        <v>925</v>
      </c>
      <c r="F20" s="528">
        <v>31078035</v>
      </c>
      <c r="G20" s="528">
        <v>30800684</v>
      </c>
    </row>
    <row r="21" spans="1:7" x14ac:dyDescent="0.25">
      <c r="A21" s="530" t="s">
        <v>680</v>
      </c>
      <c r="B21" s="525"/>
      <c r="C21" s="525" t="s">
        <v>817</v>
      </c>
      <c r="D21" s="529" t="s">
        <v>924</v>
      </c>
      <c r="E21" s="523" t="s">
        <v>923</v>
      </c>
      <c r="F21" s="528">
        <v>31078035</v>
      </c>
      <c r="G21" s="528">
        <v>30800684</v>
      </c>
    </row>
    <row r="22" spans="1:7" x14ac:dyDescent="0.25">
      <c r="A22" s="530" t="s">
        <v>680</v>
      </c>
      <c r="B22" s="530"/>
      <c r="C22" s="530" t="s">
        <v>817</v>
      </c>
      <c r="D22" s="529" t="s">
        <v>922</v>
      </c>
      <c r="E22" s="529" t="s">
        <v>921</v>
      </c>
      <c r="F22" s="528">
        <v>30517556</v>
      </c>
      <c r="G22" s="528">
        <v>30247322</v>
      </c>
    </row>
    <row r="23" spans="1:7" x14ac:dyDescent="0.25">
      <c r="A23" s="530" t="s">
        <v>680</v>
      </c>
      <c r="B23" s="530"/>
      <c r="C23" s="530" t="s">
        <v>817</v>
      </c>
      <c r="D23" s="529" t="s">
        <v>920</v>
      </c>
      <c r="E23" s="529" t="s">
        <v>919</v>
      </c>
      <c r="F23" s="528">
        <v>30468802</v>
      </c>
      <c r="G23" s="528">
        <v>30223419</v>
      </c>
    </row>
    <row r="24" spans="1:7" x14ac:dyDescent="0.25">
      <c r="A24" s="530" t="s">
        <v>680</v>
      </c>
      <c r="B24" s="530"/>
      <c r="C24" s="530" t="s">
        <v>817</v>
      </c>
      <c r="D24" s="529" t="s">
        <v>918</v>
      </c>
      <c r="E24" s="529" t="s">
        <v>917</v>
      </c>
      <c r="F24" s="528">
        <v>30468802</v>
      </c>
      <c r="G24" s="528">
        <v>30223419</v>
      </c>
    </row>
    <row r="25" spans="1:7" x14ac:dyDescent="0.25">
      <c r="A25" s="530" t="s">
        <v>680</v>
      </c>
      <c r="B25" s="530"/>
      <c r="C25" s="530" t="s">
        <v>817</v>
      </c>
      <c r="D25" s="529" t="s">
        <v>916</v>
      </c>
      <c r="E25" s="529" t="s">
        <v>915</v>
      </c>
      <c r="F25" s="528">
        <v>30224091</v>
      </c>
      <c r="G25" s="528">
        <v>0</v>
      </c>
    </row>
    <row r="26" spans="1:7" x14ac:dyDescent="0.25">
      <c r="A26" s="530" t="s">
        <v>680</v>
      </c>
      <c r="B26" s="530"/>
      <c r="C26" s="530" t="s">
        <v>817</v>
      </c>
      <c r="D26" s="529" t="s">
        <v>914</v>
      </c>
      <c r="E26" s="529" t="s">
        <v>913</v>
      </c>
      <c r="F26" s="528">
        <v>30224091</v>
      </c>
      <c r="G26" s="528">
        <v>0</v>
      </c>
    </row>
    <row r="27" spans="1:7" x14ac:dyDescent="0.25">
      <c r="A27" s="530" t="s">
        <v>680</v>
      </c>
      <c r="B27" s="525"/>
      <c r="C27" s="525" t="s">
        <v>817</v>
      </c>
      <c r="D27" s="529" t="s">
        <v>912</v>
      </c>
      <c r="E27" s="523" t="s">
        <v>911</v>
      </c>
      <c r="F27" s="528">
        <v>30224091</v>
      </c>
      <c r="G27" s="528">
        <v>0</v>
      </c>
    </row>
    <row r="28" spans="1:7" x14ac:dyDescent="0.25">
      <c r="A28" s="530" t="s">
        <v>680</v>
      </c>
      <c r="B28" s="525"/>
      <c r="C28" s="525" t="s">
        <v>817</v>
      </c>
      <c r="D28" s="529" t="s">
        <v>910</v>
      </c>
      <c r="E28" s="523" t="s">
        <v>909</v>
      </c>
      <c r="F28" s="528">
        <v>30224091</v>
      </c>
      <c r="G28" s="528">
        <v>0</v>
      </c>
    </row>
    <row r="29" spans="1:7" x14ac:dyDescent="0.25">
      <c r="A29" s="530" t="s">
        <v>680</v>
      </c>
      <c r="B29" s="525"/>
      <c r="C29" s="525" t="s">
        <v>817</v>
      </c>
      <c r="D29" s="529" t="s">
        <v>908</v>
      </c>
      <c r="E29" s="523" t="s">
        <v>907</v>
      </c>
      <c r="F29" s="528">
        <v>30222748</v>
      </c>
      <c r="G29" s="528">
        <v>0</v>
      </c>
    </row>
    <row r="30" spans="1:7" x14ac:dyDescent="0.25">
      <c r="A30" s="530" t="s">
        <v>680</v>
      </c>
      <c r="B30" s="525"/>
      <c r="C30" s="525" t="s">
        <v>817</v>
      </c>
      <c r="D30" s="529" t="s">
        <v>906</v>
      </c>
      <c r="E30" s="523" t="s">
        <v>905</v>
      </c>
      <c r="F30" s="528">
        <v>29136191</v>
      </c>
      <c r="G30" s="528">
        <v>28900258</v>
      </c>
    </row>
    <row r="31" spans="1:7" x14ac:dyDescent="0.25">
      <c r="A31" s="530" t="s">
        <v>680</v>
      </c>
      <c r="B31" s="525"/>
      <c r="C31" s="525" t="s">
        <v>817</v>
      </c>
      <c r="D31" s="529" t="s">
        <v>904</v>
      </c>
      <c r="E31" s="523" t="s">
        <v>903</v>
      </c>
      <c r="F31" s="528">
        <v>29136191</v>
      </c>
      <c r="G31" s="528">
        <v>28900258</v>
      </c>
    </row>
    <row r="32" spans="1:7" x14ac:dyDescent="0.25">
      <c r="A32" s="530" t="s">
        <v>680</v>
      </c>
      <c r="B32" s="525"/>
      <c r="C32" s="525" t="s">
        <v>817</v>
      </c>
      <c r="D32" s="529" t="s">
        <v>902</v>
      </c>
      <c r="E32" s="523" t="s">
        <v>901</v>
      </c>
      <c r="F32" s="535">
        <v>27056190</v>
      </c>
      <c r="G32" s="535">
        <v>26811373</v>
      </c>
    </row>
    <row r="33" spans="1:7" x14ac:dyDescent="0.25">
      <c r="A33" s="530" t="s">
        <v>680</v>
      </c>
      <c r="B33" s="525"/>
      <c r="C33" s="525" t="s">
        <v>817</v>
      </c>
      <c r="D33" s="529" t="s">
        <v>900</v>
      </c>
      <c r="E33" s="523" t="s">
        <v>899</v>
      </c>
      <c r="F33" s="535">
        <v>27056190</v>
      </c>
      <c r="G33" s="535">
        <v>26811373</v>
      </c>
    </row>
    <row r="34" spans="1:7" x14ac:dyDescent="0.25">
      <c r="A34" s="530" t="s">
        <v>680</v>
      </c>
      <c r="B34" s="525"/>
      <c r="C34" s="525" t="s">
        <v>817</v>
      </c>
      <c r="D34" s="529" t="s">
        <v>898</v>
      </c>
      <c r="E34" s="523" t="s">
        <v>897</v>
      </c>
      <c r="F34" s="537">
        <v>27056190</v>
      </c>
      <c r="G34" s="535">
        <v>26811373</v>
      </c>
    </row>
    <row r="35" spans="1:7" x14ac:dyDescent="0.25">
      <c r="A35" s="530" t="s">
        <v>680</v>
      </c>
      <c r="B35" s="525"/>
      <c r="C35" s="525" t="s">
        <v>817</v>
      </c>
      <c r="D35" s="529" t="s">
        <v>896</v>
      </c>
      <c r="E35" s="523" t="s">
        <v>895</v>
      </c>
      <c r="F35" s="535">
        <v>27056190</v>
      </c>
      <c r="G35" s="535">
        <v>26811373</v>
      </c>
    </row>
    <row r="36" spans="1:7" x14ac:dyDescent="0.25">
      <c r="A36" s="530" t="s">
        <v>680</v>
      </c>
      <c r="B36" s="525"/>
      <c r="C36" s="525" t="s">
        <v>817</v>
      </c>
      <c r="D36" s="529" t="s">
        <v>894</v>
      </c>
      <c r="E36" s="523" t="s">
        <v>893</v>
      </c>
      <c r="F36" s="528">
        <v>26999953</v>
      </c>
      <c r="G36" s="535">
        <v>26755644</v>
      </c>
    </row>
    <row r="37" spans="1:7" x14ac:dyDescent="0.25">
      <c r="A37" s="530" t="s">
        <v>680</v>
      </c>
      <c r="B37" s="525"/>
      <c r="C37" s="525" t="s">
        <v>817</v>
      </c>
      <c r="D37" s="529" t="s">
        <v>892</v>
      </c>
      <c r="E37" s="523" t="s">
        <v>891</v>
      </c>
      <c r="F37" s="528">
        <v>26999953</v>
      </c>
      <c r="G37" s="535">
        <v>26755644</v>
      </c>
    </row>
    <row r="38" spans="1:7" x14ac:dyDescent="0.25">
      <c r="A38" s="530" t="s">
        <v>680</v>
      </c>
      <c r="B38" s="525"/>
      <c r="C38" s="525" t="s">
        <v>817</v>
      </c>
      <c r="D38" s="529" t="s">
        <v>890</v>
      </c>
      <c r="E38" s="523" t="s">
        <v>889</v>
      </c>
      <c r="F38" s="528">
        <v>26999953</v>
      </c>
      <c r="G38" s="535">
        <v>26755644</v>
      </c>
    </row>
    <row r="39" spans="1:7" x14ac:dyDescent="0.25">
      <c r="A39" s="530" t="s">
        <v>680</v>
      </c>
      <c r="B39" s="525"/>
      <c r="C39" s="525" t="s">
        <v>817</v>
      </c>
      <c r="D39" s="529" t="s">
        <v>888</v>
      </c>
      <c r="E39" s="523" t="s">
        <v>887</v>
      </c>
      <c r="F39" s="535">
        <v>25869785</v>
      </c>
      <c r="G39" s="535">
        <v>25635703</v>
      </c>
    </row>
    <row r="40" spans="1:7" x14ac:dyDescent="0.25">
      <c r="A40" s="530" t="s">
        <v>680</v>
      </c>
      <c r="B40" s="525"/>
      <c r="C40" s="525" t="s">
        <v>817</v>
      </c>
      <c r="D40" s="529" t="s">
        <v>886</v>
      </c>
      <c r="E40" s="523" t="s">
        <v>885</v>
      </c>
      <c r="F40" s="535">
        <v>25762846</v>
      </c>
      <c r="G40" s="535">
        <v>25550320</v>
      </c>
    </row>
    <row r="41" spans="1:7" x14ac:dyDescent="0.25">
      <c r="A41" s="530" t="s">
        <v>680</v>
      </c>
      <c r="B41" s="525"/>
      <c r="C41" s="525" t="s">
        <v>817</v>
      </c>
      <c r="D41" s="529" t="s">
        <v>884</v>
      </c>
      <c r="E41" s="523" t="s">
        <v>883</v>
      </c>
      <c r="F41" s="535">
        <v>25582033</v>
      </c>
      <c r="G41" s="535">
        <v>25375443</v>
      </c>
    </row>
    <row r="42" spans="1:7" x14ac:dyDescent="0.25">
      <c r="A42" s="530" t="s">
        <v>680</v>
      </c>
      <c r="B42" s="525"/>
      <c r="C42" s="525" t="s">
        <v>817</v>
      </c>
      <c r="D42" s="529" t="s">
        <v>882</v>
      </c>
      <c r="E42" s="523" t="s">
        <v>881</v>
      </c>
      <c r="F42" s="528">
        <v>25582033</v>
      </c>
      <c r="G42" s="535">
        <v>25375443</v>
      </c>
    </row>
    <row r="43" spans="1:7" x14ac:dyDescent="0.25">
      <c r="A43" s="530" t="s">
        <v>680</v>
      </c>
      <c r="B43" s="525"/>
      <c r="C43" s="525" t="s">
        <v>817</v>
      </c>
      <c r="D43" s="529" t="s">
        <v>880</v>
      </c>
      <c r="E43" s="523" t="s">
        <v>879</v>
      </c>
      <c r="F43" s="528">
        <v>25340517</v>
      </c>
      <c r="G43" s="528">
        <v>25136436</v>
      </c>
    </row>
    <row r="44" spans="1:7" x14ac:dyDescent="0.25">
      <c r="A44" s="530" t="s">
        <v>680</v>
      </c>
      <c r="B44" s="525"/>
      <c r="C44" s="525" t="s">
        <v>817</v>
      </c>
      <c r="D44" s="529" t="s">
        <v>878</v>
      </c>
      <c r="E44" s="523" t="s">
        <v>877</v>
      </c>
      <c r="F44" s="528">
        <v>25340517</v>
      </c>
      <c r="G44" s="528">
        <v>25136436</v>
      </c>
    </row>
    <row r="45" spans="1:7" x14ac:dyDescent="0.25">
      <c r="A45" s="530" t="s">
        <v>680</v>
      </c>
      <c r="B45" s="525"/>
      <c r="C45" s="525" t="s">
        <v>817</v>
      </c>
      <c r="D45" s="529" t="s">
        <v>876</v>
      </c>
      <c r="E45" s="523" t="s">
        <v>875</v>
      </c>
      <c r="F45" s="528">
        <v>25289342</v>
      </c>
      <c r="G45" s="528">
        <v>25085673</v>
      </c>
    </row>
    <row r="46" spans="1:7" x14ac:dyDescent="0.25">
      <c r="A46" s="530" t="s">
        <v>680</v>
      </c>
      <c r="B46" s="525"/>
      <c r="C46" s="525" t="s">
        <v>817</v>
      </c>
      <c r="D46" s="529" t="s">
        <v>874</v>
      </c>
      <c r="E46" s="523" t="s">
        <v>873</v>
      </c>
      <c r="F46" s="528">
        <v>25289342</v>
      </c>
      <c r="G46" s="528">
        <v>25085673</v>
      </c>
    </row>
    <row r="47" spans="1:7" x14ac:dyDescent="0.25">
      <c r="A47" s="530" t="s">
        <v>680</v>
      </c>
      <c r="B47" s="525"/>
      <c r="C47" s="525" t="s">
        <v>817</v>
      </c>
      <c r="D47" s="529" t="s">
        <v>872</v>
      </c>
      <c r="E47" s="523" t="s">
        <v>871</v>
      </c>
      <c r="F47" s="528">
        <v>25135877</v>
      </c>
      <c r="G47" s="528">
        <v>0</v>
      </c>
    </row>
    <row r="48" spans="1:7" x14ac:dyDescent="0.25">
      <c r="A48" s="530" t="s">
        <v>680</v>
      </c>
      <c r="B48" s="525"/>
      <c r="C48" s="525" t="s">
        <v>817</v>
      </c>
      <c r="D48" s="529" t="s">
        <v>870</v>
      </c>
      <c r="E48" s="523" t="s">
        <v>869</v>
      </c>
      <c r="F48" s="528">
        <v>25135877</v>
      </c>
      <c r="G48" s="528">
        <v>0</v>
      </c>
    </row>
    <row r="49" spans="1:7" x14ac:dyDescent="0.25">
      <c r="A49" s="530" t="s">
        <v>680</v>
      </c>
      <c r="B49" s="525"/>
      <c r="C49" s="525" t="s">
        <v>817</v>
      </c>
      <c r="D49" s="529" t="s">
        <v>868</v>
      </c>
      <c r="E49" s="523" t="s">
        <v>867</v>
      </c>
      <c r="F49" s="528">
        <v>18730409</v>
      </c>
      <c r="G49" s="528">
        <v>18578737</v>
      </c>
    </row>
    <row r="50" spans="1:7" x14ac:dyDescent="0.25">
      <c r="A50" s="530" t="s">
        <v>680</v>
      </c>
      <c r="B50" s="525"/>
      <c r="C50" s="525" t="s">
        <v>817</v>
      </c>
      <c r="D50" s="536" t="s">
        <v>866</v>
      </c>
      <c r="E50" s="523" t="s">
        <v>865</v>
      </c>
      <c r="F50" s="535">
        <v>16322489</v>
      </c>
      <c r="G50" s="535">
        <v>16174796</v>
      </c>
    </row>
    <row r="51" spans="1:7" x14ac:dyDescent="0.25">
      <c r="A51" s="530" t="s">
        <v>680</v>
      </c>
      <c r="B51" s="525"/>
      <c r="C51" s="525" t="s">
        <v>817</v>
      </c>
      <c r="D51" s="529" t="s">
        <v>864</v>
      </c>
      <c r="E51" s="523" t="s">
        <v>863</v>
      </c>
      <c r="F51" s="535">
        <v>15244557</v>
      </c>
      <c r="G51" s="535">
        <v>15121784</v>
      </c>
    </row>
    <row r="52" spans="1:7" x14ac:dyDescent="0.25">
      <c r="A52" s="530" t="s">
        <v>680</v>
      </c>
      <c r="B52" s="525"/>
      <c r="C52" s="525" t="s">
        <v>817</v>
      </c>
      <c r="D52" s="529" t="s">
        <v>862</v>
      </c>
      <c r="E52" s="523" t="s">
        <v>861</v>
      </c>
      <c r="F52" s="528">
        <v>15244557</v>
      </c>
      <c r="G52" s="535">
        <v>15121784</v>
      </c>
    </row>
    <row r="53" spans="1:7" x14ac:dyDescent="0.25">
      <c r="A53" s="530" t="s">
        <v>680</v>
      </c>
      <c r="B53" s="525"/>
      <c r="C53" s="525" t="s">
        <v>817</v>
      </c>
      <c r="D53" s="529" t="s">
        <v>860</v>
      </c>
      <c r="E53" s="523" t="s">
        <v>859</v>
      </c>
      <c r="F53" s="528">
        <v>15244557</v>
      </c>
      <c r="G53" s="535">
        <v>15121784</v>
      </c>
    </row>
    <row r="54" spans="1:7" x14ac:dyDescent="0.25">
      <c r="A54" s="530" t="s">
        <v>680</v>
      </c>
      <c r="B54" s="525"/>
      <c r="C54" s="525" t="s">
        <v>817</v>
      </c>
      <c r="D54" s="529" t="s">
        <v>858</v>
      </c>
      <c r="E54" s="523" t="s">
        <v>857</v>
      </c>
      <c r="F54" s="528">
        <v>11585465</v>
      </c>
      <c r="G54" s="528">
        <v>11491651</v>
      </c>
    </row>
    <row r="55" spans="1:7" x14ac:dyDescent="0.25">
      <c r="A55" s="530" t="s">
        <v>680</v>
      </c>
      <c r="B55" s="525"/>
      <c r="C55" s="525" t="s">
        <v>817</v>
      </c>
      <c r="D55" s="529" t="s">
        <v>856</v>
      </c>
      <c r="E55" s="523" t="s">
        <v>855</v>
      </c>
      <c r="F55" s="528">
        <v>5204561</v>
      </c>
      <c r="G55" s="528">
        <v>5162531</v>
      </c>
    </row>
    <row r="56" spans="1:7" x14ac:dyDescent="0.25">
      <c r="A56" s="530" t="s">
        <v>680</v>
      </c>
      <c r="B56" s="525"/>
      <c r="C56" s="525" t="s">
        <v>817</v>
      </c>
      <c r="D56" s="529" t="s">
        <v>854</v>
      </c>
      <c r="E56" s="523" t="s">
        <v>853</v>
      </c>
      <c r="F56" s="528">
        <v>2368456</v>
      </c>
      <c r="G56" s="528">
        <v>2349277</v>
      </c>
    </row>
    <row r="57" spans="1:7" x14ac:dyDescent="0.25">
      <c r="A57" s="530" t="s">
        <v>680</v>
      </c>
      <c r="B57" s="525"/>
      <c r="C57" s="525" t="s">
        <v>817</v>
      </c>
      <c r="D57" s="529" t="s">
        <v>852</v>
      </c>
      <c r="E57" s="523" t="s">
        <v>851</v>
      </c>
      <c r="F57" s="528">
        <v>2036470</v>
      </c>
      <c r="G57" s="528">
        <v>2020069</v>
      </c>
    </row>
    <row r="58" spans="1:7" x14ac:dyDescent="0.25">
      <c r="A58" s="530" t="s">
        <v>680</v>
      </c>
      <c r="B58" s="525"/>
      <c r="C58" s="525" t="s">
        <v>817</v>
      </c>
      <c r="D58" s="529" t="s">
        <v>850</v>
      </c>
      <c r="E58" s="523" t="s">
        <v>849</v>
      </c>
      <c r="F58" s="528">
        <v>823741</v>
      </c>
      <c r="G58" s="528">
        <v>817107</v>
      </c>
    </row>
    <row r="59" spans="1:7" x14ac:dyDescent="0.25">
      <c r="A59" s="530" t="s">
        <v>680</v>
      </c>
      <c r="B59" s="525"/>
      <c r="C59" s="525" t="s">
        <v>817</v>
      </c>
      <c r="D59" s="529" t="s">
        <v>848</v>
      </c>
      <c r="E59" s="523" t="s">
        <v>847</v>
      </c>
      <c r="F59" s="528">
        <v>0</v>
      </c>
      <c r="G59" s="528">
        <v>30800684</v>
      </c>
    </row>
    <row r="60" spans="1:7" x14ac:dyDescent="0.25">
      <c r="A60" s="530" t="s">
        <v>680</v>
      </c>
      <c r="B60" s="525"/>
      <c r="C60" s="525" t="s">
        <v>817</v>
      </c>
      <c r="D60" s="529" t="s">
        <v>846</v>
      </c>
      <c r="E60" s="523" t="s">
        <v>845</v>
      </c>
      <c r="F60" s="528">
        <v>0</v>
      </c>
      <c r="G60" s="528">
        <v>28898860</v>
      </c>
    </row>
    <row r="61" spans="1:7" x14ac:dyDescent="0.25">
      <c r="A61" s="530" t="s">
        <v>680</v>
      </c>
      <c r="B61" s="525"/>
      <c r="C61" s="525" t="s">
        <v>817</v>
      </c>
      <c r="D61" s="529" t="s">
        <v>844</v>
      </c>
      <c r="E61" s="523" t="s">
        <v>843</v>
      </c>
      <c r="F61" s="528">
        <v>0</v>
      </c>
      <c r="G61" s="528">
        <v>28899537</v>
      </c>
    </row>
    <row r="62" spans="1:7" x14ac:dyDescent="0.25">
      <c r="A62" s="527" t="s">
        <v>680</v>
      </c>
      <c r="B62" s="526"/>
      <c r="C62" s="526" t="s">
        <v>817</v>
      </c>
      <c r="D62" s="524" t="s">
        <v>842</v>
      </c>
      <c r="E62" s="534" t="s">
        <v>841</v>
      </c>
      <c r="F62" s="522">
        <v>0</v>
      </c>
      <c r="G62" s="522">
        <v>28899537</v>
      </c>
    </row>
    <row r="63" spans="1:7" x14ac:dyDescent="0.25">
      <c r="A63" s="521"/>
      <c r="B63" s="521"/>
      <c r="C63" s="521"/>
      <c r="D63" s="520"/>
      <c r="E63" s="520"/>
      <c r="F63" s="519">
        <f>SUM(F18:F62)</f>
        <v>981990314</v>
      </c>
      <c r="G63" s="519">
        <f>SUM(G18:G62)</f>
        <v>856479262</v>
      </c>
    </row>
    <row r="64" spans="1:7" x14ac:dyDescent="0.25">
      <c r="A64" s="525" t="s">
        <v>734</v>
      </c>
      <c r="B64" s="525"/>
      <c r="C64" s="525" t="s">
        <v>834</v>
      </c>
      <c r="D64" s="523" t="s">
        <v>840</v>
      </c>
      <c r="E64" s="523" t="s">
        <v>840</v>
      </c>
      <c r="F64" s="533">
        <v>0</v>
      </c>
      <c r="G64" s="533">
        <v>9086893</v>
      </c>
    </row>
    <row r="65" spans="1:7" x14ac:dyDescent="0.25">
      <c r="A65" s="530" t="s">
        <v>734</v>
      </c>
      <c r="B65" s="525"/>
      <c r="C65" s="525" t="s">
        <v>834</v>
      </c>
      <c r="D65" s="532">
        <v>1537012</v>
      </c>
      <c r="E65" s="531" t="s">
        <v>839</v>
      </c>
      <c r="F65" s="528">
        <v>20202921</v>
      </c>
      <c r="G65" s="528">
        <v>0</v>
      </c>
    </row>
    <row r="66" spans="1:7" x14ac:dyDescent="0.25">
      <c r="A66" s="530" t="s">
        <v>734</v>
      </c>
      <c r="B66" s="525"/>
      <c r="C66" s="525" t="s">
        <v>834</v>
      </c>
      <c r="D66" s="532">
        <v>1444891</v>
      </c>
      <c r="E66" s="531" t="s">
        <v>838</v>
      </c>
      <c r="F66" s="528">
        <v>5082418</v>
      </c>
      <c r="G66" s="528">
        <v>0</v>
      </c>
    </row>
    <row r="67" spans="1:7" x14ac:dyDescent="0.25">
      <c r="A67" s="530" t="s">
        <v>734</v>
      </c>
      <c r="B67" s="525"/>
      <c r="C67" s="525" t="s">
        <v>834</v>
      </c>
      <c r="D67" s="532">
        <v>1444883</v>
      </c>
      <c r="E67" s="531" t="s">
        <v>837</v>
      </c>
      <c r="F67" s="528">
        <v>2036397</v>
      </c>
      <c r="G67" s="528">
        <v>0</v>
      </c>
    </row>
    <row r="68" spans="1:7" x14ac:dyDescent="0.25">
      <c r="A68" s="530" t="s">
        <v>734</v>
      </c>
      <c r="B68" s="525"/>
      <c r="C68" s="525" t="s">
        <v>834</v>
      </c>
      <c r="D68" s="529" t="s">
        <v>836</v>
      </c>
      <c r="E68" s="523" t="s">
        <v>835</v>
      </c>
      <c r="F68" s="528">
        <v>1029182</v>
      </c>
      <c r="G68" s="528">
        <v>0</v>
      </c>
    </row>
    <row r="69" spans="1:7" x14ac:dyDescent="0.25">
      <c r="A69" s="530" t="s">
        <v>734</v>
      </c>
      <c r="B69" s="525"/>
      <c r="C69" s="525" t="s">
        <v>834</v>
      </c>
      <c r="D69" s="529" t="s">
        <v>833</v>
      </c>
      <c r="E69" s="523" t="s">
        <v>832</v>
      </c>
      <c r="F69" s="528">
        <v>1024565</v>
      </c>
      <c r="G69" s="528">
        <v>0</v>
      </c>
    </row>
    <row r="70" spans="1:7" x14ac:dyDescent="0.25">
      <c r="A70" s="521"/>
      <c r="B70" s="521"/>
      <c r="C70" s="521"/>
      <c r="D70" s="520"/>
      <c r="E70" s="520"/>
      <c r="F70" s="519">
        <f>SUM(F64:F69)</f>
        <v>29375483</v>
      </c>
      <c r="G70" s="519">
        <f>SUM(G64:G69)</f>
        <v>9086893</v>
      </c>
    </row>
    <row r="71" spans="1:7" x14ac:dyDescent="0.25">
      <c r="A71" s="530" t="s">
        <v>734</v>
      </c>
      <c r="B71" s="525"/>
      <c r="C71" s="525" t="s">
        <v>817</v>
      </c>
      <c r="D71" s="529" t="s">
        <v>831</v>
      </c>
      <c r="E71" s="523" t="s">
        <v>830</v>
      </c>
      <c r="F71" s="528">
        <v>15112045</v>
      </c>
      <c r="G71" s="528">
        <v>0</v>
      </c>
    </row>
    <row r="72" spans="1:7" x14ac:dyDescent="0.25">
      <c r="A72" s="530" t="s">
        <v>734</v>
      </c>
      <c r="B72" s="525"/>
      <c r="C72" s="525" t="s">
        <v>817</v>
      </c>
      <c r="D72" s="529" t="s">
        <v>829</v>
      </c>
      <c r="E72" s="523" t="s">
        <v>828</v>
      </c>
      <c r="F72" s="528">
        <v>15112045</v>
      </c>
      <c r="G72" s="528">
        <v>0</v>
      </c>
    </row>
    <row r="73" spans="1:7" x14ac:dyDescent="0.25">
      <c r="A73" s="530" t="s">
        <v>734</v>
      </c>
      <c r="B73" s="525"/>
      <c r="C73" s="525" t="s">
        <v>817</v>
      </c>
      <c r="D73" s="529" t="s">
        <v>816</v>
      </c>
      <c r="E73" s="523" t="s">
        <v>815</v>
      </c>
      <c r="F73" s="528">
        <v>12990834</v>
      </c>
      <c r="G73" s="528">
        <v>0</v>
      </c>
    </row>
    <row r="74" spans="1:7" x14ac:dyDescent="0.25">
      <c r="A74" s="530" t="s">
        <v>734</v>
      </c>
      <c r="B74" s="525"/>
      <c r="C74" s="525" t="s">
        <v>817</v>
      </c>
      <c r="D74" s="529" t="s">
        <v>825</v>
      </c>
      <c r="E74" s="523" t="s">
        <v>824</v>
      </c>
      <c r="F74" s="528">
        <v>10245779</v>
      </c>
      <c r="G74" s="528">
        <v>0</v>
      </c>
    </row>
    <row r="75" spans="1:7" x14ac:dyDescent="0.25">
      <c r="A75" s="530" t="s">
        <v>734</v>
      </c>
      <c r="B75" s="525"/>
      <c r="C75" s="525" t="s">
        <v>817</v>
      </c>
      <c r="D75" s="529" t="s">
        <v>827</v>
      </c>
      <c r="E75" s="523" t="s">
        <v>826</v>
      </c>
      <c r="F75" s="528">
        <v>0</v>
      </c>
      <c r="G75" s="528">
        <v>10163941</v>
      </c>
    </row>
    <row r="76" spans="1:7" x14ac:dyDescent="0.25">
      <c r="A76" s="530" t="s">
        <v>734</v>
      </c>
      <c r="B76" s="525"/>
      <c r="C76" s="525" t="s">
        <v>817</v>
      </c>
      <c r="D76" s="529" t="s">
        <v>825</v>
      </c>
      <c r="E76" s="523" t="s">
        <v>824</v>
      </c>
      <c r="F76" s="528">
        <v>0</v>
      </c>
      <c r="G76" s="528">
        <v>10163264</v>
      </c>
    </row>
    <row r="77" spans="1:7" x14ac:dyDescent="0.25">
      <c r="A77" s="530" t="s">
        <v>734</v>
      </c>
      <c r="B77" s="525"/>
      <c r="C77" s="525" t="s">
        <v>817</v>
      </c>
      <c r="D77" s="529" t="s">
        <v>823</v>
      </c>
      <c r="E77" s="523" t="s">
        <v>822</v>
      </c>
      <c r="F77" s="528">
        <v>0</v>
      </c>
      <c r="G77" s="528">
        <v>10081189</v>
      </c>
    </row>
    <row r="78" spans="1:7" x14ac:dyDescent="0.25">
      <c r="A78" s="530" t="s">
        <v>734</v>
      </c>
      <c r="B78" s="525"/>
      <c r="C78" s="525" t="s">
        <v>817</v>
      </c>
      <c r="D78" s="529" t="s">
        <v>821</v>
      </c>
      <c r="E78" s="523" t="s">
        <v>820</v>
      </c>
      <c r="F78" s="528">
        <v>0</v>
      </c>
      <c r="G78" s="528">
        <v>20148946</v>
      </c>
    </row>
    <row r="79" spans="1:7" x14ac:dyDescent="0.25">
      <c r="A79" s="530" t="s">
        <v>734</v>
      </c>
      <c r="B79" s="525"/>
      <c r="C79" s="525" t="s">
        <v>817</v>
      </c>
      <c r="D79" s="529" t="s">
        <v>819</v>
      </c>
      <c r="E79" s="523" t="s">
        <v>818</v>
      </c>
      <c r="F79" s="528">
        <v>0</v>
      </c>
      <c r="G79" s="528">
        <v>15000000</v>
      </c>
    </row>
    <row r="80" spans="1:7" x14ac:dyDescent="0.25">
      <c r="A80" s="527" t="s">
        <v>734</v>
      </c>
      <c r="B80" s="526"/>
      <c r="C80" s="525" t="s">
        <v>817</v>
      </c>
      <c r="D80" s="524" t="s">
        <v>816</v>
      </c>
      <c r="E80" s="523" t="s">
        <v>815</v>
      </c>
      <c r="F80" s="522">
        <v>0</v>
      </c>
      <c r="G80" s="522">
        <v>12873286</v>
      </c>
    </row>
    <row r="81" spans="1:7" x14ac:dyDescent="0.25">
      <c r="A81" s="521"/>
      <c r="B81" s="521"/>
      <c r="C81" s="521"/>
      <c r="D81" s="520"/>
      <c r="E81" s="520"/>
      <c r="F81" s="519">
        <f>SUM(F71:F80)</f>
        <v>53460703</v>
      </c>
      <c r="G81" s="519">
        <f>SUM(G71:G80)</f>
        <v>78430626</v>
      </c>
    </row>
    <row r="82" spans="1:7" ht="15.75" thickBot="1" x14ac:dyDescent="0.3">
      <c r="A82" s="518"/>
      <c r="B82" s="518"/>
      <c r="C82" s="518"/>
      <c r="D82" s="518" t="s">
        <v>485</v>
      </c>
      <c r="E82" s="518"/>
      <c r="F82" s="517">
        <f>+F63+F70+F81</f>
        <v>1064826500</v>
      </c>
      <c r="G82" s="517">
        <f>+G63+G70+G81</f>
        <v>943996781</v>
      </c>
    </row>
    <row r="83" spans="1:7" ht="15.75" thickTop="1" x14ac:dyDescent="0.25">
      <c r="F83" s="516" t="e">
        <f>+F82-Notes!$C$5</f>
        <v>#REF!</v>
      </c>
      <c r="G83" s="515">
        <f>+G82-Notes!$E$5</f>
        <v>0</v>
      </c>
    </row>
  </sheetData>
  <autoFilter ref="A17:G83" xr:uid="{00000000-0009-0000-0000-00000B000000}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5"/>
  <dimension ref="A1:N221"/>
  <sheetViews>
    <sheetView workbookViewId="0"/>
  </sheetViews>
  <sheetFormatPr defaultColWidth="9.140625" defaultRowHeight="12.75" x14ac:dyDescent="0.2"/>
  <cols>
    <col min="1" max="1" width="37.85546875" style="40" customWidth="1"/>
    <col min="2" max="2" width="13.140625" style="23" customWidth="1"/>
    <col min="3" max="3" width="20.85546875" style="40" customWidth="1"/>
    <col min="4" max="4" width="20.85546875" style="41" customWidth="1"/>
    <col min="5" max="6" width="20.85546875" style="40" customWidth="1"/>
    <col min="7" max="7" width="21.42578125" style="40" customWidth="1"/>
    <col min="8" max="10" width="20.140625" style="40" customWidth="1"/>
    <col min="11" max="11" width="21.42578125" style="40" customWidth="1"/>
    <col min="12" max="14" width="20.140625" style="40" customWidth="1"/>
    <col min="15" max="16384" width="9.140625" style="41"/>
  </cols>
  <sheetData>
    <row r="1" spans="1:14" ht="17.25" x14ac:dyDescent="0.3">
      <c r="A1" s="14" t="s">
        <v>0</v>
      </c>
      <c r="B1" s="15"/>
    </row>
    <row r="2" spans="1:14" ht="15.75" x14ac:dyDescent="0.25">
      <c r="A2" s="16" t="s">
        <v>1</v>
      </c>
      <c r="B2" s="17"/>
    </row>
    <row r="3" spans="1:14" ht="15.75" x14ac:dyDescent="0.25">
      <c r="A3" s="16" t="s">
        <v>2</v>
      </c>
      <c r="B3" s="17"/>
    </row>
    <row r="4" spans="1:14" ht="15.75" x14ac:dyDescent="0.25">
      <c r="A4" s="18"/>
      <c r="B4" s="19"/>
      <c r="C4" s="594" t="s">
        <v>442</v>
      </c>
      <c r="D4" s="594"/>
      <c r="E4" s="593" t="s">
        <v>443</v>
      </c>
      <c r="F4" s="593"/>
      <c r="G4" s="595" t="s">
        <v>444</v>
      </c>
      <c r="H4" s="596"/>
      <c r="I4" s="595" t="s">
        <v>447</v>
      </c>
      <c r="J4" s="596"/>
      <c r="K4" s="593" t="s">
        <v>3</v>
      </c>
      <c r="L4" s="593"/>
      <c r="M4" s="593" t="s">
        <v>4</v>
      </c>
      <c r="N4" s="593"/>
    </row>
    <row r="5" spans="1:14" ht="12.75" customHeight="1" x14ac:dyDescent="0.2">
      <c r="A5" s="33" t="s">
        <v>5</v>
      </c>
      <c r="B5" s="34" t="s">
        <v>6</v>
      </c>
      <c r="C5" s="35" t="s">
        <v>445</v>
      </c>
      <c r="D5" s="35" t="s">
        <v>446</v>
      </c>
      <c r="E5" s="35" t="s">
        <v>445</v>
      </c>
      <c r="F5" s="35" t="s">
        <v>446</v>
      </c>
      <c r="G5" s="35" t="s">
        <v>445</v>
      </c>
      <c r="H5" s="35" t="s">
        <v>446</v>
      </c>
      <c r="I5" s="35" t="s">
        <v>445</v>
      </c>
      <c r="J5" s="35" t="s">
        <v>446</v>
      </c>
      <c r="K5" s="35" t="s">
        <v>445</v>
      </c>
      <c r="L5" s="35" t="s">
        <v>446</v>
      </c>
      <c r="M5" s="35" t="s">
        <v>445</v>
      </c>
      <c r="N5" s="51" t="s">
        <v>446</v>
      </c>
    </row>
    <row r="6" spans="1:14" x14ac:dyDescent="0.2">
      <c r="A6" s="4" t="s">
        <v>7</v>
      </c>
      <c r="B6" s="23" t="s">
        <v>8</v>
      </c>
      <c r="C6" s="53">
        <v>38404060.579999998</v>
      </c>
      <c r="D6" s="1"/>
      <c r="E6" s="2">
        <v>19954773.370000001</v>
      </c>
      <c r="F6" s="3"/>
      <c r="G6" s="2">
        <v>545961.88</v>
      </c>
      <c r="H6" s="2"/>
      <c r="I6" s="3">
        <f>C6+E6+G6</f>
        <v>58904795.830000006</v>
      </c>
      <c r="J6" s="3">
        <f t="shared" ref="J6:J69" si="0">D6+F6+H6</f>
        <v>0</v>
      </c>
      <c r="K6" s="3">
        <f>I6</f>
        <v>58904795.830000006</v>
      </c>
      <c r="L6" s="3">
        <f t="shared" ref="L6:L69" si="1">J6</f>
        <v>0</v>
      </c>
      <c r="M6" s="2"/>
      <c r="N6" s="52"/>
    </row>
    <row r="7" spans="1:14" x14ac:dyDescent="0.2">
      <c r="A7" s="4" t="s">
        <v>9</v>
      </c>
      <c r="B7" s="13" t="s">
        <v>10</v>
      </c>
      <c r="C7" s="1">
        <v>61711277.240000002</v>
      </c>
      <c r="D7" s="1"/>
      <c r="E7" s="2">
        <v>11899533.390000001</v>
      </c>
      <c r="F7" s="3"/>
      <c r="G7" s="2">
        <v>61106197.710000001</v>
      </c>
      <c r="H7" s="2"/>
      <c r="I7" s="3">
        <f t="shared" ref="I7:J70" si="2">C7+E7+G7</f>
        <v>134717008.34</v>
      </c>
      <c r="J7" s="3">
        <f t="shared" si="0"/>
        <v>0</v>
      </c>
      <c r="K7" s="3">
        <f t="shared" ref="K7:L70" si="3">I7</f>
        <v>134717008.34</v>
      </c>
      <c r="L7" s="3">
        <f t="shared" si="1"/>
        <v>0</v>
      </c>
      <c r="M7" s="2"/>
      <c r="N7" s="52"/>
    </row>
    <row r="8" spans="1:14" x14ac:dyDescent="0.2">
      <c r="A8" s="4" t="s">
        <v>11</v>
      </c>
      <c r="B8" s="13" t="s">
        <v>12</v>
      </c>
      <c r="C8" s="1">
        <v>702195288.17999995</v>
      </c>
      <c r="D8" s="1"/>
      <c r="E8" s="2">
        <v>72288853.120000005</v>
      </c>
      <c r="F8" s="3"/>
      <c r="G8" s="2">
        <v>9931581.2400000002</v>
      </c>
      <c r="H8" s="2"/>
      <c r="I8" s="3">
        <f t="shared" si="2"/>
        <v>784415722.53999996</v>
      </c>
      <c r="J8" s="3">
        <f t="shared" si="0"/>
        <v>0</v>
      </c>
      <c r="K8" s="3">
        <f t="shared" si="3"/>
        <v>784415722.53999996</v>
      </c>
      <c r="L8" s="3">
        <f t="shared" si="1"/>
        <v>0</v>
      </c>
      <c r="M8" s="2"/>
      <c r="N8" s="52"/>
    </row>
    <row r="9" spans="1:14" ht="12.75" customHeight="1" x14ac:dyDescent="0.2">
      <c r="A9" s="4" t="s">
        <v>13</v>
      </c>
      <c r="B9" s="13" t="s">
        <v>14</v>
      </c>
      <c r="C9" s="1">
        <v>4694492.88</v>
      </c>
      <c r="D9" s="1"/>
      <c r="E9" s="2"/>
      <c r="F9" s="3"/>
      <c r="G9" s="2"/>
      <c r="H9" s="2"/>
      <c r="I9" s="3">
        <f t="shared" si="2"/>
        <v>4694492.88</v>
      </c>
      <c r="J9" s="3">
        <f t="shared" si="0"/>
        <v>0</v>
      </c>
      <c r="K9" s="3">
        <f t="shared" si="3"/>
        <v>4694492.88</v>
      </c>
      <c r="L9" s="3">
        <f t="shared" si="1"/>
        <v>0</v>
      </c>
      <c r="M9" s="2"/>
      <c r="N9" s="52"/>
    </row>
    <row r="10" spans="1:14" ht="12.75" customHeight="1" x14ac:dyDescent="0.2">
      <c r="A10" s="4" t="s">
        <v>15</v>
      </c>
      <c r="B10" s="13" t="s">
        <v>16</v>
      </c>
      <c r="C10" s="1"/>
      <c r="D10" s="1"/>
      <c r="E10" s="2">
        <v>61765.83</v>
      </c>
      <c r="F10" s="3"/>
      <c r="G10" s="2">
        <v>57961.760000000002</v>
      </c>
      <c r="H10" s="2"/>
      <c r="I10" s="3">
        <f t="shared" si="2"/>
        <v>119727.59</v>
      </c>
      <c r="J10" s="3">
        <f t="shared" si="0"/>
        <v>0</v>
      </c>
      <c r="K10" s="3">
        <f t="shared" si="3"/>
        <v>119727.59</v>
      </c>
      <c r="L10" s="3">
        <f t="shared" si="1"/>
        <v>0</v>
      </c>
      <c r="M10" s="2"/>
      <c r="N10" s="52"/>
    </row>
    <row r="11" spans="1:14" x14ac:dyDescent="0.2">
      <c r="A11" s="4" t="s">
        <v>17</v>
      </c>
      <c r="B11" s="13" t="s">
        <v>18</v>
      </c>
      <c r="C11" s="1">
        <v>66946839.799999997</v>
      </c>
      <c r="D11" s="1"/>
      <c r="E11" s="2"/>
      <c r="F11" s="3"/>
      <c r="G11" s="2"/>
      <c r="H11" s="2"/>
      <c r="I11" s="3">
        <f t="shared" si="2"/>
        <v>66946839.799999997</v>
      </c>
      <c r="J11" s="3">
        <f t="shared" si="0"/>
        <v>0</v>
      </c>
      <c r="K11" s="3">
        <f t="shared" si="3"/>
        <v>66946839.799999997</v>
      </c>
      <c r="L11" s="3">
        <f t="shared" si="1"/>
        <v>0</v>
      </c>
      <c r="M11" s="2"/>
      <c r="N11" s="52"/>
    </row>
    <row r="12" spans="1:14" x14ac:dyDescent="0.2">
      <c r="A12" s="42" t="s">
        <v>19</v>
      </c>
      <c r="B12" s="5" t="s">
        <v>20</v>
      </c>
      <c r="C12" s="1"/>
      <c r="D12" s="1"/>
      <c r="E12" s="2">
        <v>39144089.18</v>
      </c>
      <c r="F12" s="3"/>
      <c r="G12" s="2"/>
      <c r="H12" s="2"/>
      <c r="I12" s="3">
        <f t="shared" si="2"/>
        <v>39144089.18</v>
      </c>
      <c r="J12" s="3">
        <f t="shared" si="0"/>
        <v>0</v>
      </c>
      <c r="K12" s="3">
        <f t="shared" si="3"/>
        <v>39144089.18</v>
      </c>
      <c r="L12" s="3">
        <f t="shared" si="1"/>
        <v>0</v>
      </c>
      <c r="M12" s="2"/>
      <c r="N12" s="52"/>
    </row>
    <row r="13" spans="1:14" x14ac:dyDescent="0.2">
      <c r="A13" s="4" t="s">
        <v>21</v>
      </c>
      <c r="B13" s="13" t="s">
        <v>22</v>
      </c>
      <c r="C13" s="1">
        <v>191019.18</v>
      </c>
      <c r="D13" s="1"/>
      <c r="E13" s="2"/>
      <c r="F13" s="3"/>
      <c r="G13" s="2">
        <v>35203.300000000003</v>
      </c>
      <c r="H13" s="2"/>
      <c r="I13" s="3">
        <f t="shared" si="2"/>
        <v>226222.47999999998</v>
      </c>
      <c r="J13" s="3">
        <f t="shared" si="0"/>
        <v>0</v>
      </c>
      <c r="K13" s="3">
        <f t="shared" si="3"/>
        <v>226222.47999999998</v>
      </c>
      <c r="L13" s="3">
        <f t="shared" si="1"/>
        <v>0</v>
      </c>
      <c r="M13" s="2"/>
      <c r="N13" s="52"/>
    </row>
    <row r="14" spans="1:14" x14ac:dyDescent="0.2">
      <c r="A14" s="4" t="s">
        <v>23</v>
      </c>
      <c r="B14" s="13" t="s">
        <v>24</v>
      </c>
      <c r="C14" s="53">
        <v>1285746.53</v>
      </c>
      <c r="D14" s="1"/>
      <c r="E14" s="2"/>
      <c r="F14" s="3"/>
      <c r="G14" s="2">
        <v>18386.91</v>
      </c>
      <c r="H14" s="2"/>
      <c r="I14" s="3">
        <f t="shared" si="2"/>
        <v>1304133.44</v>
      </c>
      <c r="J14" s="3">
        <f t="shared" si="0"/>
        <v>0</v>
      </c>
      <c r="K14" s="3">
        <f t="shared" si="3"/>
        <v>1304133.44</v>
      </c>
      <c r="L14" s="3">
        <f t="shared" si="1"/>
        <v>0</v>
      </c>
      <c r="M14" s="2"/>
      <c r="N14" s="52"/>
    </row>
    <row r="15" spans="1:14" x14ac:dyDescent="0.2">
      <c r="A15" s="4" t="s">
        <v>25</v>
      </c>
      <c r="B15" s="20" t="s">
        <v>26</v>
      </c>
      <c r="C15" s="1"/>
      <c r="D15" s="1"/>
      <c r="E15" s="2">
        <v>250561.61</v>
      </c>
      <c r="F15" s="3"/>
      <c r="G15" s="2">
        <v>281000</v>
      </c>
      <c r="H15" s="2"/>
      <c r="I15" s="3">
        <f t="shared" si="2"/>
        <v>531561.61</v>
      </c>
      <c r="J15" s="3">
        <f t="shared" si="0"/>
        <v>0</v>
      </c>
      <c r="K15" s="3">
        <f t="shared" si="3"/>
        <v>531561.61</v>
      </c>
      <c r="L15" s="3">
        <f t="shared" si="1"/>
        <v>0</v>
      </c>
      <c r="M15" s="2"/>
      <c r="N15" s="52"/>
    </row>
    <row r="16" spans="1:14" x14ac:dyDescent="0.2">
      <c r="A16" s="4" t="s">
        <v>27</v>
      </c>
      <c r="B16" s="13" t="s">
        <v>28</v>
      </c>
      <c r="C16" s="1">
        <v>1132800.31</v>
      </c>
      <c r="D16" s="1"/>
      <c r="E16" s="2"/>
      <c r="F16" s="3"/>
      <c r="G16" s="2">
        <v>23686535.16</v>
      </c>
      <c r="H16" s="2"/>
      <c r="I16" s="3">
        <f t="shared" si="2"/>
        <v>24819335.469999999</v>
      </c>
      <c r="J16" s="3">
        <f t="shared" si="0"/>
        <v>0</v>
      </c>
      <c r="K16" s="3">
        <f t="shared" si="3"/>
        <v>24819335.469999999</v>
      </c>
      <c r="L16" s="3">
        <f t="shared" si="1"/>
        <v>0</v>
      </c>
      <c r="M16" s="2"/>
      <c r="N16" s="52"/>
    </row>
    <row r="17" spans="1:14" x14ac:dyDescent="0.2">
      <c r="A17" s="4" t="s">
        <v>29</v>
      </c>
      <c r="B17" s="13" t="s">
        <v>30</v>
      </c>
      <c r="C17" s="1">
        <v>434928.85</v>
      </c>
      <c r="D17" s="1"/>
      <c r="E17" s="2"/>
      <c r="F17" s="3"/>
      <c r="G17" s="2"/>
      <c r="H17" s="2"/>
      <c r="I17" s="3">
        <f t="shared" si="2"/>
        <v>434928.85</v>
      </c>
      <c r="J17" s="3">
        <f t="shared" si="0"/>
        <v>0</v>
      </c>
      <c r="K17" s="3">
        <f t="shared" si="3"/>
        <v>434928.85</v>
      </c>
      <c r="L17" s="3">
        <f t="shared" si="1"/>
        <v>0</v>
      </c>
      <c r="M17" s="2"/>
      <c r="N17" s="52"/>
    </row>
    <row r="18" spans="1:14" x14ac:dyDescent="0.2">
      <c r="A18" s="4" t="s">
        <v>31</v>
      </c>
      <c r="B18" s="13" t="s">
        <v>32</v>
      </c>
      <c r="C18" s="1">
        <v>7852706.1699999999</v>
      </c>
      <c r="D18" s="1"/>
      <c r="E18" s="2"/>
      <c r="F18" s="3"/>
      <c r="G18" s="2"/>
      <c r="H18" s="2"/>
      <c r="I18" s="3">
        <f t="shared" si="2"/>
        <v>7852706.1699999999</v>
      </c>
      <c r="J18" s="3">
        <f t="shared" si="0"/>
        <v>0</v>
      </c>
      <c r="K18" s="3">
        <f t="shared" si="3"/>
        <v>7852706.1699999999</v>
      </c>
      <c r="L18" s="3">
        <f t="shared" si="1"/>
        <v>0</v>
      </c>
      <c r="M18" s="2"/>
      <c r="N18" s="52"/>
    </row>
    <row r="19" spans="1:14" x14ac:dyDescent="0.2">
      <c r="A19" s="4" t="s">
        <v>33</v>
      </c>
      <c r="B19" s="13" t="s">
        <v>34</v>
      </c>
      <c r="C19" s="1">
        <v>1631015.93</v>
      </c>
      <c r="D19" s="1"/>
      <c r="E19" s="2">
        <v>66984.52</v>
      </c>
      <c r="F19" s="3"/>
      <c r="G19" s="2">
        <v>14095.47</v>
      </c>
      <c r="H19" s="2"/>
      <c r="I19" s="3">
        <f t="shared" si="2"/>
        <v>1712095.92</v>
      </c>
      <c r="J19" s="3">
        <f t="shared" si="0"/>
        <v>0</v>
      </c>
      <c r="K19" s="3">
        <f t="shared" si="3"/>
        <v>1712095.92</v>
      </c>
      <c r="L19" s="3">
        <f t="shared" si="1"/>
        <v>0</v>
      </c>
      <c r="M19" s="2"/>
      <c r="N19" s="52"/>
    </row>
    <row r="20" spans="1:14" x14ac:dyDescent="0.2">
      <c r="A20" s="4" t="s">
        <v>35</v>
      </c>
      <c r="B20" s="13" t="s">
        <v>36</v>
      </c>
      <c r="C20" s="53">
        <v>7176100.5599999996</v>
      </c>
      <c r="D20" s="1"/>
      <c r="E20" s="2">
        <v>59356.58</v>
      </c>
      <c r="F20" s="3"/>
      <c r="G20" s="2">
        <v>95758.85</v>
      </c>
      <c r="H20" s="2"/>
      <c r="I20" s="3">
        <f t="shared" si="2"/>
        <v>7331215.9899999993</v>
      </c>
      <c r="J20" s="3">
        <f t="shared" si="0"/>
        <v>0</v>
      </c>
      <c r="K20" s="3">
        <f t="shared" si="3"/>
        <v>7331215.9899999993</v>
      </c>
      <c r="L20" s="3">
        <f t="shared" si="1"/>
        <v>0</v>
      </c>
      <c r="M20" s="2"/>
      <c r="N20" s="52"/>
    </row>
    <row r="21" spans="1:14" x14ac:dyDescent="0.2">
      <c r="A21" s="4" t="s">
        <v>37</v>
      </c>
      <c r="B21" s="5" t="s">
        <v>38</v>
      </c>
      <c r="C21" s="1"/>
      <c r="D21" s="1"/>
      <c r="E21" s="2"/>
      <c r="F21" s="3"/>
      <c r="G21" s="2">
        <v>1439775</v>
      </c>
      <c r="H21" s="2"/>
      <c r="I21" s="3">
        <f t="shared" si="2"/>
        <v>1439775</v>
      </c>
      <c r="J21" s="3">
        <f t="shared" si="0"/>
        <v>0</v>
      </c>
      <c r="K21" s="3">
        <f t="shared" si="3"/>
        <v>1439775</v>
      </c>
      <c r="L21" s="3">
        <f t="shared" si="1"/>
        <v>0</v>
      </c>
      <c r="M21" s="2"/>
      <c r="N21" s="52"/>
    </row>
    <row r="22" spans="1:14" x14ac:dyDescent="0.2">
      <c r="A22" s="4" t="s">
        <v>39</v>
      </c>
      <c r="B22" s="5" t="s">
        <v>40</v>
      </c>
      <c r="C22" s="1"/>
      <c r="D22" s="1"/>
      <c r="E22" s="2"/>
      <c r="F22" s="3"/>
      <c r="G22" s="2">
        <v>989424.45</v>
      </c>
      <c r="H22" s="2"/>
      <c r="I22" s="3">
        <f t="shared" si="2"/>
        <v>989424.45</v>
      </c>
      <c r="J22" s="3">
        <f t="shared" si="0"/>
        <v>0</v>
      </c>
      <c r="K22" s="3">
        <f t="shared" si="3"/>
        <v>989424.45</v>
      </c>
      <c r="L22" s="3">
        <f t="shared" si="1"/>
        <v>0</v>
      </c>
      <c r="M22" s="2"/>
      <c r="N22" s="52"/>
    </row>
    <row r="23" spans="1:14" x14ac:dyDescent="0.2">
      <c r="A23" s="4" t="s">
        <v>41</v>
      </c>
      <c r="B23" s="13" t="s">
        <v>42</v>
      </c>
      <c r="C23" s="1">
        <v>12127499.279999999</v>
      </c>
      <c r="D23" s="1"/>
      <c r="E23" s="2">
        <v>913283.95</v>
      </c>
      <c r="F23" s="3"/>
      <c r="G23" s="2"/>
      <c r="H23" s="2"/>
      <c r="I23" s="3">
        <f t="shared" si="2"/>
        <v>13040783.229999999</v>
      </c>
      <c r="J23" s="3">
        <f t="shared" si="0"/>
        <v>0</v>
      </c>
      <c r="K23" s="3">
        <f t="shared" si="3"/>
        <v>13040783.229999999</v>
      </c>
      <c r="L23" s="3">
        <f t="shared" si="1"/>
        <v>0</v>
      </c>
      <c r="M23" s="2"/>
      <c r="N23" s="52"/>
    </row>
    <row r="24" spans="1:14" x14ac:dyDescent="0.2">
      <c r="A24" s="4" t="s">
        <v>43</v>
      </c>
      <c r="B24" s="13" t="s">
        <v>44</v>
      </c>
      <c r="C24" s="1">
        <v>1837497.4</v>
      </c>
      <c r="D24" s="1"/>
      <c r="E24" s="2"/>
      <c r="F24" s="3"/>
      <c r="G24" s="2"/>
      <c r="H24" s="2"/>
      <c r="I24" s="3">
        <f t="shared" si="2"/>
        <v>1837497.4</v>
      </c>
      <c r="J24" s="3">
        <f t="shared" si="0"/>
        <v>0</v>
      </c>
      <c r="K24" s="3">
        <f t="shared" si="3"/>
        <v>1837497.4</v>
      </c>
      <c r="L24" s="3">
        <f t="shared" si="1"/>
        <v>0</v>
      </c>
      <c r="M24" s="2"/>
      <c r="N24" s="52"/>
    </row>
    <row r="25" spans="1:14" x14ac:dyDescent="0.2">
      <c r="A25" s="4" t="s">
        <v>45</v>
      </c>
      <c r="B25" s="13" t="s">
        <v>46</v>
      </c>
      <c r="C25" s="1">
        <v>814821</v>
      </c>
      <c r="D25" s="1"/>
      <c r="E25" s="2"/>
      <c r="F25" s="3"/>
      <c r="G25" s="2"/>
      <c r="H25" s="2"/>
      <c r="I25" s="3">
        <f t="shared" si="2"/>
        <v>814821</v>
      </c>
      <c r="J25" s="3">
        <f t="shared" si="0"/>
        <v>0</v>
      </c>
      <c r="K25" s="3">
        <f t="shared" si="3"/>
        <v>814821</v>
      </c>
      <c r="L25" s="3">
        <f t="shared" si="1"/>
        <v>0</v>
      </c>
      <c r="M25" s="2"/>
      <c r="N25" s="52"/>
    </row>
    <row r="26" spans="1:14" x14ac:dyDescent="0.2">
      <c r="A26" s="4" t="s">
        <v>47</v>
      </c>
      <c r="B26" s="13" t="s">
        <v>48</v>
      </c>
      <c r="C26" s="1">
        <v>5331160.1500000004</v>
      </c>
      <c r="D26" s="1"/>
      <c r="E26" s="2"/>
      <c r="F26" s="3"/>
      <c r="G26" s="2"/>
      <c r="H26" s="2"/>
      <c r="I26" s="3">
        <f t="shared" si="2"/>
        <v>5331160.1500000004</v>
      </c>
      <c r="J26" s="3">
        <f t="shared" si="0"/>
        <v>0</v>
      </c>
      <c r="K26" s="3">
        <f t="shared" si="3"/>
        <v>5331160.1500000004</v>
      </c>
      <c r="L26" s="3">
        <f t="shared" si="1"/>
        <v>0</v>
      </c>
      <c r="M26" s="2"/>
      <c r="N26" s="52"/>
    </row>
    <row r="27" spans="1:14" x14ac:dyDescent="0.2">
      <c r="A27" s="4" t="s">
        <v>49</v>
      </c>
      <c r="B27" s="13" t="s">
        <v>50</v>
      </c>
      <c r="C27" s="1">
        <v>1862132.3</v>
      </c>
      <c r="D27" s="1"/>
      <c r="E27" s="2"/>
      <c r="F27" s="3"/>
      <c r="G27" s="2"/>
      <c r="H27" s="2"/>
      <c r="I27" s="3">
        <f t="shared" si="2"/>
        <v>1862132.3</v>
      </c>
      <c r="J27" s="3">
        <f t="shared" si="0"/>
        <v>0</v>
      </c>
      <c r="K27" s="3">
        <f t="shared" si="3"/>
        <v>1862132.3</v>
      </c>
      <c r="L27" s="3">
        <f t="shared" si="1"/>
        <v>0</v>
      </c>
      <c r="M27" s="2"/>
      <c r="N27" s="52"/>
    </row>
    <row r="28" spans="1:14" x14ac:dyDescent="0.2">
      <c r="A28" s="4" t="s">
        <v>51</v>
      </c>
      <c r="B28" s="13" t="s">
        <v>52</v>
      </c>
      <c r="C28" s="1">
        <v>2392832.8199999998</v>
      </c>
      <c r="D28" s="1"/>
      <c r="E28" s="2">
        <v>14193</v>
      </c>
      <c r="F28" s="3"/>
      <c r="G28" s="2"/>
      <c r="H28" s="2"/>
      <c r="I28" s="3">
        <f t="shared" si="2"/>
        <v>2407025.8199999998</v>
      </c>
      <c r="J28" s="3">
        <f t="shared" si="0"/>
        <v>0</v>
      </c>
      <c r="K28" s="3">
        <f t="shared" si="3"/>
        <v>2407025.8199999998</v>
      </c>
      <c r="L28" s="3">
        <f t="shared" si="1"/>
        <v>0</v>
      </c>
      <c r="M28" s="2"/>
      <c r="N28" s="52"/>
    </row>
    <row r="29" spans="1:14" x14ac:dyDescent="0.2">
      <c r="A29" s="4" t="s">
        <v>53</v>
      </c>
      <c r="B29" s="13" t="s">
        <v>54</v>
      </c>
      <c r="C29" s="1">
        <v>10859.84</v>
      </c>
      <c r="D29" s="1"/>
      <c r="E29" s="2"/>
      <c r="F29" s="3"/>
      <c r="G29" s="2"/>
      <c r="H29" s="2"/>
      <c r="I29" s="3">
        <f t="shared" si="2"/>
        <v>10859.84</v>
      </c>
      <c r="J29" s="3">
        <f t="shared" si="0"/>
        <v>0</v>
      </c>
      <c r="K29" s="3">
        <f t="shared" si="3"/>
        <v>10859.84</v>
      </c>
      <c r="L29" s="3">
        <f t="shared" si="1"/>
        <v>0</v>
      </c>
      <c r="M29" s="2"/>
      <c r="N29" s="52"/>
    </row>
    <row r="30" spans="1:14" x14ac:dyDescent="0.2">
      <c r="A30" s="4" t="s">
        <v>55</v>
      </c>
      <c r="B30" s="13" t="s">
        <v>56</v>
      </c>
      <c r="C30" s="1">
        <v>21021782.18</v>
      </c>
      <c r="D30" s="1"/>
      <c r="E30" s="2">
        <v>11335121.189999999</v>
      </c>
      <c r="F30" s="3"/>
      <c r="G30" s="2"/>
      <c r="H30" s="2"/>
      <c r="I30" s="3">
        <f t="shared" si="2"/>
        <v>32356903.369999997</v>
      </c>
      <c r="J30" s="3">
        <f t="shared" si="0"/>
        <v>0</v>
      </c>
      <c r="K30" s="3">
        <f t="shared" si="3"/>
        <v>32356903.369999997</v>
      </c>
      <c r="L30" s="3">
        <f t="shared" si="1"/>
        <v>0</v>
      </c>
      <c r="M30" s="2"/>
      <c r="N30" s="52"/>
    </row>
    <row r="31" spans="1:14" x14ac:dyDescent="0.2">
      <c r="A31" s="4" t="s">
        <v>57</v>
      </c>
      <c r="B31" s="13" t="s">
        <v>58</v>
      </c>
      <c r="C31" s="1">
        <v>2692800</v>
      </c>
      <c r="D31" s="1"/>
      <c r="E31" s="2"/>
      <c r="F31" s="3"/>
      <c r="G31" s="2"/>
      <c r="H31" s="2"/>
      <c r="I31" s="3">
        <f t="shared" si="2"/>
        <v>2692800</v>
      </c>
      <c r="J31" s="3">
        <f t="shared" si="0"/>
        <v>0</v>
      </c>
      <c r="K31" s="3">
        <f t="shared" si="3"/>
        <v>2692800</v>
      </c>
      <c r="L31" s="3">
        <f t="shared" si="1"/>
        <v>0</v>
      </c>
      <c r="M31" s="2"/>
      <c r="N31" s="52"/>
    </row>
    <row r="32" spans="1:14" x14ac:dyDescent="0.2">
      <c r="A32" s="4" t="s">
        <v>59</v>
      </c>
      <c r="B32" s="13" t="s">
        <v>60</v>
      </c>
      <c r="C32" s="1">
        <v>484941535.76999998</v>
      </c>
      <c r="D32" s="1"/>
      <c r="E32" s="2"/>
      <c r="F32" s="3"/>
      <c r="G32" s="2"/>
      <c r="H32" s="2"/>
      <c r="I32" s="3">
        <f t="shared" si="2"/>
        <v>484941535.76999998</v>
      </c>
      <c r="J32" s="3">
        <f t="shared" si="0"/>
        <v>0</v>
      </c>
      <c r="K32" s="3">
        <f t="shared" si="3"/>
        <v>484941535.76999998</v>
      </c>
      <c r="L32" s="3">
        <f t="shared" si="1"/>
        <v>0</v>
      </c>
      <c r="M32" s="2"/>
      <c r="N32" s="52"/>
    </row>
    <row r="33" spans="1:14" x14ac:dyDescent="0.2">
      <c r="A33" s="4" t="s">
        <v>61</v>
      </c>
      <c r="B33" s="13" t="s">
        <v>62</v>
      </c>
      <c r="C33" s="1"/>
      <c r="D33" s="1">
        <v>132300868.08</v>
      </c>
      <c r="E33" s="2"/>
      <c r="F33" s="3"/>
      <c r="G33" s="2"/>
      <c r="H33" s="2"/>
      <c r="I33" s="3">
        <f t="shared" si="2"/>
        <v>0</v>
      </c>
      <c r="J33" s="3">
        <f t="shared" si="0"/>
        <v>132300868.08</v>
      </c>
      <c r="K33" s="3">
        <f t="shared" si="3"/>
        <v>0</v>
      </c>
      <c r="L33" s="3">
        <f t="shared" si="1"/>
        <v>132300868.08</v>
      </c>
      <c r="M33" s="2"/>
      <c r="N33" s="52"/>
    </row>
    <row r="34" spans="1:14" x14ac:dyDescent="0.2">
      <c r="A34" s="4" t="s">
        <v>63</v>
      </c>
      <c r="B34" s="5" t="s">
        <v>64</v>
      </c>
      <c r="C34" s="1">
        <v>305136270</v>
      </c>
      <c r="D34" s="1"/>
      <c r="E34" s="2">
        <v>7840930</v>
      </c>
      <c r="F34" s="3"/>
      <c r="G34" s="2"/>
      <c r="H34" s="2"/>
      <c r="I34" s="3">
        <f t="shared" si="2"/>
        <v>312977200</v>
      </c>
      <c r="J34" s="3">
        <f t="shared" si="0"/>
        <v>0</v>
      </c>
      <c r="K34" s="3">
        <f t="shared" si="3"/>
        <v>312977200</v>
      </c>
      <c r="L34" s="3">
        <f t="shared" si="1"/>
        <v>0</v>
      </c>
      <c r="M34" s="2"/>
      <c r="N34" s="52"/>
    </row>
    <row r="35" spans="1:14" x14ac:dyDescent="0.2">
      <c r="A35" s="4" t="s">
        <v>65</v>
      </c>
      <c r="B35" s="13" t="s">
        <v>64</v>
      </c>
      <c r="C35" s="1">
        <v>112687335.81</v>
      </c>
      <c r="D35" s="1"/>
      <c r="E35" s="2">
        <v>10201058.789999999</v>
      </c>
      <c r="F35" s="3"/>
      <c r="G35" s="2"/>
      <c r="H35" s="2"/>
      <c r="I35" s="3">
        <f t="shared" si="2"/>
        <v>122888394.59999999</v>
      </c>
      <c r="J35" s="3">
        <f t="shared" si="0"/>
        <v>0</v>
      </c>
      <c r="K35" s="3">
        <f t="shared" si="3"/>
        <v>122888394.59999999</v>
      </c>
      <c r="L35" s="3">
        <f t="shared" si="1"/>
        <v>0</v>
      </c>
      <c r="M35" s="2"/>
      <c r="N35" s="52"/>
    </row>
    <row r="36" spans="1:14" x14ac:dyDescent="0.2">
      <c r="A36" s="4" t="s">
        <v>66</v>
      </c>
      <c r="B36" s="13" t="s">
        <v>67</v>
      </c>
      <c r="C36" s="1"/>
      <c r="D36" s="6">
        <v>18909654.25</v>
      </c>
      <c r="E36" s="2"/>
      <c r="F36" s="3">
        <v>6715018.4000000004</v>
      </c>
      <c r="G36" s="2"/>
      <c r="H36" s="2"/>
      <c r="I36" s="3">
        <f t="shared" si="2"/>
        <v>0</v>
      </c>
      <c r="J36" s="3">
        <f t="shared" si="0"/>
        <v>25624672.649999999</v>
      </c>
      <c r="K36" s="3">
        <f t="shared" si="3"/>
        <v>0</v>
      </c>
      <c r="L36" s="3">
        <f t="shared" si="1"/>
        <v>25624672.649999999</v>
      </c>
      <c r="M36" s="2"/>
      <c r="N36" s="52"/>
    </row>
    <row r="37" spans="1:14" x14ac:dyDescent="0.2">
      <c r="A37" s="4" t="s">
        <v>68</v>
      </c>
      <c r="B37" s="13" t="s">
        <v>69</v>
      </c>
      <c r="C37" s="1">
        <v>94186646.909999996</v>
      </c>
      <c r="D37" s="1"/>
      <c r="E37" s="2"/>
      <c r="F37" s="3"/>
      <c r="G37" s="2"/>
      <c r="H37" s="2"/>
      <c r="I37" s="3">
        <f t="shared" si="2"/>
        <v>94186646.909999996</v>
      </c>
      <c r="J37" s="3">
        <f t="shared" si="0"/>
        <v>0</v>
      </c>
      <c r="K37" s="3">
        <f t="shared" si="3"/>
        <v>94186646.909999996</v>
      </c>
      <c r="L37" s="3">
        <f t="shared" si="1"/>
        <v>0</v>
      </c>
      <c r="M37" s="2"/>
      <c r="N37" s="52"/>
    </row>
    <row r="38" spans="1:14" x14ac:dyDescent="0.2">
      <c r="A38" s="4" t="s">
        <v>70</v>
      </c>
      <c r="B38" s="13" t="s">
        <v>71</v>
      </c>
      <c r="C38" s="1"/>
      <c r="D38" s="1">
        <v>50837860.689999998</v>
      </c>
      <c r="E38" s="2"/>
      <c r="F38" s="3"/>
      <c r="G38" s="2"/>
      <c r="H38" s="2"/>
      <c r="I38" s="3">
        <f t="shared" si="2"/>
        <v>0</v>
      </c>
      <c r="J38" s="3">
        <f t="shared" si="0"/>
        <v>50837860.689999998</v>
      </c>
      <c r="K38" s="3">
        <f t="shared" si="3"/>
        <v>0</v>
      </c>
      <c r="L38" s="3">
        <f t="shared" si="1"/>
        <v>50837860.689999998</v>
      </c>
      <c r="M38" s="2"/>
      <c r="N38" s="52"/>
    </row>
    <row r="39" spans="1:14" x14ac:dyDescent="0.2">
      <c r="A39" s="4" t="s">
        <v>72</v>
      </c>
      <c r="B39" s="13" t="s">
        <v>73</v>
      </c>
      <c r="C39" s="1">
        <v>952558586.79999995</v>
      </c>
      <c r="D39" s="1"/>
      <c r="E39" s="2">
        <v>3041406.94</v>
      </c>
      <c r="F39" s="3"/>
      <c r="G39" s="2"/>
      <c r="H39" s="2"/>
      <c r="I39" s="3">
        <f t="shared" si="2"/>
        <v>955599993.74000001</v>
      </c>
      <c r="J39" s="3">
        <f t="shared" si="0"/>
        <v>0</v>
      </c>
      <c r="K39" s="3">
        <f t="shared" si="3"/>
        <v>955599993.74000001</v>
      </c>
      <c r="L39" s="3">
        <f t="shared" si="1"/>
        <v>0</v>
      </c>
      <c r="M39" s="2"/>
      <c r="N39" s="52"/>
    </row>
    <row r="40" spans="1:14" x14ac:dyDescent="0.2">
      <c r="A40" s="4" t="s">
        <v>74</v>
      </c>
      <c r="B40" s="13" t="s">
        <v>75</v>
      </c>
      <c r="C40" s="1"/>
      <c r="D40" s="1">
        <v>121197290.3</v>
      </c>
      <c r="E40" s="2"/>
      <c r="F40" s="3">
        <v>449081.37</v>
      </c>
      <c r="G40" s="2"/>
      <c r="H40" s="2"/>
      <c r="I40" s="3">
        <f t="shared" si="2"/>
        <v>0</v>
      </c>
      <c r="J40" s="3">
        <f t="shared" si="0"/>
        <v>121646371.67</v>
      </c>
      <c r="K40" s="3">
        <f t="shared" si="3"/>
        <v>0</v>
      </c>
      <c r="L40" s="3">
        <f t="shared" si="1"/>
        <v>121646371.67</v>
      </c>
      <c r="M40" s="2"/>
      <c r="N40" s="52"/>
    </row>
    <row r="41" spans="1:14" x14ac:dyDescent="0.2">
      <c r="A41" s="4" t="s">
        <v>76</v>
      </c>
      <c r="B41" s="13" t="s">
        <v>77</v>
      </c>
      <c r="C41" s="53">
        <v>244864706.55000001</v>
      </c>
      <c r="D41" s="1"/>
      <c r="E41" s="2">
        <v>203944050.65000001</v>
      </c>
      <c r="F41" s="3"/>
      <c r="G41" s="2"/>
      <c r="H41" s="2"/>
      <c r="I41" s="3">
        <f t="shared" si="2"/>
        <v>448808757.20000005</v>
      </c>
      <c r="J41" s="3">
        <f t="shared" si="0"/>
        <v>0</v>
      </c>
      <c r="K41" s="3">
        <f t="shared" si="3"/>
        <v>448808757.20000005</v>
      </c>
      <c r="L41" s="3">
        <f t="shared" si="1"/>
        <v>0</v>
      </c>
      <c r="M41" s="2"/>
      <c r="N41" s="52"/>
    </row>
    <row r="42" spans="1:14" x14ac:dyDescent="0.2">
      <c r="A42" s="4" t="s">
        <v>78</v>
      </c>
      <c r="B42" s="13" t="s">
        <v>79</v>
      </c>
      <c r="C42" s="1"/>
      <c r="D42" s="1">
        <v>55196004.439999998</v>
      </c>
      <c r="E42" s="2"/>
      <c r="F42" s="3">
        <v>55958461.219999999</v>
      </c>
      <c r="G42" s="2"/>
      <c r="H42" s="2"/>
      <c r="I42" s="3">
        <f t="shared" si="2"/>
        <v>0</v>
      </c>
      <c r="J42" s="3">
        <f t="shared" si="0"/>
        <v>111154465.66</v>
      </c>
      <c r="K42" s="3">
        <f t="shared" si="3"/>
        <v>0</v>
      </c>
      <c r="L42" s="3">
        <f t="shared" si="1"/>
        <v>111154465.66</v>
      </c>
      <c r="M42" s="2"/>
      <c r="N42" s="52"/>
    </row>
    <row r="43" spans="1:14" x14ac:dyDescent="0.2">
      <c r="A43" s="4" t="s">
        <v>80</v>
      </c>
      <c r="B43" s="13" t="s">
        <v>81</v>
      </c>
      <c r="C43" s="1">
        <v>84845815.25</v>
      </c>
      <c r="D43" s="1"/>
      <c r="E43" s="2"/>
      <c r="F43" s="3"/>
      <c r="G43" s="2"/>
      <c r="H43" s="2"/>
      <c r="I43" s="3">
        <f t="shared" si="2"/>
        <v>84845815.25</v>
      </c>
      <c r="J43" s="3">
        <f t="shared" si="0"/>
        <v>0</v>
      </c>
      <c r="K43" s="3">
        <f t="shared" si="3"/>
        <v>84845815.25</v>
      </c>
      <c r="L43" s="3">
        <f t="shared" si="1"/>
        <v>0</v>
      </c>
      <c r="M43" s="2"/>
      <c r="N43" s="52"/>
    </row>
    <row r="44" spans="1:14" x14ac:dyDescent="0.2">
      <c r="A44" s="4" t="s">
        <v>82</v>
      </c>
      <c r="B44" s="13" t="s">
        <v>83</v>
      </c>
      <c r="C44" s="1"/>
      <c r="D44" s="1">
        <v>34052969.350000001</v>
      </c>
      <c r="E44" s="2"/>
      <c r="F44" s="3"/>
      <c r="G44" s="2"/>
      <c r="H44" s="2"/>
      <c r="I44" s="3">
        <f t="shared" si="2"/>
        <v>0</v>
      </c>
      <c r="J44" s="3">
        <f t="shared" si="0"/>
        <v>34052969.350000001</v>
      </c>
      <c r="K44" s="3">
        <f t="shared" si="3"/>
        <v>0</v>
      </c>
      <c r="L44" s="3">
        <f t="shared" si="1"/>
        <v>34052969.350000001</v>
      </c>
      <c r="M44" s="2"/>
      <c r="N44" s="52"/>
    </row>
    <row r="45" spans="1:14" x14ac:dyDescent="0.2">
      <c r="A45" s="4" t="s">
        <v>84</v>
      </c>
      <c r="B45" s="13" t="s">
        <v>85</v>
      </c>
      <c r="C45" s="1">
        <v>71914246.980000004</v>
      </c>
      <c r="D45" s="1"/>
      <c r="E45" s="2"/>
      <c r="F45" s="3"/>
      <c r="G45" s="2"/>
      <c r="H45" s="2"/>
      <c r="I45" s="3">
        <f t="shared" si="2"/>
        <v>71914246.980000004</v>
      </c>
      <c r="J45" s="3">
        <f t="shared" si="0"/>
        <v>0</v>
      </c>
      <c r="K45" s="3">
        <f t="shared" si="3"/>
        <v>71914246.980000004</v>
      </c>
      <c r="L45" s="3">
        <f t="shared" si="1"/>
        <v>0</v>
      </c>
      <c r="M45" s="2"/>
      <c r="N45" s="52"/>
    </row>
    <row r="46" spans="1:14" x14ac:dyDescent="0.2">
      <c r="A46" s="4" t="s">
        <v>86</v>
      </c>
      <c r="B46" s="13" t="s">
        <v>87</v>
      </c>
      <c r="C46" s="1"/>
      <c r="D46" s="1">
        <f>140196999.72-132300868.08</f>
        <v>7896131.6400000006</v>
      </c>
      <c r="E46" s="2"/>
      <c r="F46" s="3"/>
      <c r="G46" s="2"/>
      <c r="H46" s="2"/>
      <c r="I46" s="3">
        <f t="shared" si="2"/>
        <v>0</v>
      </c>
      <c r="J46" s="3">
        <f t="shared" si="0"/>
        <v>7896131.6400000006</v>
      </c>
      <c r="K46" s="3">
        <f t="shared" si="3"/>
        <v>0</v>
      </c>
      <c r="L46" s="3">
        <f t="shared" si="1"/>
        <v>7896131.6400000006</v>
      </c>
      <c r="M46" s="2"/>
      <c r="N46" s="52"/>
    </row>
    <row r="47" spans="1:14" x14ac:dyDescent="0.2">
      <c r="A47" s="4" t="s">
        <v>88</v>
      </c>
      <c r="B47" s="13" t="s">
        <v>89</v>
      </c>
      <c r="C47" s="1">
        <v>9430000</v>
      </c>
      <c r="D47" s="21"/>
      <c r="E47" s="2"/>
      <c r="F47" s="3"/>
      <c r="G47" s="2"/>
      <c r="H47" s="2"/>
      <c r="I47" s="3">
        <f t="shared" si="2"/>
        <v>9430000</v>
      </c>
      <c r="J47" s="3">
        <f t="shared" si="0"/>
        <v>0</v>
      </c>
      <c r="K47" s="3">
        <f t="shared" si="3"/>
        <v>9430000</v>
      </c>
      <c r="L47" s="3">
        <f t="shared" si="1"/>
        <v>0</v>
      </c>
      <c r="M47" s="2"/>
      <c r="N47" s="52"/>
    </row>
    <row r="48" spans="1:14" x14ac:dyDescent="0.2">
      <c r="A48" s="4" t="s">
        <v>90</v>
      </c>
      <c r="B48" s="13" t="s">
        <v>91</v>
      </c>
      <c r="C48" s="1"/>
      <c r="D48" s="21">
        <v>2730182.03</v>
      </c>
      <c r="E48" s="2"/>
      <c r="F48" s="3"/>
      <c r="G48" s="2"/>
      <c r="H48" s="2"/>
      <c r="I48" s="3">
        <f t="shared" si="2"/>
        <v>0</v>
      </c>
      <c r="J48" s="3">
        <f t="shared" si="0"/>
        <v>2730182.03</v>
      </c>
      <c r="K48" s="3">
        <f t="shared" si="3"/>
        <v>0</v>
      </c>
      <c r="L48" s="3">
        <f t="shared" si="1"/>
        <v>2730182.03</v>
      </c>
      <c r="M48" s="2"/>
      <c r="N48" s="52"/>
    </row>
    <row r="49" spans="1:14" x14ac:dyDescent="0.2">
      <c r="A49" s="4" t="s">
        <v>92</v>
      </c>
      <c r="B49" s="13" t="s">
        <v>93</v>
      </c>
      <c r="C49" s="1">
        <v>55540566.93</v>
      </c>
      <c r="D49" s="1"/>
      <c r="E49" s="2">
        <v>16439025.189999999</v>
      </c>
      <c r="F49" s="3"/>
      <c r="G49" s="2"/>
      <c r="H49" s="2"/>
      <c r="I49" s="3">
        <f t="shared" si="2"/>
        <v>71979592.120000005</v>
      </c>
      <c r="J49" s="3">
        <f t="shared" si="0"/>
        <v>0</v>
      </c>
      <c r="K49" s="3">
        <f t="shared" si="3"/>
        <v>71979592.120000005</v>
      </c>
      <c r="L49" s="3">
        <f t="shared" si="1"/>
        <v>0</v>
      </c>
      <c r="M49" s="2"/>
      <c r="N49" s="52"/>
    </row>
    <row r="50" spans="1:14" x14ac:dyDescent="0.2">
      <c r="A50" s="4" t="s">
        <v>94</v>
      </c>
      <c r="B50" s="13" t="s">
        <v>95</v>
      </c>
      <c r="C50" s="1"/>
      <c r="D50" s="1">
        <v>42165020.329999998</v>
      </c>
      <c r="E50" s="2"/>
      <c r="F50" s="3">
        <v>8667962.5500000007</v>
      </c>
      <c r="G50" s="2"/>
      <c r="H50" s="2"/>
      <c r="I50" s="3">
        <f t="shared" si="2"/>
        <v>0</v>
      </c>
      <c r="J50" s="3">
        <f t="shared" si="0"/>
        <v>50832982.879999995</v>
      </c>
      <c r="K50" s="3">
        <f t="shared" si="3"/>
        <v>0</v>
      </c>
      <c r="L50" s="3">
        <f t="shared" si="1"/>
        <v>50832982.879999995</v>
      </c>
      <c r="M50" s="2"/>
      <c r="N50" s="52"/>
    </row>
    <row r="51" spans="1:14" x14ac:dyDescent="0.2">
      <c r="A51" s="4" t="s">
        <v>96</v>
      </c>
      <c r="B51" s="13" t="s">
        <v>97</v>
      </c>
      <c r="C51" s="1">
        <v>150468131.63999999</v>
      </c>
      <c r="D51" s="1"/>
      <c r="E51" s="2">
        <v>38327617</v>
      </c>
      <c r="F51" s="3"/>
      <c r="G51" s="2"/>
      <c r="H51" s="2"/>
      <c r="I51" s="3">
        <f t="shared" si="2"/>
        <v>188795748.63999999</v>
      </c>
      <c r="J51" s="3">
        <f t="shared" si="0"/>
        <v>0</v>
      </c>
      <c r="K51" s="3">
        <f t="shared" si="3"/>
        <v>188795748.63999999</v>
      </c>
      <c r="L51" s="3">
        <f t="shared" si="1"/>
        <v>0</v>
      </c>
      <c r="M51" s="2"/>
      <c r="N51" s="52"/>
    </row>
    <row r="52" spans="1:14" x14ac:dyDescent="0.2">
      <c r="A52" s="4" t="s">
        <v>98</v>
      </c>
      <c r="B52" s="13" t="s">
        <v>99</v>
      </c>
      <c r="C52" s="1"/>
      <c r="D52" s="1">
        <v>51045985.899999999</v>
      </c>
      <c r="E52" s="2"/>
      <c r="F52" s="3">
        <v>25649381.73</v>
      </c>
      <c r="G52" s="2"/>
      <c r="H52" s="2"/>
      <c r="I52" s="3">
        <f t="shared" si="2"/>
        <v>0</v>
      </c>
      <c r="J52" s="3">
        <f t="shared" si="0"/>
        <v>76695367.629999995</v>
      </c>
      <c r="K52" s="3">
        <f t="shared" si="3"/>
        <v>0</v>
      </c>
      <c r="L52" s="3">
        <f t="shared" si="1"/>
        <v>76695367.629999995</v>
      </c>
      <c r="M52" s="2"/>
      <c r="N52" s="52"/>
    </row>
    <row r="53" spans="1:14" x14ac:dyDescent="0.2">
      <c r="A53" s="4" t="s">
        <v>100</v>
      </c>
      <c r="B53" s="13" t="s">
        <v>101</v>
      </c>
      <c r="C53" s="1">
        <v>9330631.2100000009</v>
      </c>
      <c r="D53" s="1"/>
      <c r="E53" s="2">
        <v>19990</v>
      </c>
      <c r="F53" s="3"/>
      <c r="G53" s="2"/>
      <c r="H53" s="2"/>
      <c r="I53" s="3">
        <f t="shared" si="2"/>
        <v>9350621.2100000009</v>
      </c>
      <c r="J53" s="3">
        <f t="shared" si="0"/>
        <v>0</v>
      </c>
      <c r="K53" s="3">
        <f t="shared" si="3"/>
        <v>9350621.2100000009</v>
      </c>
      <c r="L53" s="3">
        <f t="shared" si="1"/>
        <v>0</v>
      </c>
      <c r="M53" s="2"/>
      <c r="N53" s="52"/>
    </row>
    <row r="54" spans="1:14" x14ac:dyDescent="0.2">
      <c r="A54" s="4" t="s">
        <v>102</v>
      </c>
      <c r="B54" s="13" t="s">
        <v>103</v>
      </c>
      <c r="C54" s="1"/>
      <c r="D54" s="1">
        <v>6326642.1200000001</v>
      </c>
      <c r="E54" s="2"/>
      <c r="F54" s="3">
        <v>12659.67</v>
      </c>
      <c r="G54" s="2"/>
      <c r="H54" s="2"/>
      <c r="I54" s="3">
        <f t="shared" si="2"/>
        <v>0</v>
      </c>
      <c r="J54" s="3">
        <f t="shared" si="0"/>
        <v>6339301.79</v>
      </c>
      <c r="K54" s="3">
        <f t="shared" si="3"/>
        <v>0</v>
      </c>
      <c r="L54" s="3">
        <f t="shared" si="1"/>
        <v>6339301.79</v>
      </c>
      <c r="M54" s="2"/>
      <c r="N54" s="52"/>
    </row>
    <row r="55" spans="1:14" x14ac:dyDescent="0.2">
      <c r="A55" s="4" t="s">
        <v>104</v>
      </c>
      <c r="B55" s="13" t="s">
        <v>105</v>
      </c>
      <c r="C55" s="1">
        <v>4496000</v>
      </c>
      <c r="D55" s="1"/>
      <c r="E55" s="2"/>
      <c r="F55" s="3"/>
      <c r="G55" s="2"/>
      <c r="H55" s="2"/>
      <c r="I55" s="3">
        <f t="shared" si="2"/>
        <v>4496000</v>
      </c>
      <c r="J55" s="3">
        <f t="shared" si="0"/>
        <v>0</v>
      </c>
      <c r="K55" s="3">
        <f t="shared" si="3"/>
        <v>4496000</v>
      </c>
      <c r="L55" s="3">
        <f t="shared" si="1"/>
        <v>0</v>
      </c>
      <c r="M55" s="2"/>
      <c r="N55" s="52"/>
    </row>
    <row r="56" spans="1:14" x14ac:dyDescent="0.2">
      <c r="A56" s="4" t="s">
        <v>106</v>
      </c>
      <c r="B56" s="13" t="s">
        <v>107</v>
      </c>
      <c r="C56" s="1"/>
      <c r="D56" s="1">
        <v>870669.31</v>
      </c>
      <c r="E56" s="2"/>
      <c r="F56" s="3"/>
      <c r="G56" s="2"/>
      <c r="H56" s="2"/>
      <c r="I56" s="3">
        <f t="shared" si="2"/>
        <v>0</v>
      </c>
      <c r="J56" s="3">
        <f t="shared" si="0"/>
        <v>870669.31</v>
      </c>
      <c r="K56" s="3">
        <f t="shared" si="3"/>
        <v>0</v>
      </c>
      <c r="L56" s="3">
        <f t="shared" si="1"/>
        <v>870669.31</v>
      </c>
      <c r="M56" s="2"/>
      <c r="N56" s="52"/>
    </row>
    <row r="57" spans="1:14" x14ac:dyDescent="0.2">
      <c r="A57" s="4" t="s">
        <v>108</v>
      </c>
      <c r="B57" s="13" t="s">
        <v>109</v>
      </c>
      <c r="C57" s="1">
        <v>83921127.49000001</v>
      </c>
      <c r="D57" s="1"/>
      <c r="E57" s="2">
        <v>2207715</v>
      </c>
      <c r="F57" s="3"/>
      <c r="G57" s="2"/>
      <c r="H57" s="2"/>
      <c r="I57" s="3">
        <f t="shared" si="2"/>
        <v>86128842.49000001</v>
      </c>
      <c r="J57" s="3">
        <f t="shared" si="0"/>
        <v>0</v>
      </c>
      <c r="K57" s="3">
        <f t="shared" si="3"/>
        <v>86128842.49000001</v>
      </c>
      <c r="L57" s="3">
        <f t="shared" si="1"/>
        <v>0</v>
      </c>
      <c r="M57" s="2"/>
      <c r="N57" s="52"/>
    </row>
    <row r="58" spans="1:14" x14ac:dyDescent="0.2">
      <c r="A58" s="4" t="s">
        <v>110</v>
      </c>
      <c r="B58" s="13" t="s">
        <v>111</v>
      </c>
      <c r="C58" s="1"/>
      <c r="D58" s="1">
        <v>24045082.490000002</v>
      </c>
      <c r="E58" s="2"/>
      <c r="F58" s="3">
        <v>1647622.8</v>
      </c>
      <c r="G58" s="2"/>
      <c r="H58" s="2"/>
      <c r="I58" s="3">
        <f t="shared" si="2"/>
        <v>0</v>
      </c>
      <c r="J58" s="3">
        <f t="shared" si="0"/>
        <v>25692705.290000003</v>
      </c>
      <c r="K58" s="3">
        <f t="shared" si="3"/>
        <v>0</v>
      </c>
      <c r="L58" s="3">
        <f t="shared" si="1"/>
        <v>25692705.290000003</v>
      </c>
      <c r="M58" s="2"/>
      <c r="N58" s="52"/>
    </row>
    <row r="59" spans="1:14" x14ac:dyDescent="0.2">
      <c r="A59" s="4" t="s">
        <v>112</v>
      </c>
      <c r="B59" s="13" t="s">
        <v>113</v>
      </c>
      <c r="C59" s="1">
        <f>84307540+4629257+134401915.82</f>
        <v>223338712.81999999</v>
      </c>
      <c r="D59" s="1"/>
      <c r="E59" s="2"/>
      <c r="F59" s="3"/>
      <c r="G59" s="2"/>
      <c r="H59" s="2"/>
      <c r="I59" s="3">
        <f t="shared" si="2"/>
        <v>223338712.81999999</v>
      </c>
      <c r="J59" s="3">
        <f t="shared" si="0"/>
        <v>0</v>
      </c>
      <c r="K59" s="3">
        <f t="shared" si="3"/>
        <v>223338712.81999999</v>
      </c>
      <c r="L59" s="3">
        <f t="shared" si="1"/>
        <v>0</v>
      </c>
      <c r="M59" s="2"/>
      <c r="N59" s="52"/>
    </row>
    <row r="60" spans="1:14" x14ac:dyDescent="0.2">
      <c r="A60" s="4" t="s">
        <v>114</v>
      </c>
      <c r="B60" s="13" t="s">
        <v>115</v>
      </c>
      <c r="C60" s="1"/>
      <c r="D60" s="1">
        <f>56725980.55+1908549.66+133403870.71</f>
        <v>192038400.91999999</v>
      </c>
      <c r="E60" s="2"/>
      <c r="F60" s="3"/>
      <c r="G60" s="2"/>
      <c r="H60" s="2"/>
      <c r="I60" s="3">
        <f t="shared" si="2"/>
        <v>0</v>
      </c>
      <c r="J60" s="3">
        <f t="shared" si="0"/>
        <v>192038400.91999999</v>
      </c>
      <c r="K60" s="3">
        <f t="shared" si="3"/>
        <v>0</v>
      </c>
      <c r="L60" s="3">
        <f t="shared" si="1"/>
        <v>192038400.91999999</v>
      </c>
      <c r="M60" s="2"/>
      <c r="N60" s="52"/>
    </row>
    <row r="61" spans="1:14" x14ac:dyDescent="0.2">
      <c r="A61" s="4" t="s">
        <v>116</v>
      </c>
      <c r="B61" s="13" t="s">
        <v>117</v>
      </c>
      <c r="C61" s="1">
        <v>8101440</v>
      </c>
      <c r="D61" s="1"/>
      <c r="E61" s="2"/>
      <c r="F61" s="3"/>
      <c r="G61" s="2"/>
      <c r="H61" s="2"/>
      <c r="I61" s="3">
        <f t="shared" si="2"/>
        <v>8101440</v>
      </c>
      <c r="J61" s="3">
        <f t="shared" si="0"/>
        <v>0</v>
      </c>
      <c r="K61" s="3">
        <f t="shared" si="3"/>
        <v>8101440</v>
      </c>
      <c r="L61" s="3">
        <f t="shared" si="1"/>
        <v>0</v>
      </c>
      <c r="M61" s="2"/>
      <c r="N61" s="52"/>
    </row>
    <row r="62" spans="1:14" x14ac:dyDescent="0.2">
      <c r="A62" s="4" t="s">
        <v>118</v>
      </c>
      <c r="B62" s="13" t="s">
        <v>119</v>
      </c>
      <c r="C62" s="1"/>
      <c r="D62" s="1">
        <v>2854768.91</v>
      </c>
      <c r="E62" s="2"/>
      <c r="F62" s="3"/>
      <c r="G62" s="2"/>
      <c r="H62" s="2"/>
      <c r="I62" s="3">
        <f t="shared" si="2"/>
        <v>0</v>
      </c>
      <c r="J62" s="3">
        <f t="shared" si="0"/>
        <v>2854768.91</v>
      </c>
      <c r="K62" s="3">
        <f t="shared" si="3"/>
        <v>0</v>
      </c>
      <c r="L62" s="3">
        <f t="shared" si="1"/>
        <v>2854768.91</v>
      </c>
      <c r="M62" s="2"/>
      <c r="N62" s="52"/>
    </row>
    <row r="63" spans="1:14" x14ac:dyDescent="0.2">
      <c r="A63" s="4" t="s">
        <v>120</v>
      </c>
      <c r="B63" s="13" t="s">
        <v>121</v>
      </c>
      <c r="C63" s="1">
        <v>3832848</v>
      </c>
      <c r="D63" s="1"/>
      <c r="E63" s="2">
        <v>364587</v>
      </c>
      <c r="F63" s="3"/>
      <c r="G63" s="2"/>
      <c r="H63" s="2"/>
      <c r="I63" s="3">
        <f t="shared" si="2"/>
        <v>4197435</v>
      </c>
      <c r="J63" s="3">
        <f t="shared" si="0"/>
        <v>0</v>
      </c>
      <c r="K63" s="3">
        <f t="shared" si="3"/>
        <v>4197435</v>
      </c>
      <c r="L63" s="3">
        <f t="shared" si="1"/>
        <v>0</v>
      </c>
      <c r="M63" s="2"/>
      <c r="N63" s="52"/>
    </row>
    <row r="64" spans="1:14" x14ac:dyDescent="0.2">
      <c r="A64" s="4" t="s">
        <v>122</v>
      </c>
      <c r="B64" s="13" t="s">
        <v>123</v>
      </c>
      <c r="C64" s="1"/>
      <c r="D64" s="2">
        <v>3479069.66</v>
      </c>
      <c r="E64" s="2"/>
      <c r="F64" s="3">
        <v>264943.28000000003</v>
      </c>
      <c r="G64" s="2"/>
      <c r="H64" s="2"/>
      <c r="I64" s="3">
        <f t="shared" si="2"/>
        <v>0</v>
      </c>
      <c r="J64" s="3">
        <f t="shared" si="0"/>
        <v>3744012.9400000004</v>
      </c>
      <c r="K64" s="3">
        <f t="shared" si="3"/>
        <v>0</v>
      </c>
      <c r="L64" s="3">
        <f t="shared" si="1"/>
        <v>3744012.9400000004</v>
      </c>
      <c r="M64" s="2"/>
      <c r="N64" s="52"/>
    </row>
    <row r="65" spans="1:14" x14ac:dyDescent="0.2">
      <c r="A65" s="4" t="s">
        <v>124</v>
      </c>
      <c r="B65" s="13" t="s">
        <v>125</v>
      </c>
      <c r="C65" s="1"/>
      <c r="D65" s="1"/>
      <c r="E65" s="2">
        <v>11719059.699999999</v>
      </c>
      <c r="F65" s="3"/>
      <c r="G65" s="2"/>
      <c r="H65" s="2"/>
      <c r="I65" s="3">
        <f t="shared" si="2"/>
        <v>11719059.699999999</v>
      </c>
      <c r="J65" s="3">
        <f t="shared" si="0"/>
        <v>0</v>
      </c>
      <c r="K65" s="3">
        <f t="shared" si="3"/>
        <v>11719059.699999999</v>
      </c>
      <c r="L65" s="3">
        <f t="shared" si="1"/>
        <v>0</v>
      </c>
      <c r="M65" s="2"/>
      <c r="N65" s="52"/>
    </row>
    <row r="66" spans="1:14" x14ac:dyDescent="0.2">
      <c r="A66" s="4" t="s">
        <v>126</v>
      </c>
      <c r="B66" s="13" t="s">
        <v>127</v>
      </c>
      <c r="C66" s="1"/>
      <c r="D66" s="1"/>
      <c r="E66" s="2"/>
      <c r="F66" s="3">
        <v>4631184.82</v>
      </c>
      <c r="G66" s="2"/>
      <c r="H66" s="2"/>
      <c r="I66" s="3">
        <f t="shared" si="2"/>
        <v>0</v>
      </c>
      <c r="J66" s="3">
        <f t="shared" si="0"/>
        <v>4631184.82</v>
      </c>
      <c r="K66" s="3">
        <f t="shared" si="3"/>
        <v>0</v>
      </c>
      <c r="L66" s="3">
        <f t="shared" si="1"/>
        <v>4631184.82</v>
      </c>
      <c r="M66" s="2"/>
      <c r="N66" s="52"/>
    </row>
    <row r="67" spans="1:14" x14ac:dyDescent="0.2">
      <c r="A67" s="4" t="s">
        <v>128</v>
      </c>
      <c r="B67" s="13" t="s">
        <v>129</v>
      </c>
      <c r="C67" s="1">
        <v>16259493.32</v>
      </c>
      <c r="D67" s="1"/>
      <c r="E67" s="2">
        <v>35119319.829999998</v>
      </c>
      <c r="F67" s="3"/>
      <c r="G67" s="2"/>
      <c r="H67" s="2"/>
      <c r="I67" s="3">
        <f t="shared" si="2"/>
        <v>51378813.149999999</v>
      </c>
      <c r="J67" s="3">
        <f t="shared" si="0"/>
        <v>0</v>
      </c>
      <c r="K67" s="3">
        <f t="shared" si="3"/>
        <v>51378813.149999999</v>
      </c>
      <c r="L67" s="3">
        <f t="shared" si="1"/>
        <v>0</v>
      </c>
      <c r="M67" s="2"/>
      <c r="N67" s="52"/>
    </row>
    <row r="68" spans="1:14" x14ac:dyDescent="0.2">
      <c r="A68" s="4" t="s">
        <v>130</v>
      </c>
      <c r="B68" s="13" t="s">
        <v>131</v>
      </c>
      <c r="C68" s="1"/>
      <c r="D68" s="1">
        <v>9427381.9299999997</v>
      </c>
      <c r="E68" s="2"/>
      <c r="F68" s="3">
        <v>711147.9</v>
      </c>
      <c r="G68" s="2"/>
      <c r="H68" s="2"/>
      <c r="I68" s="3">
        <f t="shared" si="2"/>
        <v>0</v>
      </c>
      <c r="J68" s="3">
        <f t="shared" si="0"/>
        <v>10138529.83</v>
      </c>
      <c r="K68" s="3">
        <f t="shared" si="3"/>
        <v>0</v>
      </c>
      <c r="L68" s="3">
        <f t="shared" si="1"/>
        <v>10138529.83</v>
      </c>
      <c r="M68" s="2"/>
      <c r="N68" s="52"/>
    </row>
    <row r="69" spans="1:14" x14ac:dyDescent="0.2">
      <c r="A69" s="4" t="s">
        <v>132</v>
      </c>
      <c r="B69" s="13" t="s">
        <v>133</v>
      </c>
      <c r="C69" s="1">
        <v>99801106.659999996</v>
      </c>
      <c r="D69" s="1"/>
      <c r="E69" s="2">
        <v>9398200</v>
      </c>
      <c r="F69" s="3"/>
      <c r="G69" s="2"/>
      <c r="H69" s="2"/>
      <c r="I69" s="3">
        <f t="shared" si="2"/>
        <v>109199306.66</v>
      </c>
      <c r="J69" s="3">
        <f t="shared" si="0"/>
        <v>0</v>
      </c>
      <c r="K69" s="3">
        <f t="shared" si="3"/>
        <v>109199306.66</v>
      </c>
      <c r="L69" s="3">
        <f t="shared" si="1"/>
        <v>0</v>
      </c>
      <c r="M69" s="2"/>
      <c r="N69" s="52"/>
    </row>
    <row r="70" spans="1:14" x14ac:dyDescent="0.2">
      <c r="A70" s="4" t="s">
        <v>134</v>
      </c>
      <c r="B70" s="13" t="s">
        <v>135</v>
      </c>
      <c r="C70" s="1"/>
      <c r="D70" s="1">
        <v>65409207.810000002</v>
      </c>
      <c r="E70" s="2"/>
      <c r="F70" s="3">
        <v>7777627.0599999996</v>
      </c>
      <c r="G70" s="2"/>
      <c r="H70" s="2"/>
      <c r="I70" s="3">
        <f t="shared" si="2"/>
        <v>0</v>
      </c>
      <c r="J70" s="3">
        <f t="shared" si="2"/>
        <v>73186834.870000005</v>
      </c>
      <c r="K70" s="3">
        <f t="shared" si="3"/>
        <v>0</v>
      </c>
      <c r="L70" s="3">
        <f t="shared" si="3"/>
        <v>73186834.870000005</v>
      </c>
      <c r="M70" s="2"/>
      <c r="N70" s="52"/>
    </row>
    <row r="71" spans="1:14" x14ac:dyDescent="0.2">
      <c r="A71" s="4" t="s">
        <v>136</v>
      </c>
      <c r="B71" s="13" t="s">
        <v>137</v>
      </c>
      <c r="C71" s="2"/>
      <c r="D71" s="1"/>
      <c r="E71" s="2"/>
      <c r="F71" s="3"/>
      <c r="G71" s="2"/>
      <c r="H71" s="2"/>
      <c r="I71" s="3">
        <f t="shared" ref="I71:J134" si="4">C71+E71+G71</f>
        <v>0</v>
      </c>
      <c r="J71" s="3">
        <f t="shared" si="4"/>
        <v>0</v>
      </c>
      <c r="K71" s="3">
        <f t="shared" ref="K71:L104" si="5">I71</f>
        <v>0</v>
      </c>
      <c r="L71" s="3">
        <f t="shared" si="5"/>
        <v>0</v>
      </c>
      <c r="M71" s="2"/>
      <c r="N71" s="52"/>
    </row>
    <row r="72" spans="1:14" x14ac:dyDescent="0.2">
      <c r="A72" s="4" t="s">
        <v>138</v>
      </c>
      <c r="B72" s="13" t="s">
        <v>139</v>
      </c>
      <c r="C72" s="1"/>
      <c r="D72" s="1">
        <v>0</v>
      </c>
      <c r="E72" s="2"/>
      <c r="F72" s="3"/>
      <c r="G72" s="2"/>
      <c r="H72" s="2"/>
      <c r="I72" s="3">
        <f t="shared" si="4"/>
        <v>0</v>
      </c>
      <c r="J72" s="3">
        <f t="shared" si="4"/>
        <v>0</v>
      </c>
      <c r="K72" s="3">
        <f t="shared" si="5"/>
        <v>0</v>
      </c>
      <c r="L72" s="3">
        <f t="shared" si="5"/>
        <v>0</v>
      </c>
      <c r="M72" s="2"/>
      <c r="N72" s="52"/>
    </row>
    <row r="73" spans="1:14" x14ac:dyDescent="0.2">
      <c r="A73" s="4" t="s">
        <v>140</v>
      </c>
      <c r="B73" s="13" t="s">
        <v>141</v>
      </c>
      <c r="C73" s="1">
        <v>544500</v>
      </c>
      <c r="D73" s="1"/>
      <c r="E73" s="2"/>
      <c r="F73" s="3"/>
      <c r="G73" s="2"/>
      <c r="H73" s="2"/>
      <c r="I73" s="3">
        <f t="shared" si="4"/>
        <v>544500</v>
      </c>
      <c r="J73" s="3">
        <f t="shared" si="4"/>
        <v>0</v>
      </c>
      <c r="K73" s="3">
        <f t="shared" si="5"/>
        <v>544500</v>
      </c>
      <c r="L73" s="3">
        <f t="shared" si="5"/>
        <v>0</v>
      </c>
      <c r="M73" s="2"/>
      <c r="N73" s="52"/>
    </row>
    <row r="74" spans="1:14" x14ac:dyDescent="0.2">
      <c r="A74" s="4" t="s">
        <v>142</v>
      </c>
      <c r="B74" s="13" t="s">
        <v>143</v>
      </c>
      <c r="C74" s="1"/>
      <c r="D74" s="1">
        <v>101307.25</v>
      </c>
      <c r="E74" s="2"/>
      <c r="F74" s="3"/>
      <c r="G74" s="2"/>
      <c r="H74" s="2"/>
      <c r="I74" s="3">
        <f t="shared" si="4"/>
        <v>0</v>
      </c>
      <c r="J74" s="3">
        <f t="shared" si="4"/>
        <v>101307.25</v>
      </c>
      <c r="K74" s="3">
        <f t="shared" si="5"/>
        <v>0</v>
      </c>
      <c r="L74" s="3">
        <f t="shared" si="5"/>
        <v>101307.25</v>
      </c>
      <c r="M74" s="2"/>
      <c r="N74" s="52"/>
    </row>
    <row r="75" spans="1:14" x14ac:dyDescent="0.2">
      <c r="A75" s="4" t="s">
        <v>144</v>
      </c>
      <c r="B75" s="13" t="s">
        <v>145</v>
      </c>
      <c r="C75" s="1">
        <f>103258405.95+9770000</f>
        <v>113028405.95</v>
      </c>
      <c r="D75" s="1"/>
      <c r="E75" s="2">
        <v>25422131.539999999</v>
      </c>
      <c r="F75" s="3"/>
      <c r="G75" s="2"/>
      <c r="H75" s="2"/>
      <c r="I75" s="3">
        <f t="shared" si="4"/>
        <v>138450537.49000001</v>
      </c>
      <c r="J75" s="3">
        <f t="shared" si="4"/>
        <v>0</v>
      </c>
      <c r="K75" s="3">
        <f t="shared" si="5"/>
        <v>138450537.49000001</v>
      </c>
      <c r="L75" s="3">
        <f t="shared" si="5"/>
        <v>0</v>
      </c>
      <c r="M75" s="2"/>
      <c r="N75" s="52"/>
    </row>
    <row r="76" spans="1:14" x14ac:dyDescent="0.2">
      <c r="A76" s="4" t="s">
        <v>146</v>
      </c>
      <c r="B76" s="13" t="s">
        <v>147</v>
      </c>
      <c r="C76" s="1"/>
      <c r="D76" s="1">
        <v>52875049.280000001</v>
      </c>
      <c r="E76" s="2"/>
      <c r="F76" s="3">
        <f>6288603.61+3985072.31</f>
        <v>10273675.92</v>
      </c>
      <c r="G76" s="2"/>
      <c r="H76" s="2"/>
      <c r="I76" s="3">
        <f t="shared" si="4"/>
        <v>0</v>
      </c>
      <c r="J76" s="3">
        <f t="shared" si="4"/>
        <v>63148725.200000003</v>
      </c>
      <c r="K76" s="3">
        <f t="shared" si="5"/>
        <v>0</v>
      </c>
      <c r="L76" s="3">
        <f t="shared" si="5"/>
        <v>63148725.200000003</v>
      </c>
      <c r="M76" s="2"/>
      <c r="N76" s="52"/>
    </row>
    <row r="77" spans="1:14" x14ac:dyDescent="0.2">
      <c r="A77" s="4" t="s">
        <v>148</v>
      </c>
      <c r="B77" s="13" t="s">
        <v>149</v>
      </c>
      <c r="C77" s="1">
        <v>3765509.56</v>
      </c>
      <c r="D77" s="1"/>
      <c r="E77" s="2">
        <v>381961.75</v>
      </c>
      <c r="F77" s="3"/>
      <c r="G77" s="2"/>
      <c r="H77" s="2"/>
      <c r="I77" s="3">
        <f t="shared" si="4"/>
        <v>4147471.31</v>
      </c>
      <c r="J77" s="3">
        <f t="shared" si="4"/>
        <v>0</v>
      </c>
      <c r="K77" s="3">
        <f t="shared" si="5"/>
        <v>4147471.31</v>
      </c>
      <c r="L77" s="3">
        <f t="shared" si="5"/>
        <v>0</v>
      </c>
      <c r="M77" s="2"/>
      <c r="N77" s="52"/>
    </row>
    <row r="78" spans="1:14" x14ac:dyDescent="0.2">
      <c r="A78" s="4" t="s">
        <v>150</v>
      </c>
      <c r="B78" s="13" t="s">
        <v>151</v>
      </c>
      <c r="C78" s="1"/>
      <c r="D78" s="21">
        <v>2759284.6</v>
      </c>
      <c r="E78" s="2"/>
      <c r="F78" s="22">
        <v>380051.97</v>
      </c>
      <c r="G78" s="2"/>
      <c r="H78" s="2"/>
      <c r="I78" s="3">
        <f t="shared" si="4"/>
        <v>0</v>
      </c>
      <c r="J78" s="3">
        <f t="shared" si="4"/>
        <v>3139336.5700000003</v>
      </c>
      <c r="K78" s="3">
        <f t="shared" si="5"/>
        <v>0</v>
      </c>
      <c r="L78" s="3">
        <f t="shared" si="5"/>
        <v>3139336.5700000003</v>
      </c>
      <c r="M78" s="2"/>
      <c r="N78" s="52"/>
    </row>
    <row r="79" spans="1:14" x14ac:dyDescent="0.2">
      <c r="A79" s="4" t="s">
        <v>152</v>
      </c>
      <c r="B79" s="13" t="s">
        <v>153</v>
      </c>
      <c r="C79" s="1">
        <f>69693077.88</f>
        <v>69693077.879999995</v>
      </c>
      <c r="D79" s="1"/>
      <c r="E79" s="2">
        <v>5865072.7999999998</v>
      </c>
      <c r="F79" s="3"/>
      <c r="G79" s="2"/>
      <c r="H79" s="2"/>
      <c r="I79" s="3">
        <f t="shared" si="4"/>
        <v>75558150.679999992</v>
      </c>
      <c r="J79" s="3">
        <f t="shared" si="4"/>
        <v>0</v>
      </c>
      <c r="K79" s="3">
        <f t="shared" si="5"/>
        <v>75558150.679999992</v>
      </c>
      <c r="L79" s="3">
        <f t="shared" si="5"/>
        <v>0</v>
      </c>
      <c r="M79" s="2"/>
      <c r="N79" s="52"/>
    </row>
    <row r="80" spans="1:14" x14ac:dyDescent="0.2">
      <c r="A80" s="4" t="s">
        <v>154</v>
      </c>
      <c r="B80" s="13" t="s">
        <v>155</v>
      </c>
      <c r="C80" s="1"/>
      <c r="D80" s="1">
        <v>60104768.640000001</v>
      </c>
      <c r="E80" s="2"/>
      <c r="F80" s="3">
        <v>4950691.6500000004</v>
      </c>
      <c r="G80" s="2"/>
      <c r="H80" s="2"/>
      <c r="I80" s="3">
        <f t="shared" si="4"/>
        <v>0</v>
      </c>
      <c r="J80" s="3">
        <f t="shared" si="4"/>
        <v>65055460.289999999</v>
      </c>
      <c r="K80" s="3">
        <f t="shared" si="5"/>
        <v>0</v>
      </c>
      <c r="L80" s="3">
        <f t="shared" si="5"/>
        <v>65055460.289999999</v>
      </c>
      <c r="M80" s="2"/>
      <c r="N80" s="52"/>
    </row>
    <row r="81" spans="1:14" x14ac:dyDescent="0.2">
      <c r="A81" s="4" t="s">
        <v>156</v>
      </c>
      <c r="B81" s="13" t="s">
        <v>157</v>
      </c>
      <c r="C81" s="1"/>
      <c r="D81" s="1"/>
      <c r="E81" s="2"/>
      <c r="F81" s="3"/>
      <c r="G81" s="2"/>
      <c r="H81" s="2"/>
      <c r="I81" s="3">
        <f t="shared" si="4"/>
        <v>0</v>
      </c>
      <c r="J81" s="3">
        <f t="shared" si="4"/>
        <v>0</v>
      </c>
      <c r="K81" s="3">
        <f t="shared" si="5"/>
        <v>0</v>
      </c>
      <c r="L81" s="3">
        <f t="shared" si="5"/>
        <v>0</v>
      </c>
      <c r="M81" s="2"/>
      <c r="N81" s="52"/>
    </row>
    <row r="82" spans="1:14" x14ac:dyDescent="0.2">
      <c r="A82" s="4" t="s">
        <v>158</v>
      </c>
      <c r="B82" s="23" t="s">
        <v>159</v>
      </c>
      <c r="C82" s="1"/>
      <c r="D82" s="1">
        <v>200279287.19999999</v>
      </c>
      <c r="E82" s="2"/>
      <c r="F82" s="3">
        <v>5489312.1100000003</v>
      </c>
      <c r="G82" s="2"/>
      <c r="H82" s="2">
        <v>12375240.02</v>
      </c>
      <c r="I82" s="3">
        <f t="shared" si="4"/>
        <v>0</v>
      </c>
      <c r="J82" s="3">
        <f t="shared" si="4"/>
        <v>218143839.33000001</v>
      </c>
      <c r="K82" s="3">
        <f t="shared" si="5"/>
        <v>0</v>
      </c>
      <c r="L82" s="3">
        <f t="shared" si="5"/>
        <v>218143839.33000001</v>
      </c>
      <c r="M82" s="2"/>
      <c r="N82" s="52"/>
    </row>
    <row r="83" spans="1:14" x14ac:dyDescent="0.2">
      <c r="A83" s="4" t="s">
        <v>160</v>
      </c>
      <c r="B83" s="23" t="s">
        <v>161</v>
      </c>
      <c r="C83" s="1"/>
      <c r="D83" s="1">
        <v>18021948.829999998</v>
      </c>
      <c r="E83" s="2"/>
      <c r="F83" s="3">
        <v>2122740.7599999998</v>
      </c>
      <c r="G83" s="2"/>
      <c r="H83" s="2">
        <v>784.44</v>
      </c>
      <c r="I83" s="3">
        <f t="shared" si="4"/>
        <v>0</v>
      </c>
      <c r="J83" s="3">
        <f t="shared" si="4"/>
        <v>20145474.029999997</v>
      </c>
      <c r="K83" s="3">
        <f t="shared" si="5"/>
        <v>0</v>
      </c>
      <c r="L83" s="3">
        <f t="shared" si="5"/>
        <v>20145474.029999997</v>
      </c>
      <c r="M83" s="2"/>
      <c r="N83" s="52"/>
    </row>
    <row r="84" spans="1:14" x14ac:dyDescent="0.2">
      <c r="A84" s="4" t="s">
        <v>162</v>
      </c>
      <c r="B84" s="23" t="s">
        <v>163</v>
      </c>
      <c r="C84" s="1"/>
      <c r="D84" s="1">
        <v>6887842.2199999997</v>
      </c>
      <c r="E84" s="2"/>
      <c r="F84" s="3"/>
      <c r="G84" s="2"/>
      <c r="H84" s="2"/>
      <c r="I84" s="3">
        <f t="shared" si="4"/>
        <v>0</v>
      </c>
      <c r="J84" s="3">
        <f t="shared" si="4"/>
        <v>6887842.2199999997</v>
      </c>
      <c r="K84" s="3">
        <f t="shared" si="5"/>
        <v>0</v>
      </c>
      <c r="L84" s="3">
        <f t="shared" si="5"/>
        <v>6887842.2199999997</v>
      </c>
      <c r="M84" s="2"/>
      <c r="N84" s="52"/>
    </row>
    <row r="85" spans="1:14" x14ac:dyDescent="0.2">
      <c r="A85" s="4" t="s">
        <v>164</v>
      </c>
      <c r="B85" s="23" t="s">
        <v>165</v>
      </c>
      <c r="C85" s="1"/>
      <c r="D85" s="2">
        <v>6147837.0499999998</v>
      </c>
      <c r="E85" s="2"/>
      <c r="F85" s="3">
        <v>526616.68999999994</v>
      </c>
      <c r="G85" s="2"/>
      <c r="H85" s="2">
        <v>225951.61</v>
      </c>
      <c r="I85" s="3">
        <f t="shared" si="4"/>
        <v>0</v>
      </c>
      <c r="J85" s="3">
        <f t="shared" si="4"/>
        <v>6900405.3500000006</v>
      </c>
      <c r="K85" s="3">
        <f t="shared" si="5"/>
        <v>0</v>
      </c>
      <c r="L85" s="3">
        <f t="shared" si="5"/>
        <v>6900405.3500000006</v>
      </c>
      <c r="M85" s="2"/>
      <c r="N85" s="52"/>
    </row>
    <row r="86" spans="1:14" x14ac:dyDescent="0.2">
      <c r="A86" s="4" t="s">
        <v>166</v>
      </c>
      <c r="B86" s="23" t="s">
        <v>167</v>
      </c>
      <c r="C86" s="1"/>
      <c r="D86" s="2">
        <v>8489553.1500000004</v>
      </c>
      <c r="E86" s="2"/>
      <c r="F86" s="3">
        <v>169350.01</v>
      </c>
      <c r="G86" s="2"/>
      <c r="H86" s="2"/>
      <c r="I86" s="3">
        <f t="shared" si="4"/>
        <v>0</v>
      </c>
      <c r="J86" s="3">
        <f t="shared" si="4"/>
        <v>8658903.1600000001</v>
      </c>
      <c r="K86" s="3">
        <f t="shared" si="5"/>
        <v>0</v>
      </c>
      <c r="L86" s="3">
        <f t="shared" si="5"/>
        <v>8658903.1600000001</v>
      </c>
      <c r="M86" s="2"/>
      <c r="N86" s="52"/>
    </row>
    <row r="87" spans="1:14" x14ac:dyDescent="0.2">
      <c r="A87" s="4" t="s">
        <v>168</v>
      </c>
      <c r="B87" s="23" t="s">
        <v>169</v>
      </c>
      <c r="C87" s="1"/>
      <c r="D87" s="2">
        <v>903748.88</v>
      </c>
      <c r="E87" s="2"/>
      <c r="F87" s="3">
        <v>27895.83</v>
      </c>
      <c r="G87" s="2"/>
      <c r="H87" s="2"/>
      <c r="I87" s="3">
        <f t="shared" si="4"/>
        <v>0</v>
      </c>
      <c r="J87" s="3">
        <f t="shared" si="4"/>
        <v>931644.71</v>
      </c>
      <c r="K87" s="3">
        <f t="shared" si="5"/>
        <v>0</v>
      </c>
      <c r="L87" s="3">
        <f t="shared" si="5"/>
        <v>931644.71</v>
      </c>
      <c r="M87" s="2"/>
      <c r="N87" s="52"/>
    </row>
    <row r="88" spans="1:14" x14ac:dyDescent="0.2">
      <c r="A88" s="4" t="s">
        <v>170</v>
      </c>
      <c r="B88" s="23" t="s">
        <v>171</v>
      </c>
      <c r="C88" s="1"/>
      <c r="D88" s="2">
        <v>448763.64</v>
      </c>
      <c r="E88" s="2"/>
      <c r="F88" s="3">
        <v>32941.879999999997</v>
      </c>
      <c r="G88" s="2"/>
      <c r="H88" s="2"/>
      <c r="I88" s="3">
        <f t="shared" si="4"/>
        <v>0</v>
      </c>
      <c r="J88" s="3">
        <f t="shared" si="4"/>
        <v>481705.52</v>
      </c>
      <c r="K88" s="3">
        <f t="shared" si="5"/>
        <v>0</v>
      </c>
      <c r="L88" s="3">
        <f t="shared" si="5"/>
        <v>481705.52</v>
      </c>
      <c r="M88" s="2"/>
      <c r="N88" s="52"/>
    </row>
    <row r="89" spans="1:14" x14ac:dyDescent="0.2">
      <c r="A89" s="4" t="s">
        <v>172</v>
      </c>
      <c r="B89" s="23" t="s">
        <v>173</v>
      </c>
      <c r="C89" s="1"/>
      <c r="D89" s="2">
        <v>18156347.109999999</v>
      </c>
      <c r="E89" s="2"/>
      <c r="F89" s="3">
        <v>1879.25</v>
      </c>
      <c r="G89" s="2"/>
      <c r="H89" s="2">
        <v>9443830.0999999996</v>
      </c>
      <c r="I89" s="3">
        <f t="shared" si="4"/>
        <v>0</v>
      </c>
      <c r="J89" s="3">
        <f t="shared" si="4"/>
        <v>27602056.460000001</v>
      </c>
      <c r="K89" s="3">
        <f t="shared" si="5"/>
        <v>0</v>
      </c>
      <c r="L89" s="3">
        <f t="shared" si="5"/>
        <v>27602056.460000001</v>
      </c>
      <c r="M89" s="2"/>
      <c r="N89" s="52"/>
    </row>
    <row r="90" spans="1:14" x14ac:dyDescent="0.2">
      <c r="A90" s="4" t="s">
        <v>174</v>
      </c>
      <c r="B90" s="23" t="s">
        <v>175</v>
      </c>
      <c r="C90" s="1"/>
      <c r="D90" s="2">
        <v>693466.56</v>
      </c>
      <c r="E90" s="2"/>
      <c r="F90" s="3"/>
      <c r="G90" s="2"/>
      <c r="H90" s="2">
        <v>7759.4</v>
      </c>
      <c r="I90" s="3">
        <f t="shared" si="4"/>
        <v>0</v>
      </c>
      <c r="J90" s="3">
        <f t="shared" si="4"/>
        <v>701225.96000000008</v>
      </c>
      <c r="K90" s="3">
        <f t="shared" si="5"/>
        <v>0</v>
      </c>
      <c r="L90" s="3">
        <f t="shared" si="5"/>
        <v>701225.96000000008</v>
      </c>
      <c r="M90" s="2"/>
      <c r="N90" s="52"/>
    </row>
    <row r="91" spans="1:14" x14ac:dyDescent="0.2">
      <c r="A91" s="4" t="s">
        <v>176</v>
      </c>
      <c r="B91" s="23" t="s">
        <v>177</v>
      </c>
      <c r="C91" s="1"/>
      <c r="D91" s="2">
        <v>3151117.04</v>
      </c>
      <c r="E91" s="2"/>
      <c r="F91" s="3">
        <v>11098.67</v>
      </c>
      <c r="G91" s="2"/>
      <c r="H91" s="2">
        <v>1123082.29</v>
      </c>
      <c r="I91" s="3">
        <f t="shared" si="4"/>
        <v>0</v>
      </c>
      <c r="J91" s="3">
        <f t="shared" si="4"/>
        <v>4285298</v>
      </c>
      <c r="K91" s="3">
        <f t="shared" si="5"/>
        <v>0</v>
      </c>
      <c r="L91" s="3">
        <f t="shared" si="5"/>
        <v>4285298</v>
      </c>
      <c r="M91" s="2"/>
      <c r="N91" s="52"/>
    </row>
    <row r="92" spans="1:14" x14ac:dyDescent="0.2">
      <c r="A92" s="4" t="s">
        <v>178</v>
      </c>
      <c r="B92" s="23" t="s">
        <v>179</v>
      </c>
      <c r="C92" s="1"/>
      <c r="D92" s="2">
        <v>23686535.16</v>
      </c>
      <c r="E92" s="2"/>
      <c r="F92" s="3">
        <v>345585.57</v>
      </c>
      <c r="G92" s="2"/>
      <c r="H92" s="2">
        <v>787214.74</v>
      </c>
      <c r="I92" s="3">
        <f t="shared" si="4"/>
        <v>0</v>
      </c>
      <c r="J92" s="3">
        <f t="shared" si="4"/>
        <v>24819335.469999999</v>
      </c>
      <c r="K92" s="3">
        <f t="shared" si="5"/>
        <v>0</v>
      </c>
      <c r="L92" s="3">
        <f t="shared" si="5"/>
        <v>24819335.469999999</v>
      </c>
      <c r="M92" s="2"/>
      <c r="N92" s="52"/>
    </row>
    <row r="93" spans="1:14" x14ac:dyDescent="0.2">
      <c r="A93" s="4" t="s">
        <v>180</v>
      </c>
      <c r="B93" s="23" t="s">
        <v>181</v>
      </c>
      <c r="C93" s="1"/>
      <c r="D93" s="2">
        <v>13813477.91</v>
      </c>
      <c r="E93" s="2"/>
      <c r="F93" s="3"/>
      <c r="G93" s="2"/>
      <c r="H93" s="2"/>
      <c r="I93" s="3">
        <f t="shared" si="4"/>
        <v>0</v>
      </c>
      <c r="J93" s="3">
        <f t="shared" si="4"/>
        <v>13813477.91</v>
      </c>
      <c r="K93" s="3">
        <f t="shared" si="5"/>
        <v>0</v>
      </c>
      <c r="L93" s="3">
        <f t="shared" si="5"/>
        <v>13813477.91</v>
      </c>
      <c r="M93" s="2"/>
      <c r="N93" s="52"/>
    </row>
    <row r="94" spans="1:14" x14ac:dyDescent="0.2">
      <c r="A94" s="4" t="s">
        <v>182</v>
      </c>
      <c r="B94" s="5" t="s">
        <v>183</v>
      </c>
      <c r="C94" s="1"/>
      <c r="D94" s="2"/>
      <c r="E94" s="2"/>
      <c r="F94" s="3"/>
      <c r="G94" s="2"/>
      <c r="H94" s="2">
        <v>62803581.939999998</v>
      </c>
      <c r="I94" s="3">
        <f t="shared" si="4"/>
        <v>0</v>
      </c>
      <c r="J94" s="3">
        <f t="shared" si="4"/>
        <v>62803581.939999998</v>
      </c>
      <c r="K94" s="3">
        <f t="shared" si="5"/>
        <v>0</v>
      </c>
      <c r="L94" s="3">
        <f t="shared" si="5"/>
        <v>62803581.939999998</v>
      </c>
      <c r="M94" s="2"/>
      <c r="N94" s="52"/>
    </row>
    <row r="95" spans="1:14" x14ac:dyDescent="0.2">
      <c r="A95" s="4" t="s">
        <v>184</v>
      </c>
      <c r="B95" s="5" t="s">
        <v>185</v>
      </c>
      <c r="C95" s="1"/>
      <c r="D95" s="2"/>
      <c r="E95" s="2"/>
      <c r="F95" s="3"/>
      <c r="G95" s="2"/>
      <c r="H95" s="2">
        <v>642769.97</v>
      </c>
      <c r="I95" s="3">
        <f t="shared" si="4"/>
        <v>0</v>
      </c>
      <c r="J95" s="3">
        <f t="shared" si="4"/>
        <v>642769.97</v>
      </c>
      <c r="K95" s="3">
        <f t="shared" si="5"/>
        <v>0</v>
      </c>
      <c r="L95" s="3">
        <f t="shared" si="5"/>
        <v>642769.97</v>
      </c>
      <c r="M95" s="2"/>
      <c r="N95" s="52"/>
    </row>
    <row r="96" spans="1:14" x14ac:dyDescent="0.2">
      <c r="A96" s="4" t="s">
        <v>186</v>
      </c>
      <c r="B96" s="23" t="s">
        <v>187</v>
      </c>
      <c r="C96" s="1"/>
      <c r="D96" s="2">
        <f>13922312.97+401079.29</f>
        <v>14323392.26</v>
      </c>
      <c r="E96" s="2"/>
      <c r="F96" s="3">
        <f>1358216.38+1120106.9</f>
        <v>2478323.2799999998</v>
      </c>
      <c r="G96" s="2"/>
      <c r="H96" s="2">
        <v>247085.8</v>
      </c>
      <c r="I96" s="3">
        <f t="shared" si="4"/>
        <v>0</v>
      </c>
      <c r="J96" s="3">
        <f t="shared" si="4"/>
        <v>17048801.34</v>
      </c>
      <c r="K96" s="3">
        <f t="shared" si="5"/>
        <v>0</v>
      </c>
      <c r="L96" s="3">
        <f t="shared" si="5"/>
        <v>17048801.34</v>
      </c>
      <c r="M96" s="2"/>
      <c r="N96" s="52"/>
    </row>
    <row r="97" spans="1:14" x14ac:dyDescent="0.2">
      <c r="A97" s="4" t="s">
        <v>188</v>
      </c>
      <c r="B97" s="23" t="s">
        <v>189</v>
      </c>
      <c r="C97" s="1"/>
      <c r="D97" s="2">
        <v>156010</v>
      </c>
      <c r="E97" s="2"/>
      <c r="F97" s="3"/>
      <c r="G97" s="2"/>
      <c r="H97" s="2"/>
      <c r="I97" s="3">
        <f t="shared" si="4"/>
        <v>0</v>
      </c>
      <c r="J97" s="3">
        <f t="shared" si="4"/>
        <v>156010</v>
      </c>
      <c r="K97" s="3">
        <f t="shared" si="5"/>
        <v>0</v>
      </c>
      <c r="L97" s="3">
        <f t="shared" si="5"/>
        <v>156010</v>
      </c>
      <c r="M97" s="2"/>
      <c r="N97" s="52"/>
    </row>
    <row r="98" spans="1:14" x14ac:dyDescent="0.2">
      <c r="A98" s="4" t="s">
        <v>190</v>
      </c>
      <c r="B98" s="23" t="s">
        <v>191</v>
      </c>
      <c r="C98" s="1"/>
      <c r="D98" s="1">
        <v>501438991.07999998</v>
      </c>
      <c r="E98" s="2"/>
      <c r="F98" s="3"/>
      <c r="G98" s="2"/>
      <c r="H98" s="2"/>
      <c r="I98" s="3">
        <f t="shared" si="4"/>
        <v>0</v>
      </c>
      <c r="J98" s="3">
        <f t="shared" si="4"/>
        <v>501438991.07999998</v>
      </c>
      <c r="K98" s="3">
        <f t="shared" si="5"/>
        <v>0</v>
      </c>
      <c r="L98" s="3">
        <f t="shared" si="5"/>
        <v>501438991.07999998</v>
      </c>
      <c r="M98" s="2"/>
      <c r="N98" s="52"/>
    </row>
    <row r="99" spans="1:14" x14ac:dyDescent="0.2">
      <c r="A99" s="4" t="s">
        <v>192</v>
      </c>
      <c r="B99" s="23" t="s">
        <v>193</v>
      </c>
      <c r="C99" s="1"/>
      <c r="D99" s="2">
        <v>66946839.799999997</v>
      </c>
      <c r="E99" s="2"/>
      <c r="F99" s="3"/>
      <c r="G99" s="2"/>
      <c r="H99" s="2"/>
      <c r="I99" s="3">
        <f t="shared" si="4"/>
        <v>0</v>
      </c>
      <c r="J99" s="3">
        <f t="shared" si="4"/>
        <v>66946839.799999997</v>
      </c>
      <c r="K99" s="3">
        <f t="shared" si="5"/>
        <v>0</v>
      </c>
      <c r="L99" s="3">
        <f t="shared" si="5"/>
        <v>66946839.799999997</v>
      </c>
      <c r="M99" s="2"/>
      <c r="N99" s="52"/>
    </row>
    <row r="100" spans="1:14" x14ac:dyDescent="0.2">
      <c r="A100" s="4" t="s">
        <v>194</v>
      </c>
      <c r="B100" s="23" t="s">
        <v>195</v>
      </c>
      <c r="C100" s="1"/>
      <c r="D100" s="2"/>
      <c r="E100" s="2"/>
      <c r="F100" s="3">
        <v>39144089.18</v>
      </c>
      <c r="G100" s="2"/>
      <c r="H100" s="2"/>
      <c r="I100" s="3">
        <f t="shared" si="4"/>
        <v>0</v>
      </c>
      <c r="J100" s="3">
        <f t="shared" si="4"/>
        <v>39144089.18</v>
      </c>
      <c r="K100" s="3">
        <f t="shared" si="5"/>
        <v>0</v>
      </c>
      <c r="L100" s="3">
        <f t="shared" si="5"/>
        <v>39144089.18</v>
      </c>
      <c r="M100" s="2"/>
      <c r="N100" s="52"/>
    </row>
    <row r="101" spans="1:14" x14ac:dyDescent="0.2">
      <c r="A101" s="4" t="s">
        <v>196</v>
      </c>
      <c r="B101" s="23" t="s">
        <v>197</v>
      </c>
      <c r="C101" s="1"/>
      <c r="D101" s="2">
        <v>140412845.59999999</v>
      </c>
      <c r="E101" s="2"/>
      <c r="F101" s="3">
        <v>75598726</v>
      </c>
      <c r="G101" s="2"/>
      <c r="H101" s="2"/>
      <c r="I101" s="3">
        <f t="shared" si="4"/>
        <v>0</v>
      </c>
      <c r="J101" s="3">
        <f t="shared" si="4"/>
        <v>216011571.59999999</v>
      </c>
      <c r="K101" s="3">
        <f t="shared" si="5"/>
        <v>0</v>
      </c>
      <c r="L101" s="3">
        <f t="shared" si="5"/>
        <v>216011571.59999999</v>
      </c>
      <c r="M101" s="2"/>
      <c r="N101" s="52"/>
    </row>
    <row r="102" spans="1:14" x14ac:dyDescent="0.2">
      <c r="A102" s="4" t="s">
        <v>198</v>
      </c>
      <c r="B102" s="23" t="s">
        <v>199</v>
      </c>
      <c r="C102" s="1"/>
      <c r="D102" s="2">
        <v>18871686.829999998</v>
      </c>
      <c r="E102" s="2"/>
      <c r="F102" s="3">
        <v>548661.34</v>
      </c>
      <c r="G102" s="2"/>
      <c r="H102" s="2">
        <v>10544581.42</v>
      </c>
      <c r="I102" s="3">
        <f t="shared" si="4"/>
        <v>0</v>
      </c>
      <c r="J102" s="3">
        <f t="shared" si="4"/>
        <v>29964929.589999996</v>
      </c>
      <c r="K102" s="3">
        <f t="shared" si="5"/>
        <v>0</v>
      </c>
      <c r="L102" s="3">
        <f t="shared" si="5"/>
        <v>29964929.589999996</v>
      </c>
      <c r="M102" s="2"/>
      <c r="N102" s="52"/>
    </row>
    <row r="103" spans="1:14" x14ac:dyDescent="0.2">
      <c r="A103" s="4" t="s">
        <v>200</v>
      </c>
      <c r="B103" s="23" t="s">
        <v>201</v>
      </c>
      <c r="C103" s="1"/>
      <c r="D103" s="43">
        <v>1919771466.26</v>
      </c>
      <c r="E103" s="2"/>
      <c r="F103" s="3">
        <v>272079487.19999999</v>
      </c>
      <c r="G103" s="2"/>
      <c r="H103" s="2"/>
      <c r="I103" s="3">
        <f t="shared" si="4"/>
        <v>0</v>
      </c>
      <c r="J103" s="3">
        <f t="shared" si="4"/>
        <v>2191850953.46</v>
      </c>
      <c r="K103" s="3">
        <f t="shared" si="5"/>
        <v>0</v>
      </c>
      <c r="L103" s="3">
        <f t="shared" si="5"/>
        <v>2191850953.46</v>
      </c>
      <c r="M103" s="2"/>
      <c r="N103" s="52"/>
    </row>
    <row r="104" spans="1:14" x14ac:dyDescent="0.2">
      <c r="A104" s="4" t="s">
        <v>202</v>
      </c>
      <c r="B104" s="23" t="s">
        <v>203</v>
      </c>
      <c r="C104" s="1">
        <v>46971441.969999999</v>
      </c>
      <c r="D104" s="2"/>
      <c r="E104" s="2">
        <f>4421769.19+3985072.31</f>
        <v>8406841.5</v>
      </c>
      <c r="F104" s="3"/>
      <c r="G104" s="2"/>
      <c r="H104" s="2"/>
      <c r="I104" s="3">
        <f t="shared" si="4"/>
        <v>55378283.469999999</v>
      </c>
      <c r="J104" s="3">
        <f t="shared" si="4"/>
        <v>0</v>
      </c>
      <c r="K104" s="3">
        <f t="shared" si="5"/>
        <v>55378283.469999999</v>
      </c>
      <c r="L104" s="3">
        <f t="shared" si="5"/>
        <v>0</v>
      </c>
      <c r="M104" s="2"/>
      <c r="N104" s="52"/>
    </row>
    <row r="105" spans="1:14" x14ac:dyDescent="0.2">
      <c r="A105" s="4" t="s">
        <v>204</v>
      </c>
      <c r="B105" s="23" t="s">
        <v>205</v>
      </c>
      <c r="C105" s="1"/>
      <c r="D105" s="2"/>
      <c r="E105" s="2"/>
      <c r="F105" s="3"/>
      <c r="G105" s="2"/>
      <c r="H105" s="2"/>
      <c r="I105" s="3">
        <f t="shared" si="4"/>
        <v>0</v>
      </c>
      <c r="J105" s="3">
        <f t="shared" si="4"/>
        <v>0</v>
      </c>
      <c r="K105" s="3"/>
      <c r="L105" s="2">
        <f>M105-N105</f>
        <v>0</v>
      </c>
      <c r="M105" s="2">
        <f>I105</f>
        <v>0</v>
      </c>
      <c r="N105" s="52">
        <f t="shared" ref="N105:N168" si="6">J105</f>
        <v>0</v>
      </c>
    </row>
    <row r="106" spans="1:14" x14ac:dyDescent="0.2">
      <c r="A106" s="4" t="s">
        <v>206</v>
      </c>
      <c r="B106" s="23" t="s">
        <v>207</v>
      </c>
      <c r="C106" s="1"/>
      <c r="D106" s="2">
        <v>1268283</v>
      </c>
      <c r="E106" s="2"/>
      <c r="F106" s="3"/>
      <c r="G106" s="2"/>
      <c r="H106" s="2"/>
      <c r="I106" s="3">
        <f t="shared" si="4"/>
        <v>0</v>
      </c>
      <c r="J106" s="3">
        <f t="shared" si="4"/>
        <v>1268283</v>
      </c>
      <c r="K106" s="3"/>
      <c r="L106" s="2"/>
      <c r="M106" s="2">
        <f t="shared" ref="M106:N169" si="7">I106</f>
        <v>0</v>
      </c>
      <c r="N106" s="52">
        <f t="shared" si="6"/>
        <v>1268283</v>
      </c>
    </row>
    <row r="107" spans="1:14" x14ac:dyDescent="0.2">
      <c r="A107" s="4" t="s">
        <v>208</v>
      </c>
      <c r="B107" s="23" t="s">
        <v>209</v>
      </c>
      <c r="C107" s="1"/>
      <c r="D107" s="2">
        <v>15502979.02</v>
      </c>
      <c r="E107" s="2"/>
      <c r="F107" s="3"/>
      <c r="G107" s="2"/>
      <c r="H107" s="2"/>
      <c r="I107" s="3">
        <f t="shared" si="4"/>
        <v>0</v>
      </c>
      <c r="J107" s="3">
        <f t="shared" si="4"/>
        <v>15502979.02</v>
      </c>
      <c r="K107" s="3"/>
      <c r="L107" s="2"/>
      <c r="M107" s="2">
        <f t="shared" si="7"/>
        <v>0</v>
      </c>
      <c r="N107" s="52">
        <f t="shared" si="6"/>
        <v>15502979.02</v>
      </c>
    </row>
    <row r="108" spans="1:14" x14ac:dyDescent="0.2">
      <c r="A108" s="4" t="s">
        <v>210</v>
      </c>
      <c r="B108" s="23" t="s">
        <v>211</v>
      </c>
      <c r="C108" s="1"/>
      <c r="D108" s="2">
        <v>32409527.32</v>
      </c>
      <c r="E108" s="2"/>
      <c r="F108" s="3"/>
      <c r="G108" s="2"/>
      <c r="H108" s="2"/>
      <c r="I108" s="3">
        <f t="shared" si="4"/>
        <v>0</v>
      </c>
      <c r="J108" s="3">
        <f t="shared" si="4"/>
        <v>32409527.32</v>
      </c>
      <c r="K108" s="3"/>
      <c r="L108" s="2"/>
      <c r="M108" s="2">
        <f t="shared" si="7"/>
        <v>0</v>
      </c>
      <c r="N108" s="52">
        <f t="shared" si="6"/>
        <v>32409527.32</v>
      </c>
    </row>
    <row r="109" spans="1:14" x14ac:dyDescent="0.2">
      <c r="A109" s="4" t="s">
        <v>212</v>
      </c>
      <c r="B109" s="23" t="s">
        <v>213</v>
      </c>
      <c r="C109" s="1"/>
      <c r="D109" s="2">
        <v>137421019.08000001</v>
      </c>
      <c r="E109" s="2"/>
      <c r="F109" s="3"/>
      <c r="G109" s="2"/>
      <c r="H109" s="2"/>
      <c r="I109" s="3">
        <f t="shared" si="4"/>
        <v>0</v>
      </c>
      <c r="J109" s="3">
        <f t="shared" si="4"/>
        <v>137421019.08000001</v>
      </c>
      <c r="K109" s="3"/>
      <c r="L109" s="2"/>
      <c r="M109" s="2">
        <f t="shared" si="7"/>
        <v>0</v>
      </c>
      <c r="N109" s="52">
        <f t="shared" si="6"/>
        <v>137421019.08000001</v>
      </c>
    </row>
    <row r="110" spans="1:14" x14ac:dyDescent="0.2">
      <c r="A110" s="24" t="s">
        <v>214</v>
      </c>
      <c r="B110" s="13" t="s">
        <v>215</v>
      </c>
      <c r="C110" s="1">
        <v>16090879.050000001</v>
      </c>
      <c r="D110" s="7"/>
      <c r="E110" s="2"/>
      <c r="F110" s="3"/>
      <c r="G110" s="2"/>
      <c r="H110" s="2"/>
      <c r="I110" s="3">
        <f t="shared" si="4"/>
        <v>16090879.050000001</v>
      </c>
      <c r="J110" s="3">
        <f t="shared" si="4"/>
        <v>0</v>
      </c>
      <c r="K110" s="3"/>
      <c r="L110" s="2"/>
      <c r="M110" s="2">
        <f t="shared" si="7"/>
        <v>16090879.050000001</v>
      </c>
      <c r="N110" s="52">
        <f t="shared" si="6"/>
        <v>0</v>
      </c>
    </row>
    <row r="111" spans="1:14" x14ac:dyDescent="0.2">
      <c r="A111" s="4" t="s">
        <v>216</v>
      </c>
      <c r="B111" s="23" t="s">
        <v>217</v>
      </c>
      <c r="C111" s="1"/>
      <c r="D111" s="7"/>
      <c r="E111" s="2"/>
      <c r="F111" s="3">
        <v>110704545.36</v>
      </c>
      <c r="G111" s="2"/>
      <c r="H111" s="2"/>
      <c r="I111" s="3">
        <f t="shared" si="4"/>
        <v>0</v>
      </c>
      <c r="J111" s="3">
        <f t="shared" si="4"/>
        <v>110704545.36</v>
      </c>
      <c r="K111" s="3"/>
      <c r="L111" s="2"/>
      <c r="M111" s="2">
        <f t="shared" si="7"/>
        <v>0</v>
      </c>
      <c r="N111" s="52">
        <f t="shared" si="6"/>
        <v>110704545.36</v>
      </c>
    </row>
    <row r="112" spans="1:14" x14ac:dyDescent="0.2">
      <c r="A112" s="24" t="s">
        <v>218</v>
      </c>
      <c r="B112" s="13" t="s">
        <v>219</v>
      </c>
      <c r="C112" s="1"/>
      <c r="D112" s="7"/>
      <c r="E112" s="2">
        <v>3013007.84</v>
      </c>
      <c r="F112" s="44"/>
      <c r="G112" s="2"/>
      <c r="H112" s="2"/>
      <c r="I112" s="3">
        <f t="shared" si="4"/>
        <v>3013007.84</v>
      </c>
      <c r="J112" s="3">
        <f t="shared" si="4"/>
        <v>0</v>
      </c>
      <c r="K112" s="3"/>
      <c r="L112" s="2"/>
      <c r="M112" s="2">
        <f t="shared" si="7"/>
        <v>3013007.84</v>
      </c>
      <c r="N112" s="52">
        <f t="shared" si="6"/>
        <v>0</v>
      </c>
    </row>
    <row r="113" spans="1:14" x14ac:dyDescent="0.2">
      <c r="A113" s="4" t="s">
        <v>220</v>
      </c>
      <c r="B113" s="23" t="s">
        <v>221</v>
      </c>
      <c r="C113" s="1"/>
      <c r="D113" s="2">
        <v>7096537.9000000004</v>
      </c>
      <c r="E113" s="2"/>
      <c r="F113" s="3"/>
      <c r="G113" s="2"/>
      <c r="H113" s="2"/>
      <c r="I113" s="3">
        <f t="shared" si="4"/>
        <v>0</v>
      </c>
      <c r="J113" s="3">
        <f t="shared" si="4"/>
        <v>7096537.9000000004</v>
      </c>
      <c r="K113" s="3"/>
      <c r="L113" s="2"/>
      <c r="M113" s="2">
        <f t="shared" si="7"/>
        <v>0</v>
      </c>
      <c r="N113" s="52">
        <f t="shared" si="6"/>
        <v>7096537.9000000004</v>
      </c>
    </row>
    <row r="114" spans="1:14" x14ac:dyDescent="0.2">
      <c r="A114" s="4" t="s">
        <v>222</v>
      </c>
      <c r="B114" s="23" t="s">
        <v>223</v>
      </c>
      <c r="C114" s="1"/>
      <c r="D114" s="2">
        <v>645779123.97000003</v>
      </c>
      <c r="E114" s="2"/>
      <c r="F114" s="3"/>
      <c r="G114" s="2"/>
      <c r="H114" s="2"/>
      <c r="I114" s="3">
        <f t="shared" si="4"/>
        <v>0</v>
      </c>
      <c r="J114" s="3">
        <f t="shared" si="4"/>
        <v>645779123.97000003</v>
      </c>
      <c r="K114" s="3"/>
      <c r="L114" s="2"/>
      <c r="M114" s="2">
        <f t="shared" si="7"/>
        <v>0</v>
      </c>
      <c r="N114" s="52">
        <f t="shared" si="6"/>
        <v>645779123.97000003</v>
      </c>
    </row>
    <row r="115" spans="1:14" x14ac:dyDescent="0.2">
      <c r="A115" s="4" t="s">
        <v>224</v>
      </c>
      <c r="B115" s="23" t="s">
        <v>225</v>
      </c>
      <c r="C115" s="1"/>
      <c r="D115" s="2">
        <v>10030</v>
      </c>
      <c r="E115" s="2"/>
      <c r="F115" s="3"/>
      <c r="G115" s="2"/>
      <c r="H115" s="2"/>
      <c r="I115" s="3">
        <f t="shared" si="4"/>
        <v>0</v>
      </c>
      <c r="J115" s="3">
        <f t="shared" si="4"/>
        <v>10030</v>
      </c>
      <c r="K115" s="3"/>
      <c r="L115" s="2"/>
      <c r="M115" s="2">
        <f t="shared" si="7"/>
        <v>0</v>
      </c>
      <c r="N115" s="52">
        <f t="shared" si="6"/>
        <v>10030</v>
      </c>
    </row>
    <row r="116" spans="1:14" x14ac:dyDescent="0.2">
      <c r="A116" s="4" t="s">
        <v>226</v>
      </c>
      <c r="B116" s="23" t="s">
        <v>227</v>
      </c>
      <c r="C116" s="1"/>
      <c r="D116" s="2">
        <v>13922738.68</v>
      </c>
      <c r="E116" s="2"/>
      <c r="F116" s="3">
        <v>3893921.7</v>
      </c>
      <c r="G116" s="2"/>
      <c r="H116" s="2"/>
      <c r="I116" s="3">
        <f t="shared" si="4"/>
        <v>0</v>
      </c>
      <c r="J116" s="3">
        <f t="shared" si="4"/>
        <v>17816660.379999999</v>
      </c>
      <c r="K116" s="3"/>
      <c r="L116" s="2"/>
      <c r="M116" s="2">
        <f t="shared" si="7"/>
        <v>0</v>
      </c>
      <c r="N116" s="52">
        <f t="shared" si="6"/>
        <v>17816660.379999999</v>
      </c>
    </row>
    <row r="117" spans="1:14" x14ac:dyDescent="0.2">
      <c r="A117" s="4" t="s">
        <v>228</v>
      </c>
      <c r="B117" s="23" t="s">
        <v>229</v>
      </c>
      <c r="C117" s="1"/>
      <c r="D117" s="2">
        <v>310281011</v>
      </c>
      <c r="E117" s="2"/>
      <c r="F117" s="3"/>
      <c r="G117" s="2"/>
      <c r="H117" s="2"/>
      <c r="I117" s="3">
        <f t="shared" si="4"/>
        <v>0</v>
      </c>
      <c r="J117" s="3">
        <f t="shared" si="4"/>
        <v>310281011</v>
      </c>
      <c r="K117" s="3"/>
      <c r="L117" s="2"/>
      <c r="M117" s="2">
        <f t="shared" si="7"/>
        <v>0</v>
      </c>
      <c r="N117" s="52">
        <f t="shared" si="6"/>
        <v>310281011</v>
      </c>
    </row>
    <row r="118" spans="1:14" x14ac:dyDescent="0.2">
      <c r="A118" s="4" t="s">
        <v>230</v>
      </c>
      <c r="B118" s="23" t="s">
        <v>231</v>
      </c>
      <c r="C118" s="1"/>
      <c r="D118" s="2">
        <v>48608996</v>
      </c>
      <c r="E118" s="2"/>
      <c r="F118" s="3"/>
      <c r="G118" s="2"/>
      <c r="H118" s="2"/>
      <c r="I118" s="3">
        <f t="shared" si="4"/>
        <v>0</v>
      </c>
      <c r="J118" s="3">
        <f t="shared" si="4"/>
        <v>48608996</v>
      </c>
      <c r="K118" s="3"/>
      <c r="L118" s="2"/>
      <c r="M118" s="2">
        <f t="shared" si="7"/>
        <v>0</v>
      </c>
      <c r="N118" s="52">
        <f t="shared" si="6"/>
        <v>48608996</v>
      </c>
    </row>
    <row r="119" spans="1:14" x14ac:dyDescent="0.2">
      <c r="A119" s="4" t="s">
        <v>232</v>
      </c>
      <c r="B119" s="23" t="s">
        <v>233</v>
      </c>
      <c r="C119" s="1"/>
      <c r="D119" s="2">
        <v>2615963.23</v>
      </c>
      <c r="E119" s="2"/>
      <c r="F119" s="3"/>
      <c r="G119" s="2"/>
      <c r="H119" s="2"/>
      <c r="I119" s="3">
        <f t="shared" si="4"/>
        <v>0</v>
      </c>
      <c r="J119" s="3">
        <f t="shared" si="4"/>
        <v>2615963.23</v>
      </c>
      <c r="K119" s="3"/>
      <c r="L119" s="2"/>
      <c r="M119" s="2">
        <f t="shared" si="7"/>
        <v>0</v>
      </c>
      <c r="N119" s="52">
        <f t="shared" si="6"/>
        <v>2615963.23</v>
      </c>
    </row>
    <row r="120" spans="1:14" x14ac:dyDescent="0.2">
      <c r="A120" s="4" t="s">
        <v>234</v>
      </c>
      <c r="B120" s="23" t="s">
        <v>235</v>
      </c>
      <c r="C120" s="1"/>
      <c r="D120" s="2">
        <v>47808150.829999998</v>
      </c>
      <c r="E120" s="2"/>
      <c r="F120" s="3"/>
      <c r="G120" s="2"/>
      <c r="H120" s="2"/>
      <c r="I120" s="3">
        <f t="shared" si="4"/>
        <v>0</v>
      </c>
      <c r="J120" s="3">
        <f t="shared" si="4"/>
        <v>47808150.829999998</v>
      </c>
      <c r="K120" s="3"/>
      <c r="L120" s="2"/>
      <c r="M120" s="2">
        <f t="shared" si="7"/>
        <v>0</v>
      </c>
      <c r="N120" s="52">
        <f t="shared" si="6"/>
        <v>47808150.829999998</v>
      </c>
    </row>
    <row r="121" spans="1:14" x14ac:dyDescent="0.2">
      <c r="A121" s="4" t="s">
        <v>236</v>
      </c>
      <c r="B121" s="23" t="s">
        <v>237</v>
      </c>
      <c r="C121" s="1"/>
      <c r="D121" s="2">
        <v>305100</v>
      </c>
      <c r="E121" s="2"/>
      <c r="F121" s="3"/>
      <c r="G121" s="2"/>
      <c r="H121" s="2"/>
      <c r="I121" s="3">
        <f t="shared" si="4"/>
        <v>0</v>
      </c>
      <c r="J121" s="3">
        <f t="shared" si="4"/>
        <v>305100</v>
      </c>
      <c r="K121" s="3"/>
      <c r="L121" s="2"/>
      <c r="M121" s="2">
        <f t="shared" si="7"/>
        <v>0</v>
      </c>
      <c r="N121" s="52">
        <f t="shared" si="6"/>
        <v>305100</v>
      </c>
    </row>
    <row r="122" spans="1:14" x14ac:dyDescent="0.2">
      <c r="A122" s="4" t="s">
        <v>238</v>
      </c>
      <c r="B122" s="23" t="s">
        <v>239</v>
      </c>
      <c r="C122" s="1"/>
      <c r="D122" s="2">
        <v>4339650</v>
      </c>
      <c r="E122" s="2"/>
      <c r="F122" s="3"/>
      <c r="G122" s="2"/>
      <c r="H122" s="2"/>
      <c r="I122" s="3">
        <f t="shared" si="4"/>
        <v>0</v>
      </c>
      <c r="J122" s="3">
        <f t="shared" si="4"/>
        <v>4339650</v>
      </c>
      <c r="K122" s="3"/>
      <c r="L122" s="2"/>
      <c r="M122" s="2">
        <f t="shared" si="7"/>
        <v>0</v>
      </c>
      <c r="N122" s="52">
        <f t="shared" si="6"/>
        <v>4339650</v>
      </c>
    </row>
    <row r="123" spans="1:14" x14ac:dyDescent="0.2">
      <c r="A123" s="4" t="s">
        <v>240</v>
      </c>
      <c r="B123" s="23" t="s">
        <v>241</v>
      </c>
      <c r="C123" s="1"/>
      <c r="D123" s="2">
        <v>446562.62</v>
      </c>
      <c r="E123" s="2"/>
      <c r="F123" s="3"/>
      <c r="G123" s="2"/>
      <c r="H123" s="2"/>
      <c r="I123" s="3">
        <f t="shared" si="4"/>
        <v>0</v>
      </c>
      <c r="J123" s="3">
        <f t="shared" si="4"/>
        <v>446562.62</v>
      </c>
      <c r="K123" s="3"/>
      <c r="L123" s="2"/>
      <c r="M123" s="2">
        <f t="shared" si="7"/>
        <v>0</v>
      </c>
      <c r="N123" s="52">
        <f t="shared" si="6"/>
        <v>446562.62</v>
      </c>
    </row>
    <row r="124" spans="1:14" ht="12" customHeight="1" x14ac:dyDescent="0.2">
      <c r="A124" s="4" t="s">
        <v>242</v>
      </c>
      <c r="B124" s="23" t="s">
        <v>243</v>
      </c>
      <c r="C124" s="1"/>
      <c r="D124" s="2">
        <v>8669439.0199999996</v>
      </c>
      <c r="E124" s="2"/>
      <c r="F124" s="3"/>
      <c r="G124" s="2"/>
      <c r="H124" s="2"/>
      <c r="I124" s="3">
        <f t="shared" si="4"/>
        <v>0</v>
      </c>
      <c r="J124" s="3">
        <f t="shared" si="4"/>
        <v>8669439.0199999996</v>
      </c>
      <c r="K124" s="3"/>
      <c r="L124" s="2"/>
      <c r="M124" s="2">
        <f t="shared" si="7"/>
        <v>0</v>
      </c>
      <c r="N124" s="52">
        <f t="shared" si="6"/>
        <v>8669439.0199999996</v>
      </c>
    </row>
    <row r="125" spans="1:14" x14ac:dyDescent="0.2">
      <c r="A125" s="4" t="s">
        <v>244</v>
      </c>
      <c r="B125" s="23" t="s">
        <v>245</v>
      </c>
      <c r="C125" s="1"/>
      <c r="D125" s="2">
        <v>1060</v>
      </c>
      <c r="E125" s="2"/>
      <c r="F125" s="3"/>
      <c r="G125" s="2"/>
      <c r="H125" s="2"/>
      <c r="I125" s="3">
        <f t="shared" si="4"/>
        <v>0</v>
      </c>
      <c r="J125" s="3">
        <f t="shared" si="4"/>
        <v>1060</v>
      </c>
      <c r="K125" s="3"/>
      <c r="L125" s="2"/>
      <c r="M125" s="2">
        <f t="shared" si="7"/>
        <v>0</v>
      </c>
      <c r="N125" s="52">
        <f t="shared" si="6"/>
        <v>1060</v>
      </c>
    </row>
    <row r="126" spans="1:14" x14ac:dyDescent="0.2">
      <c r="A126" s="4" t="s">
        <v>246</v>
      </c>
      <c r="B126" s="23" t="s">
        <v>247</v>
      </c>
      <c r="C126" s="1"/>
      <c r="D126" s="2">
        <v>36550</v>
      </c>
      <c r="E126" s="2"/>
      <c r="F126" s="3"/>
      <c r="G126" s="2"/>
      <c r="H126" s="2"/>
      <c r="I126" s="3">
        <f t="shared" si="4"/>
        <v>0</v>
      </c>
      <c r="J126" s="3">
        <f t="shared" si="4"/>
        <v>36550</v>
      </c>
      <c r="K126" s="3"/>
      <c r="L126" s="2"/>
      <c r="M126" s="2">
        <f t="shared" si="7"/>
        <v>0</v>
      </c>
      <c r="N126" s="52">
        <f t="shared" si="6"/>
        <v>36550</v>
      </c>
    </row>
    <row r="127" spans="1:14" x14ac:dyDescent="0.2">
      <c r="A127" s="4" t="s">
        <v>248</v>
      </c>
      <c r="B127" s="23" t="s">
        <v>249</v>
      </c>
      <c r="C127" s="1"/>
      <c r="D127" s="2">
        <f>1511854.59+568474.28</f>
        <v>2080328.87</v>
      </c>
      <c r="E127" s="2"/>
      <c r="F127" s="3"/>
      <c r="G127" s="2"/>
      <c r="H127" s="2"/>
      <c r="I127" s="3">
        <f t="shared" si="4"/>
        <v>0</v>
      </c>
      <c r="J127" s="3">
        <f t="shared" si="4"/>
        <v>2080328.87</v>
      </c>
      <c r="K127" s="3"/>
      <c r="L127" s="2"/>
      <c r="M127" s="2">
        <f t="shared" si="7"/>
        <v>0</v>
      </c>
      <c r="N127" s="52">
        <f t="shared" si="6"/>
        <v>2080328.87</v>
      </c>
    </row>
    <row r="128" spans="1:14" x14ac:dyDescent="0.2">
      <c r="A128" s="4" t="s">
        <v>250</v>
      </c>
      <c r="B128" s="23" t="s">
        <v>249</v>
      </c>
      <c r="C128" s="1"/>
      <c r="D128" s="2">
        <v>1216478.46</v>
      </c>
      <c r="E128" s="2"/>
      <c r="F128" s="3"/>
      <c r="G128" s="2"/>
      <c r="H128" s="2"/>
      <c r="I128" s="3">
        <f t="shared" si="4"/>
        <v>0</v>
      </c>
      <c r="J128" s="3">
        <f t="shared" si="4"/>
        <v>1216478.46</v>
      </c>
      <c r="K128" s="3"/>
      <c r="L128" s="2"/>
      <c r="M128" s="2">
        <f t="shared" si="7"/>
        <v>0</v>
      </c>
      <c r="N128" s="52">
        <f t="shared" si="6"/>
        <v>1216478.46</v>
      </c>
    </row>
    <row r="129" spans="1:14" x14ac:dyDescent="0.2">
      <c r="A129" s="4" t="s">
        <v>251</v>
      </c>
      <c r="B129" s="23" t="s">
        <v>252</v>
      </c>
      <c r="C129" s="1"/>
      <c r="D129" s="2">
        <v>21441146.91</v>
      </c>
      <c r="E129" s="2"/>
      <c r="F129" s="3"/>
      <c r="G129" s="2"/>
      <c r="H129" s="2"/>
      <c r="I129" s="3">
        <f t="shared" si="4"/>
        <v>0</v>
      </c>
      <c r="J129" s="3">
        <f t="shared" si="4"/>
        <v>21441146.91</v>
      </c>
      <c r="K129" s="3"/>
      <c r="L129" s="2"/>
      <c r="M129" s="2">
        <f t="shared" si="7"/>
        <v>0</v>
      </c>
      <c r="N129" s="52">
        <f t="shared" si="6"/>
        <v>21441146.91</v>
      </c>
    </row>
    <row r="130" spans="1:14" x14ac:dyDescent="0.2">
      <c r="A130" s="4" t="s">
        <v>253</v>
      </c>
      <c r="B130" s="23" t="s">
        <v>254</v>
      </c>
      <c r="C130" s="1"/>
      <c r="D130" s="2">
        <v>27519540</v>
      </c>
      <c r="E130" s="2"/>
      <c r="F130" s="3"/>
      <c r="G130" s="2"/>
      <c r="H130" s="2"/>
      <c r="I130" s="3">
        <f t="shared" si="4"/>
        <v>0</v>
      </c>
      <c r="J130" s="3">
        <f t="shared" si="4"/>
        <v>27519540</v>
      </c>
      <c r="K130" s="3"/>
      <c r="L130" s="2"/>
      <c r="M130" s="2">
        <f t="shared" si="7"/>
        <v>0</v>
      </c>
      <c r="N130" s="52">
        <f t="shared" si="6"/>
        <v>27519540</v>
      </c>
    </row>
    <row r="131" spans="1:14" ht="15" x14ac:dyDescent="0.2">
      <c r="A131" s="4" t="s">
        <v>255</v>
      </c>
      <c r="B131" s="23" t="s">
        <v>256</v>
      </c>
      <c r="C131" s="1"/>
      <c r="D131" s="2">
        <v>1609281.35</v>
      </c>
      <c r="E131" s="45"/>
      <c r="F131" s="46"/>
      <c r="G131" s="2"/>
      <c r="H131" s="2"/>
      <c r="I131" s="3">
        <f t="shared" si="4"/>
        <v>0</v>
      </c>
      <c r="J131" s="3">
        <f t="shared" si="4"/>
        <v>1609281.35</v>
      </c>
      <c r="K131" s="3"/>
      <c r="L131" s="2"/>
      <c r="M131" s="2">
        <f t="shared" si="7"/>
        <v>0</v>
      </c>
      <c r="N131" s="52">
        <f t="shared" si="6"/>
        <v>1609281.35</v>
      </c>
    </row>
    <row r="132" spans="1:14" ht="15" x14ac:dyDescent="0.2">
      <c r="A132" s="4" t="s">
        <v>257</v>
      </c>
      <c r="B132" s="23" t="s">
        <v>258</v>
      </c>
      <c r="C132" s="1"/>
      <c r="D132" s="2">
        <v>254700</v>
      </c>
      <c r="E132" s="45"/>
      <c r="F132" s="46"/>
      <c r="G132" s="2"/>
      <c r="H132" s="2"/>
      <c r="I132" s="3">
        <f t="shared" si="4"/>
        <v>0</v>
      </c>
      <c r="J132" s="3">
        <f t="shared" si="4"/>
        <v>254700</v>
      </c>
      <c r="K132" s="3"/>
      <c r="L132" s="2"/>
      <c r="M132" s="2">
        <f t="shared" si="7"/>
        <v>0</v>
      </c>
      <c r="N132" s="52">
        <f t="shared" si="6"/>
        <v>254700</v>
      </c>
    </row>
    <row r="133" spans="1:14" x14ac:dyDescent="0.2">
      <c r="A133" s="4" t="s">
        <v>259</v>
      </c>
      <c r="B133" s="23" t="s">
        <v>260</v>
      </c>
      <c r="C133" s="1"/>
      <c r="D133" s="2">
        <v>9561840.5</v>
      </c>
      <c r="E133" s="2"/>
      <c r="F133" s="3"/>
      <c r="G133" s="2"/>
      <c r="H133" s="2"/>
      <c r="I133" s="3">
        <f t="shared" si="4"/>
        <v>0</v>
      </c>
      <c r="J133" s="3">
        <f t="shared" si="4"/>
        <v>9561840.5</v>
      </c>
      <c r="K133" s="3"/>
      <c r="L133" s="2"/>
      <c r="M133" s="2">
        <f t="shared" si="7"/>
        <v>0</v>
      </c>
      <c r="N133" s="52">
        <f t="shared" si="6"/>
        <v>9561840.5</v>
      </c>
    </row>
    <row r="134" spans="1:14" ht="15" x14ac:dyDescent="0.2">
      <c r="A134" s="4" t="s">
        <v>261</v>
      </c>
      <c r="B134" s="23" t="s">
        <v>262</v>
      </c>
      <c r="C134" s="1"/>
      <c r="D134" s="2">
        <v>46081046.5</v>
      </c>
      <c r="E134" s="45"/>
      <c r="F134" s="46"/>
      <c r="G134" s="2"/>
      <c r="H134" s="2"/>
      <c r="I134" s="3">
        <f t="shared" si="4"/>
        <v>0</v>
      </c>
      <c r="J134" s="3">
        <f t="shared" si="4"/>
        <v>46081046.5</v>
      </c>
      <c r="K134" s="3"/>
      <c r="L134" s="2"/>
      <c r="M134" s="2">
        <f t="shared" si="7"/>
        <v>0</v>
      </c>
      <c r="N134" s="52">
        <f t="shared" si="6"/>
        <v>46081046.5</v>
      </c>
    </row>
    <row r="135" spans="1:14" x14ac:dyDescent="0.2">
      <c r="A135" s="4" t="s">
        <v>263</v>
      </c>
      <c r="B135" s="23" t="s">
        <v>264</v>
      </c>
      <c r="C135" s="1"/>
      <c r="D135" s="2">
        <v>6444143.8399999999</v>
      </c>
      <c r="E135" s="2"/>
      <c r="F135" s="3">
        <v>419973.16</v>
      </c>
      <c r="G135" s="2"/>
      <c r="H135" s="2"/>
      <c r="I135" s="3">
        <f t="shared" ref="I135:J198" si="8">C135+E135+G135</f>
        <v>0</v>
      </c>
      <c r="J135" s="3">
        <f t="shared" si="8"/>
        <v>6864117</v>
      </c>
      <c r="K135" s="3"/>
      <c r="L135" s="2"/>
      <c r="M135" s="2">
        <f t="shared" si="7"/>
        <v>0</v>
      </c>
      <c r="N135" s="52">
        <f t="shared" si="6"/>
        <v>6864117</v>
      </c>
    </row>
    <row r="136" spans="1:14" x14ac:dyDescent="0.2">
      <c r="A136" s="4" t="s">
        <v>265</v>
      </c>
      <c r="B136" s="5" t="s">
        <v>266</v>
      </c>
      <c r="C136" s="1"/>
      <c r="D136" s="1">
        <v>5763762.5</v>
      </c>
      <c r="E136" s="2"/>
      <c r="F136" s="3"/>
      <c r="G136" s="2"/>
      <c r="H136" s="2"/>
      <c r="I136" s="3">
        <f t="shared" si="8"/>
        <v>0</v>
      </c>
      <c r="J136" s="3">
        <f t="shared" si="8"/>
        <v>5763762.5</v>
      </c>
      <c r="K136" s="3"/>
      <c r="L136" s="2"/>
      <c r="M136" s="2">
        <f t="shared" si="7"/>
        <v>0</v>
      </c>
      <c r="N136" s="52">
        <f t="shared" si="6"/>
        <v>5763762.5</v>
      </c>
    </row>
    <row r="137" spans="1:14" x14ac:dyDescent="0.2">
      <c r="A137" s="4" t="s">
        <v>267</v>
      </c>
      <c r="B137" s="23" t="s">
        <v>268</v>
      </c>
      <c r="C137" s="1"/>
      <c r="D137" s="1">
        <v>6881566.9299999997</v>
      </c>
      <c r="E137" s="2"/>
      <c r="F137" s="3"/>
      <c r="G137" s="2"/>
      <c r="H137" s="2"/>
      <c r="I137" s="3">
        <f t="shared" si="8"/>
        <v>0</v>
      </c>
      <c r="J137" s="3">
        <f t="shared" si="8"/>
        <v>6881566.9299999997</v>
      </c>
      <c r="K137" s="3"/>
      <c r="L137" s="2"/>
      <c r="M137" s="2">
        <f t="shared" si="7"/>
        <v>0</v>
      </c>
      <c r="N137" s="52">
        <f t="shared" si="6"/>
        <v>6881566.9299999997</v>
      </c>
    </row>
    <row r="138" spans="1:14" x14ac:dyDescent="0.2">
      <c r="A138" s="4" t="s">
        <v>269</v>
      </c>
      <c r="B138" s="23" t="s">
        <v>270</v>
      </c>
      <c r="C138" s="1"/>
      <c r="D138" s="1">
        <v>1129615.48</v>
      </c>
      <c r="E138" s="2"/>
      <c r="F138" s="3"/>
      <c r="G138" s="2"/>
      <c r="H138" s="2"/>
      <c r="I138" s="3">
        <f t="shared" si="8"/>
        <v>0</v>
      </c>
      <c r="J138" s="3">
        <f t="shared" si="8"/>
        <v>1129615.48</v>
      </c>
      <c r="K138" s="3"/>
      <c r="L138" s="2"/>
      <c r="M138" s="2">
        <f t="shared" si="7"/>
        <v>0</v>
      </c>
      <c r="N138" s="52">
        <f t="shared" si="6"/>
        <v>1129615.48</v>
      </c>
    </row>
    <row r="139" spans="1:14" x14ac:dyDescent="0.2">
      <c r="A139" s="4" t="s">
        <v>271</v>
      </c>
      <c r="B139" s="23" t="s">
        <v>272</v>
      </c>
      <c r="C139" s="1">
        <v>142283906.47999999</v>
      </c>
      <c r="D139" s="1"/>
      <c r="E139" s="2"/>
      <c r="F139" s="3"/>
      <c r="G139" s="2"/>
      <c r="H139" s="2"/>
      <c r="I139" s="3">
        <f t="shared" si="8"/>
        <v>142283906.47999999</v>
      </c>
      <c r="J139" s="3">
        <f t="shared" si="8"/>
        <v>0</v>
      </c>
      <c r="K139" s="3"/>
      <c r="L139" s="2"/>
      <c r="M139" s="2">
        <f t="shared" si="7"/>
        <v>142283906.47999999</v>
      </c>
      <c r="N139" s="52">
        <f t="shared" si="6"/>
        <v>0</v>
      </c>
    </row>
    <row r="140" spans="1:14" x14ac:dyDescent="0.2">
      <c r="A140" s="4" t="s">
        <v>273</v>
      </c>
      <c r="B140" s="23" t="s">
        <v>274</v>
      </c>
      <c r="C140" s="1">
        <f>26333270.68+46048665.27</f>
        <v>72381935.950000003</v>
      </c>
      <c r="D140" s="1"/>
      <c r="E140" s="2">
        <v>3580853.7</v>
      </c>
      <c r="F140" s="3"/>
      <c r="G140" s="2"/>
      <c r="H140" s="2"/>
      <c r="I140" s="3">
        <f t="shared" si="8"/>
        <v>75962789.650000006</v>
      </c>
      <c r="J140" s="3">
        <f t="shared" si="8"/>
        <v>0</v>
      </c>
      <c r="K140" s="3"/>
      <c r="L140" s="2"/>
      <c r="M140" s="2">
        <f t="shared" si="7"/>
        <v>75962789.650000006</v>
      </c>
      <c r="N140" s="52">
        <f t="shared" si="6"/>
        <v>0</v>
      </c>
    </row>
    <row r="141" spans="1:14" x14ac:dyDescent="0.2">
      <c r="A141" s="4" t="s">
        <v>275</v>
      </c>
      <c r="B141" s="23" t="s">
        <v>276</v>
      </c>
      <c r="C141" s="1">
        <v>24497794.280000001</v>
      </c>
      <c r="D141" s="25"/>
      <c r="E141" s="2">
        <v>701545.45</v>
      </c>
      <c r="F141" s="3"/>
      <c r="G141" s="2"/>
      <c r="H141" s="2"/>
      <c r="I141" s="3">
        <f t="shared" si="8"/>
        <v>25199339.73</v>
      </c>
      <c r="J141" s="3">
        <f t="shared" si="8"/>
        <v>0</v>
      </c>
      <c r="K141" s="3"/>
      <c r="L141" s="2"/>
      <c r="M141" s="2">
        <f t="shared" si="7"/>
        <v>25199339.73</v>
      </c>
      <c r="N141" s="52">
        <f t="shared" si="6"/>
        <v>0</v>
      </c>
    </row>
    <row r="142" spans="1:14" x14ac:dyDescent="0.2">
      <c r="A142" s="4" t="s">
        <v>277</v>
      </c>
      <c r="B142" s="23" t="s">
        <v>278</v>
      </c>
      <c r="C142" s="1">
        <v>4560200</v>
      </c>
      <c r="D142" s="1"/>
      <c r="E142" s="2"/>
      <c r="F142" s="3"/>
      <c r="G142" s="2"/>
      <c r="H142" s="2"/>
      <c r="I142" s="3">
        <f t="shared" si="8"/>
        <v>4560200</v>
      </c>
      <c r="J142" s="3">
        <f t="shared" si="8"/>
        <v>0</v>
      </c>
      <c r="K142" s="3"/>
      <c r="L142" s="2"/>
      <c r="M142" s="2">
        <f t="shared" si="7"/>
        <v>4560200</v>
      </c>
      <c r="N142" s="52">
        <f t="shared" si="6"/>
        <v>0</v>
      </c>
    </row>
    <row r="143" spans="1:14" x14ac:dyDescent="0.2">
      <c r="A143" s="4" t="s">
        <v>279</v>
      </c>
      <c r="B143" s="23" t="s">
        <v>280</v>
      </c>
      <c r="C143" s="1">
        <v>4441200</v>
      </c>
      <c r="D143" s="1"/>
      <c r="E143" s="2"/>
      <c r="F143" s="3"/>
      <c r="G143" s="2"/>
      <c r="H143" s="2"/>
      <c r="I143" s="3">
        <f t="shared" si="8"/>
        <v>4441200</v>
      </c>
      <c r="J143" s="3">
        <f t="shared" si="8"/>
        <v>0</v>
      </c>
      <c r="K143" s="3"/>
      <c r="L143" s="2"/>
      <c r="M143" s="2">
        <f t="shared" si="7"/>
        <v>4441200</v>
      </c>
      <c r="N143" s="52">
        <f t="shared" si="6"/>
        <v>0</v>
      </c>
    </row>
    <row r="144" spans="1:14" x14ac:dyDescent="0.2">
      <c r="A144" s="4" t="s">
        <v>281</v>
      </c>
      <c r="B144" s="23" t="s">
        <v>282</v>
      </c>
      <c r="C144" s="1">
        <v>4792500</v>
      </c>
      <c r="D144" s="1"/>
      <c r="E144" s="2">
        <v>150000</v>
      </c>
      <c r="F144" s="3"/>
      <c r="G144" s="2"/>
      <c r="H144" s="2"/>
      <c r="I144" s="3">
        <f t="shared" si="8"/>
        <v>4942500</v>
      </c>
      <c r="J144" s="3">
        <f t="shared" si="8"/>
        <v>0</v>
      </c>
      <c r="K144" s="3"/>
      <c r="L144" s="2"/>
      <c r="M144" s="2">
        <f t="shared" si="7"/>
        <v>4942500</v>
      </c>
      <c r="N144" s="52">
        <f t="shared" si="6"/>
        <v>0</v>
      </c>
    </row>
    <row r="145" spans="1:14" x14ac:dyDescent="0.2">
      <c r="A145" s="4" t="s">
        <v>283</v>
      </c>
      <c r="B145" s="23" t="s">
        <v>284</v>
      </c>
      <c r="C145" s="53">
        <v>5373067.5</v>
      </c>
      <c r="D145" s="1"/>
      <c r="E145" s="2"/>
      <c r="F145" s="3"/>
      <c r="G145" s="2"/>
      <c r="H145" s="2"/>
      <c r="I145" s="3">
        <f t="shared" si="8"/>
        <v>5373067.5</v>
      </c>
      <c r="J145" s="3">
        <f t="shared" si="8"/>
        <v>0</v>
      </c>
      <c r="K145" s="3"/>
      <c r="L145" s="2"/>
      <c r="M145" s="2">
        <f t="shared" si="7"/>
        <v>5373067.5</v>
      </c>
      <c r="N145" s="52">
        <f t="shared" si="6"/>
        <v>0</v>
      </c>
    </row>
    <row r="146" spans="1:14" x14ac:dyDescent="0.2">
      <c r="A146" s="4" t="s">
        <v>285</v>
      </c>
      <c r="B146" s="23" t="s">
        <v>286</v>
      </c>
      <c r="C146" s="1">
        <v>763675</v>
      </c>
      <c r="D146" s="1"/>
      <c r="E146" s="2"/>
      <c r="F146" s="3"/>
      <c r="G146" s="2"/>
      <c r="H146" s="2"/>
      <c r="I146" s="3">
        <f t="shared" si="8"/>
        <v>763675</v>
      </c>
      <c r="J146" s="3">
        <f t="shared" si="8"/>
        <v>0</v>
      </c>
      <c r="K146" s="3"/>
      <c r="L146" s="2"/>
      <c r="M146" s="2">
        <f t="shared" si="7"/>
        <v>763675</v>
      </c>
      <c r="N146" s="52">
        <f t="shared" si="6"/>
        <v>0</v>
      </c>
    </row>
    <row r="147" spans="1:14" x14ac:dyDescent="0.2">
      <c r="A147" s="4" t="s">
        <v>287</v>
      </c>
      <c r="B147" s="23" t="s">
        <v>288</v>
      </c>
      <c r="C147" s="1">
        <v>1816000</v>
      </c>
      <c r="D147" s="1"/>
      <c r="E147" s="2">
        <v>58000</v>
      </c>
      <c r="F147" s="3"/>
      <c r="G147" s="2"/>
      <c r="H147" s="2"/>
      <c r="I147" s="3">
        <f t="shared" si="8"/>
        <v>1874000</v>
      </c>
      <c r="J147" s="3">
        <f t="shared" si="8"/>
        <v>0</v>
      </c>
      <c r="K147" s="3"/>
      <c r="L147" s="2"/>
      <c r="M147" s="2">
        <f t="shared" si="7"/>
        <v>1874000</v>
      </c>
      <c r="N147" s="52">
        <f t="shared" si="6"/>
        <v>0</v>
      </c>
    </row>
    <row r="148" spans="1:14" x14ac:dyDescent="0.2">
      <c r="A148" s="4" t="s">
        <v>289</v>
      </c>
      <c r="B148" s="23" t="s">
        <v>290</v>
      </c>
      <c r="C148" s="1">
        <v>1244263.6599999999</v>
      </c>
      <c r="D148" s="1"/>
      <c r="E148" s="2"/>
      <c r="F148" s="3"/>
      <c r="G148" s="2"/>
      <c r="H148" s="2"/>
      <c r="I148" s="3">
        <f t="shared" si="8"/>
        <v>1244263.6599999999</v>
      </c>
      <c r="J148" s="3">
        <f t="shared" si="8"/>
        <v>0</v>
      </c>
      <c r="K148" s="3"/>
      <c r="L148" s="2"/>
      <c r="M148" s="2">
        <f t="shared" si="7"/>
        <v>1244263.6599999999</v>
      </c>
      <c r="N148" s="52">
        <f t="shared" si="6"/>
        <v>0</v>
      </c>
    </row>
    <row r="149" spans="1:14" x14ac:dyDescent="0.2">
      <c r="A149" s="4" t="s">
        <v>291</v>
      </c>
      <c r="B149" s="23" t="s">
        <v>292</v>
      </c>
      <c r="C149" s="1">
        <v>36533897.600000001</v>
      </c>
      <c r="D149" s="26"/>
      <c r="E149" s="2">
        <v>313431</v>
      </c>
      <c r="F149" s="3"/>
      <c r="G149" s="2"/>
      <c r="H149" s="2"/>
      <c r="I149" s="3">
        <f t="shared" si="8"/>
        <v>36847328.600000001</v>
      </c>
      <c r="J149" s="3">
        <f t="shared" si="8"/>
        <v>0</v>
      </c>
      <c r="K149" s="3"/>
      <c r="L149" s="2"/>
      <c r="M149" s="2">
        <f t="shared" si="7"/>
        <v>36847328.600000001</v>
      </c>
      <c r="N149" s="52">
        <f t="shared" si="6"/>
        <v>0</v>
      </c>
    </row>
    <row r="150" spans="1:14" x14ac:dyDescent="0.2">
      <c r="A150" s="27" t="s">
        <v>293</v>
      </c>
      <c r="B150" s="23" t="s">
        <v>294</v>
      </c>
      <c r="C150" s="1">
        <v>5082500</v>
      </c>
      <c r="D150" s="1"/>
      <c r="E150" s="2">
        <v>150000</v>
      </c>
      <c r="F150" s="3"/>
      <c r="G150" s="2"/>
      <c r="H150" s="2"/>
      <c r="I150" s="3">
        <f t="shared" si="8"/>
        <v>5232500</v>
      </c>
      <c r="J150" s="3">
        <f t="shared" si="8"/>
        <v>0</v>
      </c>
      <c r="K150" s="3"/>
      <c r="L150" s="2"/>
      <c r="M150" s="2">
        <f t="shared" si="7"/>
        <v>5232500</v>
      </c>
      <c r="N150" s="52">
        <f t="shared" si="6"/>
        <v>0</v>
      </c>
    </row>
    <row r="151" spans="1:14" x14ac:dyDescent="0.2">
      <c r="A151" s="4" t="s">
        <v>295</v>
      </c>
      <c r="B151" s="23" t="s">
        <v>296</v>
      </c>
      <c r="C151" s="1">
        <v>25668285.359999999</v>
      </c>
      <c r="D151" s="1"/>
      <c r="E151" s="2">
        <v>436842</v>
      </c>
      <c r="F151" s="3"/>
      <c r="G151" s="2"/>
      <c r="H151" s="2"/>
      <c r="I151" s="3">
        <f t="shared" si="8"/>
        <v>26105127.359999999</v>
      </c>
      <c r="J151" s="3">
        <f t="shared" si="8"/>
        <v>0</v>
      </c>
      <c r="K151" s="3"/>
      <c r="L151" s="2"/>
      <c r="M151" s="2">
        <f t="shared" si="7"/>
        <v>26105127.359999999</v>
      </c>
      <c r="N151" s="52">
        <f t="shared" si="6"/>
        <v>0</v>
      </c>
    </row>
    <row r="152" spans="1:14" x14ac:dyDescent="0.2">
      <c r="A152" s="4" t="s">
        <v>297</v>
      </c>
      <c r="B152" s="23" t="s">
        <v>298</v>
      </c>
      <c r="C152" s="53">
        <v>1243462.5</v>
      </c>
      <c r="D152" s="1"/>
      <c r="E152" s="2">
        <v>35100</v>
      </c>
      <c r="F152" s="3"/>
      <c r="G152" s="2"/>
      <c r="H152" s="2"/>
      <c r="I152" s="3">
        <f t="shared" si="8"/>
        <v>1278562.5</v>
      </c>
      <c r="J152" s="3">
        <f t="shared" si="8"/>
        <v>0</v>
      </c>
      <c r="K152" s="3"/>
      <c r="L152" s="2"/>
      <c r="M152" s="2">
        <f t="shared" si="7"/>
        <v>1278562.5</v>
      </c>
      <c r="N152" s="52">
        <f t="shared" si="6"/>
        <v>0</v>
      </c>
    </row>
    <row r="153" spans="1:14" x14ac:dyDescent="0.2">
      <c r="A153" s="4" t="s">
        <v>299</v>
      </c>
      <c r="B153" s="23" t="s">
        <v>300</v>
      </c>
      <c r="C153" s="1">
        <v>2438237.5</v>
      </c>
      <c r="D153" s="28"/>
      <c r="E153" s="2">
        <v>43750</v>
      </c>
      <c r="F153" s="3"/>
      <c r="G153" s="2"/>
      <c r="H153" s="2"/>
      <c r="I153" s="3">
        <f t="shared" si="8"/>
        <v>2481987.5</v>
      </c>
      <c r="J153" s="3">
        <f t="shared" si="8"/>
        <v>0</v>
      </c>
      <c r="K153" s="3"/>
      <c r="L153" s="2"/>
      <c r="M153" s="2">
        <f t="shared" si="7"/>
        <v>2481987.5</v>
      </c>
      <c r="N153" s="52">
        <f t="shared" si="6"/>
        <v>0</v>
      </c>
    </row>
    <row r="154" spans="1:14" x14ac:dyDescent="0.2">
      <c r="A154" s="8" t="s">
        <v>301</v>
      </c>
      <c r="B154" s="5" t="s">
        <v>302</v>
      </c>
      <c r="C154" s="1">
        <v>1236473.49</v>
      </c>
      <c r="D154" s="26"/>
      <c r="E154" s="2">
        <v>35000</v>
      </c>
      <c r="F154" s="3"/>
      <c r="G154" s="2"/>
      <c r="H154" s="2"/>
      <c r="I154" s="3">
        <f t="shared" si="8"/>
        <v>1271473.49</v>
      </c>
      <c r="J154" s="3">
        <f t="shared" si="8"/>
        <v>0</v>
      </c>
      <c r="K154" s="3"/>
      <c r="L154" s="2"/>
      <c r="M154" s="2">
        <f t="shared" si="7"/>
        <v>1271473.49</v>
      </c>
      <c r="N154" s="52">
        <f t="shared" si="6"/>
        <v>0</v>
      </c>
    </row>
    <row r="155" spans="1:14" x14ac:dyDescent="0.2">
      <c r="A155" s="8" t="s">
        <v>303</v>
      </c>
      <c r="B155" s="5" t="s">
        <v>304</v>
      </c>
      <c r="C155" s="1">
        <v>13810439.119999999</v>
      </c>
      <c r="D155" s="28"/>
      <c r="E155" s="2">
        <v>321877.11</v>
      </c>
      <c r="F155" s="3"/>
      <c r="G155" s="2"/>
      <c r="H155" s="2"/>
      <c r="I155" s="3">
        <f t="shared" si="8"/>
        <v>14132316.229999999</v>
      </c>
      <c r="J155" s="3">
        <f t="shared" si="8"/>
        <v>0</v>
      </c>
      <c r="K155" s="3"/>
      <c r="L155" s="2"/>
      <c r="M155" s="2">
        <f t="shared" si="7"/>
        <v>14132316.229999999</v>
      </c>
      <c r="N155" s="52">
        <f t="shared" si="6"/>
        <v>0</v>
      </c>
    </row>
    <row r="156" spans="1:14" x14ac:dyDescent="0.2">
      <c r="A156" s="8" t="s">
        <v>305</v>
      </c>
      <c r="B156" s="5" t="s">
        <v>306</v>
      </c>
      <c r="C156" s="1">
        <v>2135041.2000000002</v>
      </c>
      <c r="D156" s="28"/>
      <c r="E156" s="2">
        <v>312030</v>
      </c>
      <c r="F156" s="3"/>
      <c r="G156" s="2"/>
      <c r="H156" s="2"/>
      <c r="I156" s="3">
        <f t="shared" si="8"/>
        <v>2447071.2000000002</v>
      </c>
      <c r="J156" s="3">
        <f t="shared" si="8"/>
        <v>0</v>
      </c>
      <c r="K156" s="3"/>
      <c r="L156" s="2"/>
      <c r="M156" s="2">
        <f t="shared" si="7"/>
        <v>2447071.2000000002</v>
      </c>
      <c r="N156" s="52">
        <f t="shared" si="6"/>
        <v>0</v>
      </c>
    </row>
    <row r="157" spans="1:14" x14ac:dyDescent="0.2">
      <c r="A157" s="8" t="s">
        <v>307</v>
      </c>
      <c r="B157" s="5" t="s">
        <v>308</v>
      </c>
      <c r="C157" s="1">
        <v>1061452.96</v>
      </c>
      <c r="D157" s="1"/>
      <c r="E157" s="2">
        <v>258098</v>
      </c>
      <c r="F157" s="3"/>
      <c r="G157" s="2"/>
      <c r="H157" s="2"/>
      <c r="I157" s="3">
        <f t="shared" si="8"/>
        <v>1319550.96</v>
      </c>
      <c r="J157" s="3">
        <f t="shared" si="8"/>
        <v>0</v>
      </c>
      <c r="K157" s="3"/>
      <c r="L157" s="2"/>
      <c r="M157" s="2">
        <f t="shared" si="7"/>
        <v>1319550.96</v>
      </c>
      <c r="N157" s="52">
        <f t="shared" si="6"/>
        <v>0</v>
      </c>
    </row>
    <row r="158" spans="1:14" x14ac:dyDescent="0.2">
      <c r="A158" s="8" t="s">
        <v>309</v>
      </c>
      <c r="B158" s="5" t="s">
        <v>310</v>
      </c>
      <c r="C158" s="1">
        <v>4582933.3899999997</v>
      </c>
      <c r="D158" s="26"/>
      <c r="E158" s="2"/>
      <c r="F158" s="3"/>
      <c r="G158" s="2"/>
      <c r="H158" s="2"/>
      <c r="I158" s="3">
        <f t="shared" si="8"/>
        <v>4582933.3899999997</v>
      </c>
      <c r="J158" s="3">
        <f t="shared" si="8"/>
        <v>0</v>
      </c>
      <c r="K158" s="3"/>
      <c r="L158" s="2"/>
      <c r="M158" s="2">
        <f t="shared" si="7"/>
        <v>4582933.3899999997</v>
      </c>
      <c r="N158" s="52">
        <f t="shared" si="6"/>
        <v>0</v>
      </c>
    </row>
    <row r="159" spans="1:14" x14ac:dyDescent="0.2">
      <c r="A159" s="8" t="s">
        <v>311</v>
      </c>
      <c r="B159" s="5" t="s">
        <v>312</v>
      </c>
      <c r="C159" s="1">
        <v>7287435.1299999999</v>
      </c>
      <c r="D159" s="26"/>
      <c r="E159" s="2">
        <v>321525</v>
      </c>
      <c r="F159" s="3"/>
      <c r="G159" s="2"/>
      <c r="H159" s="2"/>
      <c r="I159" s="3">
        <f t="shared" si="8"/>
        <v>7608960.1299999999</v>
      </c>
      <c r="J159" s="3">
        <f t="shared" si="8"/>
        <v>0</v>
      </c>
      <c r="K159" s="3"/>
      <c r="L159" s="2"/>
      <c r="M159" s="2">
        <f t="shared" si="7"/>
        <v>7608960.1299999999</v>
      </c>
      <c r="N159" s="52">
        <f t="shared" si="6"/>
        <v>0</v>
      </c>
    </row>
    <row r="160" spans="1:14" x14ac:dyDescent="0.2">
      <c r="A160" s="8" t="s">
        <v>313</v>
      </c>
      <c r="B160" s="5" t="s">
        <v>314</v>
      </c>
      <c r="C160" s="1">
        <v>59854.26</v>
      </c>
      <c r="D160" s="26"/>
      <c r="E160" s="2"/>
      <c r="F160" s="3"/>
      <c r="G160" s="2"/>
      <c r="H160" s="2"/>
      <c r="I160" s="3">
        <f t="shared" si="8"/>
        <v>59854.26</v>
      </c>
      <c r="J160" s="3">
        <f t="shared" si="8"/>
        <v>0</v>
      </c>
      <c r="K160" s="3"/>
      <c r="L160" s="2"/>
      <c r="M160" s="2">
        <f t="shared" si="7"/>
        <v>59854.26</v>
      </c>
      <c r="N160" s="52">
        <f t="shared" si="6"/>
        <v>0</v>
      </c>
    </row>
    <row r="161" spans="1:14" x14ac:dyDescent="0.2">
      <c r="A161" s="8" t="s">
        <v>315</v>
      </c>
      <c r="B161" s="5" t="s">
        <v>316</v>
      </c>
      <c r="C161" s="1">
        <v>1246408.72</v>
      </c>
      <c r="D161" s="26"/>
      <c r="E161" s="2">
        <v>3037595.05</v>
      </c>
      <c r="F161" s="3"/>
      <c r="G161" s="2"/>
      <c r="H161" s="2"/>
      <c r="I161" s="3">
        <f t="shared" si="8"/>
        <v>4284003.7699999996</v>
      </c>
      <c r="J161" s="3">
        <f t="shared" si="8"/>
        <v>0</v>
      </c>
      <c r="K161" s="3"/>
      <c r="L161" s="2"/>
      <c r="M161" s="2">
        <f t="shared" si="7"/>
        <v>4284003.7699999996</v>
      </c>
      <c r="N161" s="52">
        <f t="shared" si="6"/>
        <v>0</v>
      </c>
    </row>
    <row r="162" spans="1:14" x14ac:dyDescent="0.2">
      <c r="A162" s="8" t="s">
        <v>317</v>
      </c>
      <c r="B162" s="5" t="s">
        <v>318</v>
      </c>
      <c r="C162" s="1">
        <v>6247225.5999999996</v>
      </c>
      <c r="D162" s="1"/>
      <c r="E162" s="2"/>
      <c r="F162" s="3"/>
      <c r="G162" s="2"/>
      <c r="H162" s="2"/>
      <c r="I162" s="3">
        <f t="shared" si="8"/>
        <v>6247225.5999999996</v>
      </c>
      <c r="J162" s="3">
        <f t="shared" si="8"/>
        <v>0</v>
      </c>
      <c r="K162" s="3"/>
      <c r="L162" s="2"/>
      <c r="M162" s="2">
        <f t="shared" si="7"/>
        <v>6247225.5999999996</v>
      </c>
      <c r="N162" s="52">
        <f t="shared" si="6"/>
        <v>0</v>
      </c>
    </row>
    <row r="163" spans="1:14" x14ac:dyDescent="0.2">
      <c r="A163" s="8" t="s">
        <v>319</v>
      </c>
      <c r="B163" s="5" t="s">
        <v>320</v>
      </c>
      <c r="C163" s="1">
        <v>74725</v>
      </c>
      <c r="D163" s="1"/>
      <c r="E163" s="2"/>
      <c r="F163" s="3"/>
      <c r="G163" s="2"/>
      <c r="H163" s="2"/>
      <c r="I163" s="3">
        <f t="shared" si="8"/>
        <v>74725</v>
      </c>
      <c r="J163" s="3">
        <f t="shared" si="8"/>
        <v>0</v>
      </c>
      <c r="K163" s="3"/>
      <c r="L163" s="2"/>
      <c r="M163" s="2">
        <f t="shared" si="7"/>
        <v>74725</v>
      </c>
      <c r="N163" s="52">
        <f t="shared" si="6"/>
        <v>0</v>
      </c>
    </row>
    <row r="164" spans="1:14" x14ac:dyDescent="0.2">
      <c r="A164" s="8" t="s">
        <v>321</v>
      </c>
      <c r="B164" s="5" t="s">
        <v>322</v>
      </c>
      <c r="C164" s="1">
        <v>3892349.17</v>
      </c>
      <c r="D164" s="1"/>
      <c r="E164" s="2"/>
      <c r="F164" s="3"/>
      <c r="G164" s="2"/>
      <c r="H164" s="2"/>
      <c r="I164" s="3">
        <f t="shared" si="8"/>
        <v>3892349.17</v>
      </c>
      <c r="J164" s="3">
        <f t="shared" si="8"/>
        <v>0</v>
      </c>
      <c r="K164" s="3"/>
      <c r="L164" s="2"/>
      <c r="M164" s="2">
        <f t="shared" si="7"/>
        <v>3892349.17</v>
      </c>
      <c r="N164" s="52">
        <f t="shared" si="6"/>
        <v>0</v>
      </c>
    </row>
    <row r="165" spans="1:14" x14ac:dyDescent="0.2">
      <c r="A165" s="8" t="s">
        <v>323</v>
      </c>
      <c r="B165" s="5" t="s">
        <v>324</v>
      </c>
      <c r="C165" s="1"/>
      <c r="D165" s="7"/>
      <c r="E165" s="2"/>
      <c r="F165" s="3"/>
      <c r="G165" s="2"/>
      <c r="H165" s="2"/>
      <c r="I165" s="3">
        <f t="shared" si="8"/>
        <v>0</v>
      </c>
      <c r="J165" s="3">
        <f t="shared" si="8"/>
        <v>0</v>
      </c>
      <c r="K165" s="3"/>
      <c r="L165" s="2"/>
      <c r="M165" s="2">
        <f t="shared" si="7"/>
        <v>0</v>
      </c>
      <c r="N165" s="52">
        <f t="shared" si="6"/>
        <v>0</v>
      </c>
    </row>
    <row r="166" spans="1:14" x14ac:dyDescent="0.2">
      <c r="A166" s="29" t="s">
        <v>325</v>
      </c>
      <c r="B166" s="5" t="s">
        <v>326</v>
      </c>
      <c r="C166" s="1">
        <v>1773349.48</v>
      </c>
      <c r="D166" s="1"/>
      <c r="E166" s="2"/>
      <c r="F166" s="3"/>
      <c r="G166" s="2"/>
      <c r="H166" s="2"/>
      <c r="I166" s="3">
        <f t="shared" si="8"/>
        <v>1773349.48</v>
      </c>
      <c r="J166" s="3">
        <f t="shared" si="8"/>
        <v>0</v>
      </c>
      <c r="K166" s="3"/>
      <c r="L166" s="2"/>
      <c r="M166" s="2">
        <f t="shared" si="7"/>
        <v>1773349.48</v>
      </c>
      <c r="N166" s="52">
        <f t="shared" si="6"/>
        <v>0</v>
      </c>
    </row>
    <row r="167" spans="1:14" x14ac:dyDescent="0.2">
      <c r="A167" s="8" t="s">
        <v>327</v>
      </c>
      <c r="B167" s="5" t="s">
        <v>328</v>
      </c>
      <c r="C167" s="1">
        <v>29035482.350000001</v>
      </c>
      <c r="D167" s="7"/>
      <c r="E167" s="2">
        <v>172415</v>
      </c>
      <c r="F167" s="3"/>
      <c r="G167" s="2"/>
      <c r="H167" s="2"/>
      <c r="I167" s="3">
        <f t="shared" si="8"/>
        <v>29207897.350000001</v>
      </c>
      <c r="J167" s="3">
        <f t="shared" si="8"/>
        <v>0</v>
      </c>
      <c r="K167" s="3"/>
      <c r="L167" s="2"/>
      <c r="M167" s="2">
        <f t="shared" si="7"/>
        <v>29207897.350000001</v>
      </c>
      <c r="N167" s="52">
        <f t="shared" si="6"/>
        <v>0</v>
      </c>
    </row>
    <row r="168" spans="1:14" x14ac:dyDescent="0.2">
      <c r="A168" s="8" t="s">
        <v>329</v>
      </c>
      <c r="B168" s="5" t="s">
        <v>330</v>
      </c>
      <c r="C168" s="1">
        <v>4086825.3</v>
      </c>
      <c r="D168" s="1"/>
      <c r="E168" s="2">
        <v>596084.32999999996</v>
      </c>
      <c r="F168" s="3"/>
      <c r="G168" s="2"/>
      <c r="H168" s="2"/>
      <c r="I168" s="3">
        <f t="shared" si="8"/>
        <v>4682909.63</v>
      </c>
      <c r="J168" s="3">
        <f t="shared" si="8"/>
        <v>0</v>
      </c>
      <c r="K168" s="3"/>
      <c r="L168" s="2"/>
      <c r="M168" s="2">
        <f t="shared" si="7"/>
        <v>4682909.63</v>
      </c>
      <c r="N168" s="52">
        <f t="shared" si="6"/>
        <v>0</v>
      </c>
    </row>
    <row r="169" spans="1:14" x14ac:dyDescent="0.2">
      <c r="A169" s="8" t="s">
        <v>331</v>
      </c>
      <c r="B169" s="5" t="s">
        <v>332</v>
      </c>
      <c r="C169" s="1">
        <v>10843607.300000001</v>
      </c>
      <c r="D169" s="1"/>
      <c r="E169" s="2">
        <v>49504682.5</v>
      </c>
      <c r="F169" s="3"/>
      <c r="G169" s="2"/>
      <c r="H169" s="2"/>
      <c r="I169" s="3">
        <f t="shared" si="8"/>
        <v>60348289.799999997</v>
      </c>
      <c r="J169" s="3">
        <f t="shared" si="8"/>
        <v>0</v>
      </c>
      <c r="K169" s="3"/>
      <c r="L169" s="2"/>
      <c r="M169" s="2">
        <f t="shared" si="7"/>
        <v>60348289.799999997</v>
      </c>
      <c r="N169" s="52">
        <f t="shared" si="7"/>
        <v>0</v>
      </c>
    </row>
    <row r="170" spans="1:14" x14ac:dyDescent="0.2">
      <c r="A170" s="8" t="s">
        <v>333</v>
      </c>
      <c r="B170" s="5" t="s">
        <v>334</v>
      </c>
      <c r="C170" s="1">
        <v>46788485.18</v>
      </c>
      <c r="D170" s="1"/>
      <c r="E170" s="2">
        <v>3046340</v>
      </c>
      <c r="F170" s="3"/>
      <c r="G170" s="2"/>
      <c r="H170" s="2"/>
      <c r="I170" s="3">
        <f t="shared" si="8"/>
        <v>49834825.18</v>
      </c>
      <c r="J170" s="3">
        <f t="shared" si="8"/>
        <v>0</v>
      </c>
      <c r="K170" s="3"/>
      <c r="L170" s="2"/>
      <c r="M170" s="2">
        <f t="shared" ref="M170:N217" si="9">I170</f>
        <v>49834825.18</v>
      </c>
      <c r="N170" s="52">
        <f t="shared" si="9"/>
        <v>0</v>
      </c>
    </row>
    <row r="171" spans="1:14" x14ac:dyDescent="0.2">
      <c r="A171" s="8" t="s">
        <v>335</v>
      </c>
      <c r="B171" s="5" t="s">
        <v>336</v>
      </c>
      <c r="C171" s="1">
        <v>10303419.359999999</v>
      </c>
      <c r="D171" s="1"/>
      <c r="E171" s="2">
        <v>5943253.2300000004</v>
      </c>
      <c r="F171" s="3"/>
      <c r="G171" s="2"/>
      <c r="H171" s="2"/>
      <c r="I171" s="3">
        <f t="shared" si="8"/>
        <v>16246672.59</v>
      </c>
      <c r="J171" s="3">
        <f t="shared" si="8"/>
        <v>0</v>
      </c>
      <c r="K171" s="3"/>
      <c r="L171" s="2"/>
      <c r="M171" s="2">
        <f t="shared" si="9"/>
        <v>16246672.59</v>
      </c>
      <c r="N171" s="52">
        <f t="shared" si="9"/>
        <v>0</v>
      </c>
    </row>
    <row r="172" spans="1:14" x14ac:dyDescent="0.2">
      <c r="A172" s="4" t="s">
        <v>337</v>
      </c>
      <c r="B172" s="13" t="s">
        <v>338</v>
      </c>
      <c r="C172" s="1">
        <v>81140693.680000007</v>
      </c>
      <c r="D172" s="1"/>
      <c r="E172" s="2">
        <v>5399196.8300000001</v>
      </c>
      <c r="F172" s="3"/>
      <c r="G172" s="2"/>
      <c r="H172" s="2"/>
      <c r="I172" s="3">
        <f t="shared" si="8"/>
        <v>86539890.510000005</v>
      </c>
      <c r="J172" s="3">
        <f t="shared" si="8"/>
        <v>0</v>
      </c>
      <c r="K172" s="3"/>
      <c r="L172" s="2"/>
      <c r="M172" s="2">
        <f t="shared" si="9"/>
        <v>86539890.510000005</v>
      </c>
      <c r="N172" s="52">
        <f t="shared" si="9"/>
        <v>0</v>
      </c>
    </row>
    <row r="173" spans="1:14" x14ac:dyDescent="0.2">
      <c r="A173" s="4" t="s">
        <v>339</v>
      </c>
      <c r="B173" s="13" t="s">
        <v>340</v>
      </c>
      <c r="C173" s="1">
        <v>89125</v>
      </c>
      <c r="D173" s="1"/>
      <c r="E173" s="2"/>
      <c r="F173" s="3"/>
      <c r="G173" s="2"/>
      <c r="H173" s="2"/>
      <c r="I173" s="3">
        <f t="shared" si="8"/>
        <v>89125</v>
      </c>
      <c r="J173" s="3">
        <f t="shared" si="8"/>
        <v>0</v>
      </c>
      <c r="K173" s="3"/>
      <c r="L173" s="2"/>
      <c r="M173" s="2">
        <f t="shared" si="9"/>
        <v>89125</v>
      </c>
      <c r="N173" s="52">
        <f t="shared" si="9"/>
        <v>0</v>
      </c>
    </row>
    <row r="174" spans="1:14" x14ac:dyDescent="0.2">
      <c r="A174" s="30" t="s">
        <v>341</v>
      </c>
      <c r="B174" s="47" t="s">
        <v>342</v>
      </c>
      <c r="C174" s="9">
        <v>3664941.95</v>
      </c>
      <c r="D174" s="1"/>
      <c r="E174" s="10">
        <f>6520.11+7000</f>
        <v>13520.11</v>
      </c>
      <c r="F174" s="3"/>
      <c r="G174" s="2"/>
      <c r="H174" s="2"/>
      <c r="I174" s="3">
        <f t="shared" si="8"/>
        <v>3678462.06</v>
      </c>
      <c r="J174" s="3">
        <f t="shared" si="8"/>
        <v>0</v>
      </c>
      <c r="K174" s="3"/>
      <c r="L174" s="2"/>
      <c r="M174" s="2">
        <f t="shared" si="9"/>
        <v>3678462.06</v>
      </c>
      <c r="N174" s="52">
        <f t="shared" si="9"/>
        <v>0</v>
      </c>
    </row>
    <row r="175" spans="1:14" ht="12.75" customHeight="1" x14ac:dyDescent="0.2">
      <c r="A175" s="4" t="s">
        <v>343</v>
      </c>
      <c r="B175" s="13" t="s">
        <v>344</v>
      </c>
      <c r="C175" s="1">
        <v>837909.01</v>
      </c>
      <c r="D175" s="1"/>
      <c r="E175" s="2">
        <v>14015.37</v>
      </c>
      <c r="F175" s="3"/>
      <c r="G175" s="2"/>
      <c r="H175" s="2"/>
      <c r="I175" s="3">
        <f t="shared" si="8"/>
        <v>851924.38</v>
      </c>
      <c r="J175" s="3">
        <f t="shared" si="8"/>
        <v>0</v>
      </c>
      <c r="K175" s="3"/>
      <c r="L175" s="2"/>
      <c r="M175" s="2">
        <f t="shared" si="9"/>
        <v>851924.38</v>
      </c>
      <c r="N175" s="52">
        <f t="shared" si="9"/>
        <v>0</v>
      </c>
    </row>
    <row r="176" spans="1:14" x14ac:dyDescent="0.2">
      <c r="A176" s="4" t="s">
        <v>345</v>
      </c>
      <c r="B176" s="13" t="s">
        <v>346</v>
      </c>
      <c r="C176" s="1">
        <v>52039.3</v>
      </c>
      <c r="D176" s="1"/>
      <c r="E176" s="2"/>
      <c r="F176" s="3"/>
      <c r="G176" s="2"/>
      <c r="H176" s="2"/>
      <c r="I176" s="3">
        <f t="shared" si="8"/>
        <v>52039.3</v>
      </c>
      <c r="J176" s="3">
        <f t="shared" si="8"/>
        <v>0</v>
      </c>
      <c r="K176" s="3"/>
      <c r="L176" s="2"/>
      <c r="M176" s="2">
        <f t="shared" si="9"/>
        <v>52039.3</v>
      </c>
      <c r="N176" s="52">
        <f t="shared" si="9"/>
        <v>0</v>
      </c>
    </row>
    <row r="177" spans="1:14" x14ac:dyDescent="0.2">
      <c r="A177" s="42" t="s">
        <v>347</v>
      </c>
      <c r="B177" s="5" t="s">
        <v>348</v>
      </c>
      <c r="C177" s="1">
        <v>300500</v>
      </c>
      <c r="D177" s="1"/>
      <c r="E177" s="2"/>
      <c r="F177" s="3"/>
      <c r="G177" s="2"/>
      <c r="H177" s="2"/>
      <c r="I177" s="3">
        <f t="shared" si="8"/>
        <v>300500</v>
      </c>
      <c r="J177" s="3">
        <f t="shared" si="8"/>
        <v>0</v>
      </c>
      <c r="K177" s="3"/>
      <c r="L177" s="2"/>
      <c r="M177" s="2">
        <f t="shared" si="9"/>
        <v>300500</v>
      </c>
      <c r="N177" s="52">
        <f t="shared" si="9"/>
        <v>0</v>
      </c>
    </row>
    <row r="178" spans="1:14" x14ac:dyDescent="0.2">
      <c r="A178" s="4" t="s">
        <v>349</v>
      </c>
      <c r="B178" s="13" t="s">
        <v>350</v>
      </c>
      <c r="C178" s="1">
        <v>1424300</v>
      </c>
      <c r="D178" s="1"/>
      <c r="E178" s="2"/>
      <c r="F178" s="3"/>
      <c r="G178" s="2"/>
      <c r="H178" s="2"/>
      <c r="I178" s="3">
        <f t="shared" si="8"/>
        <v>1424300</v>
      </c>
      <c r="J178" s="3">
        <f t="shared" si="8"/>
        <v>0</v>
      </c>
      <c r="K178" s="3"/>
      <c r="L178" s="2"/>
      <c r="M178" s="2">
        <f t="shared" si="9"/>
        <v>1424300</v>
      </c>
      <c r="N178" s="52">
        <f t="shared" si="9"/>
        <v>0</v>
      </c>
    </row>
    <row r="179" spans="1:14" x14ac:dyDescent="0.2">
      <c r="A179" s="4" t="s">
        <v>351</v>
      </c>
      <c r="B179" s="13" t="s">
        <v>352</v>
      </c>
      <c r="C179" s="1">
        <v>1197504</v>
      </c>
      <c r="D179" s="1"/>
      <c r="E179" s="2"/>
      <c r="F179" s="3"/>
      <c r="G179" s="2"/>
      <c r="H179" s="2"/>
      <c r="I179" s="3">
        <f t="shared" si="8"/>
        <v>1197504</v>
      </c>
      <c r="J179" s="3">
        <f t="shared" si="8"/>
        <v>0</v>
      </c>
      <c r="K179" s="3"/>
      <c r="L179" s="2"/>
      <c r="M179" s="2">
        <f t="shared" si="9"/>
        <v>1197504</v>
      </c>
      <c r="N179" s="52">
        <f t="shared" si="9"/>
        <v>0</v>
      </c>
    </row>
    <row r="180" spans="1:14" x14ac:dyDescent="0.2">
      <c r="A180" s="4" t="s">
        <v>353</v>
      </c>
      <c r="B180" s="13" t="s">
        <v>354</v>
      </c>
      <c r="C180" s="1">
        <v>1335850</v>
      </c>
      <c r="D180" s="1"/>
      <c r="E180" s="2"/>
      <c r="F180" s="3"/>
      <c r="G180" s="2"/>
      <c r="H180" s="2"/>
      <c r="I180" s="3">
        <f t="shared" si="8"/>
        <v>1335850</v>
      </c>
      <c r="J180" s="3">
        <f t="shared" si="8"/>
        <v>0</v>
      </c>
      <c r="K180" s="3"/>
      <c r="L180" s="2"/>
      <c r="M180" s="2">
        <f t="shared" si="9"/>
        <v>1335850</v>
      </c>
      <c r="N180" s="52">
        <f t="shared" si="9"/>
        <v>0</v>
      </c>
    </row>
    <row r="181" spans="1:14" x14ac:dyDescent="0.2">
      <c r="A181" s="4" t="s">
        <v>355</v>
      </c>
      <c r="B181" s="13" t="s">
        <v>356</v>
      </c>
      <c r="C181" s="1">
        <v>492000</v>
      </c>
      <c r="D181" s="1"/>
      <c r="E181" s="2"/>
      <c r="F181" s="3"/>
      <c r="G181" s="2"/>
      <c r="H181" s="2"/>
      <c r="I181" s="3">
        <f t="shared" si="8"/>
        <v>492000</v>
      </c>
      <c r="J181" s="3">
        <f t="shared" si="8"/>
        <v>0</v>
      </c>
      <c r="K181" s="3"/>
      <c r="L181" s="2"/>
      <c r="M181" s="2">
        <f t="shared" si="9"/>
        <v>492000</v>
      </c>
      <c r="N181" s="52">
        <f t="shared" si="9"/>
        <v>0</v>
      </c>
    </row>
    <row r="182" spans="1:14" x14ac:dyDescent="0.2">
      <c r="A182" s="4" t="s">
        <v>357</v>
      </c>
      <c r="B182" s="13" t="s">
        <v>358</v>
      </c>
      <c r="C182" s="1">
        <v>14799638.34</v>
      </c>
      <c r="D182" s="1"/>
      <c r="E182" s="2">
        <v>6728269.54</v>
      </c>
      <c r="F182" s="3"/>
      <c r="G182" s="2"/>
      <c r="H182" s="2"/>
      <c r="I182" s="3">
        <f t="shared" si="8"/>
        <v>21527907.879999999</v>
      </c>
      <c r="J182" s="3">
        <f t="shared" si="8"/>
        <v>0</v>
      </c>
      <c r="K182" s="3"/>
      <c r="L182" s="2"/>
      <c r="M182" s="2">
        <f t="shared" si="9"/>
        <v>21527907.879999999</v>
      </c>
      <c r="N182" s="52">
        <f t="shared" si="9"/>
        <v>0</v>
      </c>
    </row>
    <row r="183" spans="1:14" x14ac:dyDescent="0.2">
      <c r="A183" s="4" t="s">
        <v>359</v>
      </c>
      <c r="B183" s="13" t="s">
        <v>360</v>
      </c>
      <c r="C183" s="1">
        <v>65633206.329999998</v>
      </c>
      <c r="D183" s="1"/>
      <c r="E183" s="2"/>
      <c r="F183" s="3"/>
      <c r="G183" s="2"/>
      <c r="H183" s="2"/>
      <c r="I183" s="3">
        <f t="shared" si="8"/>
        <v>65633206.329999998</v>
      </c>
      <c r="J183" s="3">
        <f t="shared" si="8"/>
        <v>0</v>
      </c>
      <c r="K183" s="3"/>
      <c r="L183" s="2"/>
      <c r="M183" s="2">
        <f t="shared" si="9"/>
        <v>65633206.329999998</v>
      </c>
      <c r="N183" s="52">
        <f t="shared" si="9"/>
        <v>0</v>
      </c>
    </row>
    <row r="184" spans="1:14" x14ac:dyDescent="0.2">
      <c r="A184" s="4" t="s">
        <v>361</v>
      </c>
      <c r="B184" s="13" t="s">
        <v>362</v>
      </c>
      <c r="C184" s="1">
        <v>20101787.449999999</v>
      </c>
      <c r="D184" s="1"/>
      <c r="E184" s="2"/>
      <c r="F184" s="3"/>
      <c r="G184" s="2"/>
      <c r="H184" s="2"/>
      <c r="I184" s="3">
        <f t="shared" si="8"/>
        <v>20101787.449999999</v>
      </c>
      <c r="J184" s="3">
        <f t="shared" si="8"/>
        <v>0</v>
      </c>
      <c r="K184" s="3"/>
      <c r="L184" s="2"/>
      <c r="M184" s="2">
        <f t="shared" si="9"/>
        <v>20101787.449999999</v>
      </c>
      <c r="N184" s="52">
        <f t="shared" si="9"/>
        <v>0</v>
      </c>
    </row>
    <row r="185" spans="1:14" x14ac:dyDescent="0.2">
      <c r="A185" s="4" t="s">
        <v>363</v>
      </c>
      <c r="B185" s="13" t="s">
        <v>364</v>
      </c>
      <c r="C185" s="1">
        <v>33490470.489999998</v>
      </c>
      <c r="D185" s="1"/>
      <c r="E185" s="2">
        <v>3537216</v>
      </c>
      <c r="F185" s="3"/>
      <c r="G185" s="2"/>
      <c r="H185" s="2"/>
      <c r="I185" s="3">
        <f t="shared" si="8"/>
        <v>37027686.489999995</v>
      </c>
      <c r="J185" s="3">
        <f t="shared" si="8"/>
        <v>0</v>
      </c>
      <c r="K185" s="3"/>
      <c r="L185" s="2"/>
      <c r="M185" s="2">
        <f t="shared" si="9"/>
        <v>37027686.489999995</v>
      </c>
      <c r="N185" s="52">
        <f t="shared" si="9"/>
        <v>0</v>
      </c>
    </row>
    <row r="186" spans="1:14" x14ac:dyDescent="0.2">
      <c r="A186" s="4" t="s">
        <v>365</v>
      </c>
      <c r="B186" s="13" t="s">
        <v>366</v>
      </c>
      <c r="C186" s="1">
        <v>12943439.35</v>
      </c>
      <c r="D186" s="1"/>
      <c r="E186" s="2"/>
      <c r="F186" s="3"/>
      <c r="G186" s="2"/>
      <c r="H186" s="2"/>
      <c r="I186" s="3">
        <f t="shared" si="8"/>
        <v>12943439.35</v>
      </c>
      <c r="J186" s="3">
        <f t="shared" si="8"/>
        <v>0</v>
      </c>
      <c r="K186" s="3"/>
      <c r="L186" s="2"/>
      <c r="M186" s="2">
        <f t="shared" si="9"/>
        <v>12943439.35</v>
      </c>
      <c r="N186" s="52">
        <f t="shared" si="9"/>
        <v>0</v>
      </c>
    </row>
    <row r="187" spans="1:14" x14ac:dyDescent="0.2">
      <c r="A187" s="4" t="s">
        <v>367</v>
      </c>
      <c r="B187" s="13" t="s">
        <v>368</v>
      </c>
      <c r="C187" s="1">
        <v>78168</v>
      </c>
      <c r="D187" s="1"/>
      <c r="E187" s="2"/>
      <c r="F187" s="3"/>
      <c r="G187" s="2"/>
      <c r="H187" s="2"/>
      <c r="I187" s="3">
        <f t="shared" si="8"/>
        <v>78168</v>
      </c>
      <c r="J187" s="3">
        <f t="shared" si="8"/>
        <v>0</v>
      </c>
      <c r="K187" s="3"/>
      <c r="L187" s="2"/>
      <c r="M187" s="2">
        <f t="shared" si="9"/>
        <v>78168</v>
      </c>
      <c r="N187" s="52">
        <f t="shared" si="9"/>
        <v>0</v>
      </c>
    </row>
    <row r="188" spans="1:14" x14ac:dyDescent="0.2">
      <c r="A188" s="4" t="s">
        <v>369</v>
      </c>
      <c r="B188" s="13" t="s">
        <v>370</v>
      </c>
      <c r="C188" s="1">
        <f>1541907+27171098.77</f>
        <v>28713005.77</v>
      </c>
      <c r="D188" s="1"/>
      <c r="E188" s="2"/>
      <c r="F188" s="3"/>
      <c r="G188" s="2"/>
      <c r="H188" s="2"/>
      <c r="I188" s="3">
        <f t="shared" si="8"/>
        <v>28713005.77</v>
      </c>
      <c r="J188" s="3">
        <f t="shared" si="8"/>
        <v>0</v>
      </c>
      <c r="K188" s="3"/>
      <c r="L188" s="2"/>
      <c r="M188" s="2">
        <f t="shared" si="9"/>
        <v>28713005.77</v>
      </c>
      <c r="N188" s="52">
        <f t="shared" si="9"/>
        <v>0</v>
      </c>
    </row>
    <row r="189" spans="1:14" x14ac:dyDescent="0.2">
      <c r="A189" s="4" t="s">
        <v>371</v>
      </c>
      <c r="B189" s="13" t="s">
        <v>372</v>
      </c>
      <c r="C189" s="1">
        <f>8679814.95+598283.28+595363+3381842.08</f>
        <v>13255303.309999999</v>
      </c>
      <c r="D189" s="1"/>
      <c r="E189" s="2">
        <f>2826122</f>
        <v>2826122</v>
      </c>
      <c r="F189" s="3"/>
      <c r="G189" s="2"/>
      <c r="H189" s="2"/>
      <c r="I189" s="3">
        <f t="shared" si="8"/>
        <v>16081425.309999999</v>
      </c>
      <c r="J189" s="3">
        <f t="shared" si="8"/>
        <v>0</v>
      </c>
      <c r="K189" s="3"/>
      <c r="L189" s="2"/>
      <c r="M189" s="2">
        <f t="shared" si="9"/>
        <v>16081425.309999999</v>
      </c>
      <c r="N189" s="52">
        <f t="shared" si="9"/>
        <v>0</v>
      </c>
    </row>
    <row r="190" spans="1:14" x14ac:dyDescent="0.2">
      <c r="A190" s="4" t="s">
        <v>373</v>
      </c>
      <c r="B190" s="13" t="s">
        <v>374</v>
      </c>
      <c r="C190" s="1">
        <v>3711316.88</v>
      </c>
      <c r="D190" s="1"/>
      <c r="E190" s="2">
        <f>87780+11109</f>
        <v>98889</v>
      </c>
      <c r="F190" s="3"/>
      <c r="G190" s="2"/>
      <c r="H190" s="2"/>
      <c r="I190" s="3">
        <f t="shared" si="8"/>
        <v>3810205.88</v>
      </c>
      <c r="J190" s="3">
        <f t="shared" si="8"/>
        <v>0</v>
      </c>
      <c r="K190" s="3"/>
      <c r="L190" s="2"/>
      <c r="M190" s="2">
        <f t="shared" si="9"/>
        <v>3810205.88</v>
      </c>
      <c r="N190" s="52">
        <f t="shared" si="9"/>
        <v>0</v>
      </c>
    </row>
    <row r="191" spans="1:14" ht="13.5" customHeight="1" x14ac:dyDescent="0.2">
      <c r="A191" s="4" t="s">
        <v>375</v>
      </c>
      <c r="B191" s="13" t="s">
        <v>376</v>
      </c>
      <c r="C191" s="1">
        <v>4605879.54</v>
      </c>
      <c r="D191" s="1"/>
      <c r="E191" s="2">
        <v>782539.56</v>
      </c>
      <c r="F191" s="3"/>
      <c r="G191" s="2"/>
      <c r="H191" s="2"/>
      <c r="I191" s="3">
        <f t="shared" si="8"/>
        <v>5388419.0999999996</v>
      </c>
      <c r="J191" s="3">
        <f t="shared" si="8"/>
        <v>0</v>
      </c>
      <c r="K191" s="3"/>
      <c r="L191" s="2"/>
      <c r="M191" s="2">
        <f t="shared" si="9"/>
        <v>5388419.0999999996</v>
      </c>
      <c r="N191" s="52">
        <f t="shared" si="9"/>
        <v>0</v>
      </c>
    </row>
    <row r="192" spans="1:14" x14ac:dyDescent="0.2">
      <c r="A192" s="4" t="s">
        <v>377</v>
      </c>
      <c r="B192" s="13" t="s">
        <v>378</v>
      </c>
      <c r="C192" s="1">
        <v>10750</v>
      </c>
      <c r="D192" s="1"/>
      <c r="E192" s="2"/>
      <c r="F192" s="3"/>
      <c r="G192" s="2"/>
      <c r="H192" s="2"/>
      <c r="I192" s="3">
        <f t="shared" si="8"/>
        <v>10750</v>
      </c>
      <c r="J192" s="3">
        <f t="shared" si="8"/>
        <v>0</v>
      </c>
      <c r="K192" s="3"/>
      <c r="L192" s="2"/>
      <c r="M192" s="2">
        <f t="shared" si="9"/>
        <v>10750</v>
      </c>
      <c r="N192" s="52">
        <f t="shared" si="9"/>
        <v>0</v>
      </c>
    </row>
    <row r="193" spans="1:14" ht="13.5" customHeight="1" x14ac:dyDescent="0.2">
      <c r="A193" s="4" t="s">
        <v>379</v>
      </c>
      <c r="B193" s="13" t="s">
        <v>380</v>
      </c>
      <c r="C193" s="1">
        <v>39307000</v>
      </c>
      <c r="D193" s="1"/>
      <c r="E193" s="2"/>
      <c r="F193" s="3"/>
      <c r="G193" s="2"/>
      <c r="H193" s="2"/>
      <c r="I193" s="3">
        <f t="shared" si="8"/>
        <v>39307000</v>
      </c>
      <c r="J193" s="3">
        <f t="shared" si="8"/>
        <v>0</v>
      </c>
      <c r="K193" s="3"/>
      <c r="L193" s="2"/>
      <c r="M193" s="2">
        <f t="shared" si="9"/>
        <v>39307000</v>
      </c>
      <c r="N193" s="52">
        <f t="shared" si="9"/>
        <v>0</v>
      </c>
    </row>
    <row r="194" spans="1:14" x14ac:dyDescent="0.2">
      <c r="A194" s="4" t="s">
        <v>381</v>
      </c>
      <c r="B194" s="13" t="s">
        <v>382</v>
      </c>
      <c r="C194" s="1">
        <v>2068389</v>
      </c>
      <c r="D194" s="1"/>
      <c r="E194" s="2"/>
      <c r="F194" s="3"/>
      <c r="G194" s="2"/>
      <c r="H194" s="2"/>
      <c r="I194" s="3">
        <f t="shared" si="8"/>
        <v>2068389</v>
      </c>
      <c r="J194" s="3">
        <f t="shared" si="8"/>
        <v>0</v>
      </c>
      <c r="K194" s="3"/>
      <c r="L194" s="2"/>
      <c r="M194" s="2">
        <f t="shared" si="9"/>
        <v>2068389</v>
      </c>
      <c r="N194" s="52">
        <f t="shared" si="9"/>
        <v>0</v>
      </c>
    </row>
    <row r="195" spans="1:14" x14ac:dyDescent="0.2">
      <c r="A195" s="31" t="s">
        <v>383</v>
      </c>
      <c r="B195" s="5" t="s">
        <v>384</v>
      </c>
      <c r="C195" s="1">
        <v>15645217.119999997</v>
      </c>
      <c r="D195" s="1"/>
      <c r="E195" s="2"/>
      <c r="F195" s="3"/>
      <c r="G195" s="2"/>
      <c r="H195" s="2"/>
      <c r="I195" s="3">
        <f t="shared" si="8"/>
        <v>15645217.119999997</v>
      </c>
      <c r="J195" s="3">
        <f t="shared" si="8"/>
        <v>0</v>
      </c>
      <c r="K195" s="3"/>
      <c r="L195" s="2"/>
      <c r="M195" s="2">
        <f t="shared" si="9"/>
        <v>15645217.119999997</v>
      </c>
      <c r="N195" s="52">
        <f t="shared" si="9"/>
        <v>0</v>
      </c>
    </row>
    <row r="196" spans="1:14" x14ac:dyDescent="0.2">
      <c r="A196" s="4" t="s">
        <v>385</v>
      </c>
      <c r="B196" s="13" t="s">
        <v>386</v>
      </c>
      <c r="C196" s="1">
        <v>22296867.870000001</v>
      </c>
      <c r="D196" s="1"/>
      <c r="E196" s="2"/>
      <c r="F196" s="3"/>
      <c r="G196" s="2"/>
      <c r="H196" s="2"/>
      <c r="I196" s="3">
        <f t="shared" si="8"/>
        <v>22296867.870000001</v>
      </c>
      <c r="J196" s="3">
        <f t="shared" si="8"/>
        <v>0</v>
      </c>
      <c r="K196" s="3"/>
      <c r="L196" s="2"/>
      <c r="M196" s="2">
        <f t="shared" si="9"/>
        <v>22296867.870000001</v>
      </c>
      <c r="N196" s="52">
        <f t="shared" si="9"/>
        <v>0</v>
      </c>
    </row>
    <row r="197" spans="1:14" x14ac:dyDescent="0.2">
      <c r="A197" s="4" t="s">
        <v>387</v>
      </c>
      <c r="B197" s="13" t="s">
        <v>388</v>
      </c>
      <c r="C197" s="1">
        <v>619306</v>
      </c>
      <c r="D197" s="1"/>
      <c r="E197" s="2"/>
      <c r="F197" s="3"/>
      <c r="G197" s="2"/>
      <c r="H197" s="2"/>
      <c r="I197" s="3">
        <f t="shared" si="8"/>
        <v>619306</v>
      </c>
      <c r="J197" s="3">
        <f t="shared" si="8"/>
        <v>0</v>
      </c>
      <c r="K197" s="3"/>
      <c r="L197" s="2"/>
      <c r="M197" s="2">
        <f t="shared" si="9"/>
        <v>619306</v>
      </c>
      <c r="N197" s="52">
        <f t="shared" si="9"/>
        <v>0</v>
      </c>
    </row>
    <row r="198" spans="1:14" x14ac:dyDescent="0.2">
      <c r="A198" s="4" t="s">
        <v>389</v>
      </c>
      <c r="B198" s="13" t="s">
        <v>390</v>
      </c>
      <c r="C198" s="1">
        <v>288675</v>
      </c>
      <c r="D198" s="1"/>
      <c r="E198" s="2"/>
      <c r="F198" s="3"/>
      <c r="G198" s="2"/>
      <c r="H198" s="2"/>
      <c r="I198" s="3">
        <f t="shared" si="8"/>
        <v>288675</v>
      </c>
      <c r="J198" s="3">
        <f t="shared" si="8"/>
        <v>0</v>
      </c>
      <c r="K198" s="3"/>
      <c r="L198" s="2"/>
      <c r="M198" s="2">
        <f t="shared" si="9"/>
        <v>288675</v>
      </c>
      <c r="N198" s="52">
        <f t="shared" si="9"/>
        <v>0</v>
      </c>
    </row>
    <row r="199" spans="1:14" x14ac:dyDescent="0.2">
      <c r="A199" s="4" t="s">
        <v>391</v>
      </c>
      <c r="B199" s="13" t="s">
        <v>392</v>
      </c>
      <c r="C199" s="1">
        <v>2068087.38</v>
      </c>
      <c r="D199" s="1"/>
      <c r="E199" s="2">
        <v>236463.2</v>
      </c>
      <c r="F199" s="3"/>
      <c r="G199" s="2"/>
      <c r="H199" s="2"/>
      <c r="I199" s="3">
        <f t="shared" ref="I199:J217" si="10">C199+E199+G199</f>
        <v>2304550.58</v>
      </c>
      <c r="J199" s="3">
        <f t="shared" si="10"/>
        <v>0</v>
      </c>
      <c r="K199" s="3"/>
      <c r="L199" s="2"/>
      <c r="M199" s="2">
        <f t="shared" si="9"/>
        <v>2304550.58</v>
      </c>
      <c r="N199" s="52">
        <f t="shared" si="9"/>
        <v>0</v>
      </c>
    </row>
    <row r="200" spans="1:14" x14ac:dyDescent="0.2">
      <c r="A200" s="4" t="s">
        <v>393</v>
      </c>
      <c r="B200" s="13" t="s">
        <v>394</v>
      </c>
      <c r="C200" s="1">
        <v>1728060.43</v>
      </c>
      <c r="D200" s="1"/>
      <c r="E200" s="2"/>
      <c r="F200" s="3"/>
      <c r="G200" s="2"/>
      <c r="H200" s="2"/>
      <c r="I200" s="3">
        <f t="shared" si="10"/>
        <v>1728060.43</v>
      </c>
      <c r="J200" s="3">
        <f t="shared" si="10"/>
        <v>0</v>
      </c>
      <c r="K200" s="3"/>
      <c r="L200" s="2"/>
      <c r="M200" s="2">
        <f t="shared" si="9"/>
        <v>1728060.43</v>
      </c>
      <c r="N200" s="52">
        <f t="shared" si="9"/>
        <v>0</v>
      </c>
    </row>
    <row r="201" spans="1:14" x14ac:dyDescent="0.2">
      <c r="A201" s="4" t="s">
        <v>395</v>
      </c>
      <c r="B201" s="13" t="s">
        <v>396</v>
      </c>
      <c r="C201" s="1">
        <v>4408928.4000000004</v>
      </c>
      <c r="D201" s="1"/>
      <c r="E201" s="2">
        <v>754250</v>
      </c>
      <c r="F201" s="3"/>
      <c r="G201" s="2"/>
      <c r="H201" s="2"/>
      <c r="I201" s="3">
        <f t="shared" si="10"/>
        <v>5163178.4000000004</v>
      </c>
      <c r="J201" s="3">
        <f t="shared" si="10"/>
        <v>0</v>
      </c>
      <c r="K201" s="3"/>
      <c r="L201" s="2"/>
      <c r="M201" s="2">
        <f t="shared" si="9"/>
        <v>5163178.4000000004</v>
      </c>
      <c r="N201" s="52">
        <f t="shared" si="9"/>
        <v>0</v>
      </c>
    </row>
    <row r="202" spans="1:14" x14ac:dyDescent="0.2">
      <c r="A202" s="4" t="s">
        <v>397</v>
      </c>
      <c r="B202" s="13" t="s">
        <v>398</v>
      </c>
      <c r="C202" s="1">
        <v>22170765.780000001</v>
      </c>
      <c r="D202" s="1"/>
      <c r="E202" s="2">
        <v>111100</v>
      </c>
      <c r="F202" s="3"/>
      <c r="G202" s="2"/>
      <c r="H202" s="2"/>
      <c r="I202" s="3">
        <f t="shared" si="10"/>
        <v>22281865.780000001</v>
      </c>
      <c r="J202" s="3">
        <f t="shared" si="10"/>
        <v>0</v>
      </c>
      <c r="K202" s="3"/>
      <c r="L202" s="2"/>
      <c r="M202" s="2">
        <f t="shared" si="9"/>
        <v>22281865.780000001</v>
      </c>
      <c r="N202" s="52">
        <f t="shared" si="9"/>
        <v>0</v>
      </c>
    </row>
    <row r="203" spans="1:14" x14ac:dyDescent="0.2">
      <c r="A203" s="4" t="s">
        <v>399</v>
      </c>
      <c r="B203" s="13" t="s">
        <v>400</v>
      </c>
      <c r="C203" s="1">
        <v>4117062.2</v>
      </c>
      <c r="D203" s="1"/>
      <c r="E203" s="2">
        <v>171920</v>
      </c>
      <c r="F203" s="3"/>
      <c r="G203" s="2"/>
      <c r="H203" s="2"/>
      <c r="I203" s="3">
        <f t="shared" si="10"/>
        <v>4288982.2</v>
      </c>
      <c r="J203" s="3">
        <f t="shared" si="10"/>
        <v>0</v>
      </c>
      <c r="K203" s="3"/>
      <c r="L203" s="2"/>
      <c r="M203" s="2">
        <f t="shared" si="9"/>
        <v>4288982.2</v>
      </c>
      <c r="N203" s="52">
        <f t="shared" si="9"/>
        <v>0</v>
      </c>
    </row>
    <row r="204" spans="1:14" x14ac:dyDescent="0.2">
      <c r="A204" s="4" t="s">
        <v>401</v>
      </c>
      <c r="B204" s="13" t="s">
        <v>402</v>
      </c>
      <c r="C204" s="1">
        <v>254200</v>
      </c>
      <c r="D204" s="1"/>
      <c r="E204" s="2"/>
      <c r="F204" s="3"/>
      <c r="G204" s="2"/>
      <c r="H204" s="2"/>
      <c r="I204" s="3">
        <f t="shared" si="10"/>
        <v>254200</v>
      </c>
      <c r="J204" s="3">
        <f t="shared" si="10"/>
        <v>0</v>
      </c>
      <c r="K204" s="3"/>
      <c r="L204" s="2"/>
      <c r="M204" s="2">
        <f t="shared" si="9"/>
        <v>254200</v>
      </c>
      <c r="N204" s="52">
        <f t="shared" si="9"/>
        <v>0</v>
      </c>
    </row>
    <row r="205" spans="1:14" x14ac:dyDescent="0.2">
      <c r="A205" s="4" t="s">
        <v>403</v>
      </c>
      <c r="B205" s="13" t="s">
        <v>404</v>
      </c>
      <c r="C205" s="1">
        <v>919089.6</v>
      </c>
      <c r="D205" s="1"/>
      <c r="E205" s="2"/>
      <c r="F205" s="3"/>
      <c r="G205" s="2"/>
      <c r="H205" s="2"/>
      <c r="I205" s="3">
        <f t="shared" si="10"/>
        <v>919089.6</v>
      </c>
      <c r="J205" s="3">
        <f t="shared" si="10"/>
        <v>0</v>
      </c>
      <c r="K205" s="3"/>
      <c r="L205" s="2"/>
      <c r="M205" s="2">
        <f t="shared" si="9"/>
        <v>919089.6</v>
      </c>
      <c r="N205" s="52">
        <f t="shared" si="9"/>
        <v>0</v>
      </c>
    </row>
    <row r="206" spans="1:14" x14ac:dyDescent="0.2">
      <c r="A206" s="8" t="s">
        <v>405</v>
      </c>
      <c r="B206" s="5" t="s">
        <v>406</v>
      </c>
      <c r="C206" s="1">
        <v>17302964.100000001</v>
      </c>
      <c r="D206" s="1"/>
      <c r="E206" s="2"/>
      <c r="F206" s="3"/>
      <c r="G206" s="2"/>
      <c r="H206" s="2"/>
      <c r="I206" s="3">
        <f t="shared" si="10"/>
        <v>17302964.100000001</v>
      </c>
      <c r="J206" s="3">
        <f t="shared" si="10"/>
        <v>0</v>
      </c>
      <c r="K206" s="3"/>
      <c r="L206" s="2"/>
      <c r="M206" s="2">
        <f t="shared" si="9"/>
        <v>17302964.100000001</v>
      </c>
      <c r="N206" s="52">
        <f t="shared" si="9"/>
        <v>0</v>
      </c>
    </row>
    <row r="207" spans="1:14" x14ac:dyDescent="0.2">
      <c r="A207" s="8" t="s">
        <v>407</v>
      </c>
      <c r="B207" s="5" t="s">
        <v>408</v>
      </c>
      <c r="C207" s="1">
        <f>34569285.75-1424300</f>
        <v>33144985.75</v>
      </c>
      <c r="D207" s="1"/>
      <c r="E207" s="2">
        <v>2696440</v>
      </c>
      <c r="F207" s="3"/>
      <c r="G207" s="2"/>
      <c r="H207" s="2"/>
      <c r="I207" s="3">
        <f t="shared" si="10"/>
        <v>35841425.75</v>
      </c>
      <c r="J207" s="3">
        <f t="shared" si="10"/>
        <v>0</v>
      </c>
      <c r="K207" s="3"/>
      <c r="L207" s="2"/>
      <c r="M207" s="2">
        <f t="shared" si="9"/>
        <v>35841425.75</v>
      </c>
      <c r="N207" s="52">
        <f t="shared" si="9"/>
        <v>0</v>
      </c>
    </row>
    <row r="208" spans="1:14" x14ac:dyDescent="0.2">
      <c r="A208" s="32" t="s">
        <v>409</v>
      </c>
      <c r="B208" s="13" t="s">
        <v>410</v>
      </c>
      <c r="C208" s="1">
        <v>37752886.520000003</v>
      </c>
      <c r="D208" s="7"/>
      <c r="E208" s="2"/>
      <c r="F208" s="3"/>
      <c r="G208" s="2"/>
      <c r="H208" s="2"/>
      <c r="I208" s="3">
        <f t="shared" si="10"/>
        <v>37752886.520000003</v>
      </c>
      <c r="J208" s="3">
        <f t="shared" si="10"/>
        <v>0</v>
      </c>
      <c r="K208" s="3"/>
      <c r="L208" s="2"/>
      <c r="M208" s="2">
        <f t="shared" si="9"/>
        <v>37752886.520000003</v>
      </c>
      <c r="N208" s="52">
        <f t="shared" si="9"/>
        <v>0</v>
      </c>
    </row>
    <row r="209" spans="1:14" x14ac:dyDescent="0.2">
      <c r="A209" s="4" t="s">
        <v>411</v>
      </c>
      <c r="B209" s="13" t="s">
        <v>412</v>
      </c>
      <c r="C209" s="1">
        <v>76531.039999999994</v>
      </c>
      <c r="D209" s="7"/>
      <c r="E209" s="2"/>
      <c r="F209" s="3"/>
      <c r="G209" s="2"/>
      <c r="H209" s="2"/>
      <c r="I209" s="3">
        <f t="shared" si="10"/>
        <v>76531.039999999994</v>
      </c>
      <c r="J209" s="3">
        <f t="shared" si="10"/>
        <v>0</v>
      </c>
      <c r="K209" s="3"/>
      <c r="L209" s="2"/>
      <c r="M209" s="2">
        <f t="shared" si="9"/>
        <v>76531.039999999994</v>
      </c>
      <c r="N209" s="52">
        <f t="shared" si="9"/>
        <v>0</v>
      </c>
    </row>
    <row r="210" spans="1:14" x14ac:dyDescent="0.2">
      <c r="A210" s="4" t="s">
        <v>413</v>
      </c>
      <c r="B210" s="13" t="s">
        <v>414</v>
      </c>
      <c r="C210" s="1">
        <v>15914899.49</v>
      </c>
      <c r="D210" s="1"/>
      <c r="E210" s="2"/>
      <c r="F210" s="3"/>
      <c r="G210" s="2"/>
      <c r="H210" s="2"/>
      <c r="I210" s="3">
        <f t="shared" si="10"/>
        <v>15914899.49</v>
      </c>
      <c r="J210" s="3">
        <f t="shared" si="10"/>
        <v>0</v>
      </c>
      <c r="K210" s="3"/>
      <c r="L210" s="2"/>
      <c r="M210" s="2">
        <f t="shared" si="9"/>
        <v>15914899.49</v>
      </c>
      <c r="N210" s="52">
        <f t="shared" si="9"/>
        <v>0</v>
      </c>
    </row>
    <row r="211" spans="1:14" x14ac:dyDescent="0.2">
      <c r="A211" s="4" t="s">
        <v>415</v>
      </c>
      <c r="B211" s="13" t="s">
        <v>416</v>
      </c>
      <c r="C211" s="1">
        <v>4664718.92</v>
      </c>
      <c r="D211" s="1"/>
      <c r="E211" s="2">
        <v>1678322.67</v>
      </c>
      <c r="F211" s="3"/>
      <c r="G211" s="2"/>
      <c r="H211" s="2"/>
      <c r="I211" s="3">
        <f t="shared" si="10"/>
        <v>6343041.5899999999</v>
      </c>
      <c r="J211" s="3">
        <f t="shared" si="10"/>
        <v>0</v>
      </c>
      <c r="K211" s="3"/>
      <c r="L211" s="2"/>
      <c r="M211" s="2">
        <f t="shared" si="9"/>
        <v>6343041.5899999999</v>
      </c>
      <c r="N211" s="52">
        <f t="shared" si="9"/>
        <v>0</v>
      </c>
    </row>
    <row r="212" spans="1:14" x14ac:dyDescent="0.2">
      <c r="A212" s="32" t="s">
        <v>417</v>
      </c>
      <c r="B212" s="5" t="s">
        <v>418</v>
      </c>
      <c r="C212" s="1">
        <v>10371164</v>
      </c>
      <c r="D212" s="1"/>
      <c r="E212" s="2"/>
      <c r="F212" s="3"/>
      <c r="G212" s="2"/>
      <c r="H212" s="2"/>
      <c r="I212" s="3">
        <f t="shared" si="10"/>
        <v>10371164</v>
      </c>
      <c r="J212" s="3">
        <f t="shared" si="10"/>
        <v>0</v>
      </c>
      <c r="K212" s="3"/>
      <c r="L212" s="2"/>
      <c r="M212" s="2">
        <f t="shared" si="9"/>
        <v>10371164</v>
      </c>
      <c r="N212" s="52">
        <f t="shared" si="9"/>
        <v>0</v>
      </c>
    </row>
    <row r="213" spans="1:14" x14ac:dyDescent="0.2">
      <c r="A213" s="4" t="s">
        <v>419</v>
      </c>
      <c r="B213" s="13" t="s">
        <v>420</v>
      </c>
      <c r="C213" s="1">
        <v>42996679.18</v>
      </c>
      <c r="D213" s="1"/>
      <c r="E213" s="2">
        <f>98972.33+5776919.16</f>
        <v>5875891.4900000002</v>
      </c>
      <c r="F213" s="3"/>
      <c r="G213" s="2"/>
      <c r="H213" s="2"/>
      <c r="I213" s="3">
        <f t="shared" si="10"/>
        <v>48872570.670000002</v>
      </c>
      <c r="J213" s="3">
        <f t="shared" si="10"/>
        <v>0</v>
      </c>
      <c r="K213" s="3"/>
      <c r="L213" s="2"/>
      <c r="M213" s="2">
        <f t="shared" si="9"/>
        <v>48872570.670000002</v>
      </c>
      <c r="N213" s="52">
        <f t="shared" si="9"/>
        <v>0</v>
      </c>
    </row>
    <row r="214" spans="1:14" x14ac:dyDescent="0.2">
      <c r="A214" s="27" t="s">
        <v>421</v>
      </c>
      <c r="B214" s="13" t="s">
        <v>422</v>
      </c>
      <c r="C214" s="1">
        <v>36529633.509999998</v>
      </c>
      <c r="D214" s="1"/>
      <c r="E214" s="2">
        <f>655038.17+1045306.05+2164.92+66395.45+44291.27+630298.67+8811.87</f>
        <v>2452306.4000000004</v>
      </c>
      <c r="F214" s="3"/>
      <c r="G214" s="2"/>
      <c r="H214" s="2"/>
      <c r="I214" s="3">
        <f t="shared" si="10"/>
        <v>38981939.909999996</v>
      </c>
      <c r="J214" s="3">
        <f t="shared" si="10"/>
        <v>0</v>
      </c>
      <c r="K214" s="3"/>
      <c r="L214" s="2"/>
      <c r="M214" s="2">
        <f t="shared" si="9"/>
        <v>38981939.909999996</v>
      </c>
      <c r="N214" s="52">
        <f t="shared" si="9"/>
        <v>0</v>
      </c>
    </row>
    <row r="215" spans="1:14" x14ac:dyDescent="0.2">
      <c r="A215" s="27" t="s">
        <v>423</v>
      </c>
      <c r="B215" s="13" t="s">
        <v>424</v>
      </c>
      <c r="C215" s="1">
        <v>8060250.9900000002</v>
      </c>
      <c r="D215" s="1"/>
      <c r="E215" s="2">
        <v>535730.99</v>
      </c>
      <c r="F215" s="3"/>
      <c r="G215" s="2"/>
      <c r="H215" s="2"/>
      <c r="I215" s="3">
        <f t="shared" si="10"/>
        <v>8595981.9800000004</v>
      </c>
      <c r="J215" s="3">
        <f t="shared" si="10"/>
        <v>0</v>
      </c>
      <c r="K215" s="3"/>
      <c r="L215" s="2"/>
      <c r="M215" s="2">
        <f t="shared" si="9"/>
        <v>8595981.9800000004</v>
      </c>
      <c r="N215" s="52">
        <f t="shared" si="9"/>
        <v>0</v>
      </c>
    </row>
    <row r="216" spans="1:14" x14ac:dyDescent="0.2">
      <c r="A216" s="32" t="s">
        <v>425</v>
      </c>
      <c r="B216" s="13" t="s">
        <v>426</v>
      </c>
      <c r="C216" s="1">
        <v>8481577.3399999999</v>
      </c>
      <c r="D216" s="7"/>
      <c r="E216" s="2">
        <v>926575.36</v>
      </c>
      <c r="F216" s="3"/>
      <c r="G216" s="2"/>
      <c r="H216" s="2"/>
      <c r="I216" s="3">
        <f t="shared" si="10"/>
        <v>9408152.6999999993</v>
      </c>
      <c r="J216" s="3">
        <f t="shared" si="10"/>
        <v>0</v>
      </c>
      <c r="K216" s="3"/>
      <c r="L216" s="2"/>
      <c r="M216" s="2">
        <f t="shared" si="9"/>
        <v>9408152.6999999993</v>
      </c>
      <c r="N216" s="52">
        <f t="shared" si="9"/>
        <v>0</v>
      </c>
    </row>
    <row r="217" spans="1:14" x14ac:dyDescent="0.2">
      <c r="A217" s="27" t="s">
        <v>427</v>
      </c>
      <c r="B217" s="5" t="s">
        <v>428</v>
      </c>
      <c r="C217" s="1">
        <v>1582050.93</v>
      </c>
      <c r="D217" s="7"/>
      <c r="E217" s="2">
        <v>126976.17</v>
      </c>
      <c r="F217" s="3"/>
      <c r="G217" s="2"/>
      <c r="H217" s="2"/>
      <c r="I217" s="3">
        <f t="shared" si="10"/>
        <v>1709027.0999999999</v>
      </c>
      <c r="J217" s="3">
        <f t="shared" si="10"/>
        <v>0</v>
      </c>
      <c r="K217" s="3"/>
      <c r="L217" s="2"/>
      <c r="M217" s="2">
        <f t="shared" si="9"/>
        <v>1709027.0999999999</v>
      </c>
      <c r="N217" s="52">
        <f t="shared" si="9"/>
        <v>0</v>
      </c>
    </row>
    <row r="218" spans="1:14" ht="13.5" thickBot="1" x14ac:dyDescent="0.25">
      <c r="A218" s="36" t="s">
        <v>429</v>
      </c>
      <c r="B218" s="37"/>
      <c r="C218" s="11">
        <f t="shared" ref="C218:N218" si="11">SUM(C6:C217)</f>
        <v>5305730929.5200024</v>
      </c>
      <c r="D218" s="11">
        <f t="shared" si="11"/>
        <v>5305730929.5200005</v>
      </c>
      <c r="E218" s="12">
        <f t="shared" si="11"/>
        <v>641684658.33000004</v>
      </c>
      <c r="F218" s="12">
        <f t="shared" si="11"/>
        <v>641684658.33000004</v>
      </c>
      <c r="G218" s="12">
        <f t="shared" si="11"/>
        <v>98201881.729999989</v>
      </c>
      <c r="H218" s="12">
        <f t="shared" si="11"/>
        <v>98201881.729999989</v>
      </c>
      <c r="I218" s="12">
        <f t="shared" si="11"/>
        <v>6045617469.5800018</v>
      </c>
      <c r="J218" s="38">
        <f t="shared" si="11"/>
        <v>6045617469.5799999</v>
      </c>
      <c r="K218" s="39">
        <f t="shared" si="11"/>
        <v>4824295163.8399992</v>
      </c>
      <c r="L218" s="39">
        <f t="shared" si="11"/>
        <v>4524092856.3500004</v>
      </c>
      <c r="M218" s="39">
        <f t="shared" si="11"/>
        <v>1221322305.7400002</v>
      </c>
      <c r="N218" s="39">
        <f t="shared" si="11"/>
        <v>1521524613.23</v>
      </c>
    </row>
    <row r="219" spans="1:14" ht="14.25" thickTop="1" thickBot="1" x14ac:dyDescent="0.25">
      <c r="A219" s="40" t="s">
        <v>448</v>
      </c>
      <c r="C219" s="48">
        <f>C218-D218</f>
        <v>0</v>
      </c>
      <c r="E219" s="48">
        <f>E218-F218</f>
        <v>0</v>
      </c>
      <c r="G219" s="48">
        <f>G218-H218</f>
        <v>0</v>
      </c>
      <c r="I219" s="48">
        <f>I218-J218</f>
        <v>0</v>
      </c>
      <c r="K219" s="49"/>
      <c r="L219" s="49">
        <f>K218-L218</f>
        <v>300202307.48999882</v>
      </c>
      <c r="M219" s="49">
        <f>N218-M218</f>
        <v>300202307.48999977</v>
      </c>
      <c r="N219" s="50"/>
    </row>
    <row r="220" spans="1:14" ht="13.5" thickTop="1" x14ac:dyDescent="0.2">
      <c r="K220" s="48">
        <f>SUM(K218:K219)</f>
        <v>4824295163.8399992</v>
      </c>
      <c r="L220" s="48">
        <f>SUM(L218:L219)</f>
        <v>4824295163.8399992</v>
      </c>
      <c r="M220" s="48">
        <f>SUM(M218:M219)</f>
        <v>1521524613.23</v>
      </c>
      <c r="N220" s="48">
        <f>SUM(N218:N219)</f>
        <v>1521524613.23</v>
      </c>
    </row>
    <row r="221" spans="1:14" x14ac:dyDescent="0.2">
      <c r="K221" s="48">
        <f>K220-L220</f>
        <v>0</v>
      </c>
      <c r="M221" s="48">
        <f>M220-N220</f>
        <v>0</v>
      </c>
    </row>
  </sheetData>
  <mergeCells count="6">
    <mergeCell ref="M4:N4"/>
    <mergeCell ref="C4:D4"/>
    <mergeCell ref="E4:F4"/>
    <mergeCell ref="G4:H4"/>
    <mergeCell ref="I4:J4"/>
    <mergeCell ref="K4:L4"/>
  </mergeCells>
  <pageMargins left="1" right="0" top="0.5" bottom="0.5" header="0.5" footer="0.5"/>
  <pageSetup paperSize="5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SCBAA</vt:lpstr>
      <vt:lpstr>CE</vt:lpstr>
      <vt:lpstr>Notes</vt:lpstr>
      <vt:lpstr>Loans</vt:lpstr>
      <vt:lpstr>Budget</vt:lpstr>
      <vt:lpstr>Notes-CF</vt:lpstr>
      <vt:lpstr>Amort-IA</vt:lpstr>
      <vt:lpstr>Cash&amp;CE</vt:lpstr>
      <vt:lpstr>WTB-orig</vt:lpstr>
      <vt:lpstr>Notes!Print_Area</vt:lpstr>
      <vt:lpstr>SCBAA!Print_Area</vt:lpstr>
      <vt:lpstr>'WTB-orig'!Print_Area</vt:lpstr>
      <vt:lpstr>Notes!Print_Titles</vt:lpstr>
      <vt:lpstr>SCBAA!Print_Titles</vt:lpstr>
      <vt:lpstr>'WTB-orig'!Print_Titles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Statements</dc:title>
  <dc:creator>COA - San Juan City</dc:creator>
  <cp:lastModifiedBy>Mngx</cp:lastModifiedBy>
  <cp:lastPrinted>2021-07-28T05:13:46Z</cp:lastPrinted>
  <dcterms:created xsi:type="dcterms:W3CDTF">2016-06-09T03:36:25Z</dcterms:created>
  <dcterms:modified xsi:type="dcterms:W3CDTF">2021-09-04T09:42:23Z</dcterms:modified>
</cp:coreProperties>
</file>