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offat\Desktop\Others\"/>
    </mc:Choice>
  </mc:AlternateContent>
  <xr:revisionPtr revIDLastSave="0" documentId="13_ncr:1_{7F676F45-5EA0-4E70-8A8E-F87A107CECAE}" xr6:coauthVersionLast="47" xr6:coauthVersionMax="47" xr10:uidLastSave="{00000000-0000-0000-0000-000000000000}"/>
  <bookViews>
    <workbookView xWindow="28680" yWindow="-120" windowWidth="21840" windowHeight="13020" xr2:uid="{6E78A98D-37FB-4B8C-BEB6-8C0E89416A3F}"/>
  </bookViews>
  <sheets>
    <sheet name="IFB1.2018.15" sheetId="1" r:id="rId1"/>
    <sheet name="IFB1.2023.17" sheetId="2" r:id="rId2"/>
    <sheet name="IFB1.2023.07" sheetId="3" r:id="rId3"/>
    <sheet name="IFB1.2023.6.5" sheetId="4" r:id="rId4"/>
    <sheet name="IFB1.2024.8.5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5" l="1"/>
  <c r="D25" i="5"/>
  <c r="D24" i="5"/>
  <c r="I13" i="5"/>
  <c r="L13" i="5" s="1"/>
  <c r="I12" i="5"/>
  <c r="L12" i="5" s="1"/>
  <c r="L11" i="5"/>
  <c r="I11" i="5"/>
  <c r="C11" i="5"/>
  <c r="I10" i="5"/>
  <c r="L10" i="5" s="1"/>
  <c r="I9" i="5"/>
  <c r="I8" i="5"/>
  <c r="I7" i="5"/>
  <c r="G7" i="5"/>
  <c r="G8" i="5" s="1"/>
  <c r="G9" i="5" s="1"/>
  <c r="G10" i="5" s="1"/>
  <c r="C6" i="5"/>
  <c r="E27" i="4"/>
  <c r="E26" i="4"/>
  <c r="E25" i="4"/>
  <c r="D25" i="4"/>
  <c r="N24" i="4"/>
  <c r="N23" i="4"/>
  <c r="N22" i="4"/>
  <c r="N21" i="4"/>
  <c r="N20" i="4"/>
  <c r="N19" i="4"/>
  <c r="N18" i="4"/>
  <c r="N17" i="4"/>
  <c r="N16" i="4"/>
  <c r="K15" i="4"/>
  <c r="N15" i="4" s="1"/>
  <c r="K14" i="4"/>
  <c r="N14" i="4" s="1"/>
  <c r="K13" i="4"/>
  <c r="N13" i="4" s="1"/>
  <c r="K12" i="4"/>
  <c r="N12" i="4" s="1"/>
  <c r="N25" i="4" s="1"/>
  <c r="D12" i="4"/>
  <c r="K11" i="4"/>
  <c r="K10" i="4"/>
  <c r="K9" i="4"/>
  <c r="K8" i="4"/>
  <c r="I8" i="4"/>
  <c r="I9" i="4" s="1"/>
  <c r="D7" i="4"/>
  <c r="D26" i="3"/>
  <c r="D25" i="3"/>
  <c r="D24" i="3"/>
  <c r="I13" i="3"/>
  <c r="I12" i="3"/>
  <c r="I11" i="3"/>
  <c r="C11" i="3"/>
  <c r="I10" i="3"/>
  <c r="I9" i="3"/>
  <c r="I8" i="3"/>
  <c r="I7" i="3"/>
  <c r="G7" i="3"/>
  <c r="G8" i="3" s="1"/>
  <c r="C6" i="3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J28" i="2"/>
  <c r="M28" i="2" s="1"/>
  <c r="M27" i="2"/>
  <c r="J27" i="2"/>
  <c r="D27" i="2"/>
  <c r="M26" i="2"/>
  <c r="J26" i="2"/>
  <c r="D26" i="2"/>
  <c r="J25" i="2"/>
  <c r="M25" i="2" s="1"/>
  <c r="D25" i="2"/>
  <c r="M24" i="2"/>
  <c r="J24" i="2"/>
  <c r="M23" i="2"/>
  <c r="J23" i="2"/>
  <c r="M22" i="2"/>
  <c r="J22" i="2"/>
  <c r="M21" i="2"/>
  <c r="J21" i="2"/>
  <c r="J20" i="2"/>
  <c r="M20" i="2" s="1"/>
  <c r="J19" i="2"/>
  <c r="M19" i="2" s="1"/>
  <c r="J18" i="2"/>
  <c r="M18" i="2" s="1"/>
  <c r="J17" i="2"/>
  <c r="M17" i="2" s="1"/>
  <c r="J16" i="2"/>
  <c r="M16" i="2" s="1"/>
  <c r="J15" i="2"/>
  <c r="M15" i="2" s="1"/>
  <c r="J14" i="2"/>
  <c r="M14" i="2" s="1"/>
  <c r="J13" i="2"/>
  <c r="M13" i="2" s="1"/>
  <c r="J12" i="2"/>
  <c r="C12" i="2"/>
  <c r="J11" i="2"/>
  <c r="J10" i="2"/>
  <c r="J9" i="2"/>
  <c r="H9" i="2"/>
  <c r="J8" i="2"/>
  <c r="H8" i="2"/>
  <c r="I27" i="1"/>
  <c r="I26" i="1"/>
  <c r="D26" i="1"/>
  <c r="I25" i="1"/>
  <c r="D25" i="1"/>
  <c r="I24" i="1"/>
  <c r="D24" i="1"/>
  <c r="C24" i="1"/>
  <c r="C26" i="1" s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C11" i="1"/>
  <c r="H8" i="1" s="1"/>
  <c r="J8" i="1" s="1"/>
  <c r="I10" i="1"/>
  <c r="I9" i="1"/>
  <c r="G9" i="1"/>
  <c r="G10" i="1" s="1"/>
  <c r="I8" i="1"/>
  <c r="G8" i="1"/>
  <c r="I7" i="1"/>
  <c r="C6" i="1"/>
  <c r="K8" i="5" l="1"/>
  <c r="K7" i="5"/>
  <c r="H8" i="5"/>
  <c r="J8" i="5" s="1"/>
  <c r="H10" i="5"/>
  <c r="J10" i="5" s="1"/>
  <c r="K10" i="5"/>
  <c r="G11" i="5"/>
  <c r="H9" i="5"/>
  <c r="J9" i="5" s="1"/>
  <c r="H7" i="5"/>
  <c r="J7" i="5" s="1"/>
  <c r="K9" i="5"/>
  <c r="C10" i="5"/>
  <c r="J9" i="4"/>
  <c r="L9" i="4" s="1"/>
  <c r="I10" i="4"/>
  <c r="M9" i="4"/>
  <c r="J8" i="4"/>
  <c r="L8" i="4" s="1"/>
  <c r="D27" i="4"/>
  <c r="M8" i="4"/>
  <c r="D11" i="4"/>
  <c r="H8" i="3"/>
  <c r="J8" i="3" s="1"/>
  <c r="G9" i="3"/>
  <c r="K8" i="3"/>
  <c r="K7" i="3"/>
  <c r="C10" i="3"/>
  <c r="H7" i="3"/>
  <c r="J7" i="3" s="1"/>
  <c r="I9" i="2"/>
  <c r="K9" i="2" s="1"/>
  <c r="L8" i="2"/>
  <c r="M45" i="2"/>
  <c r="L9" i="2"/>
  <c r="H10" i="2"/>
  <c r="I8" i="2"/>
  <c r="K8" i="2" s="1"/>
  <c r="C11" i="2"/>
  <c r="H10" i="1"/>
  <c r="J10" i="1" s="1"/>
  <c r="G11" i="1"/>
  <c r="L10" i="1"/>
  <c r="K10" i="1"/>
  <c r="K8" i="1"/>
  <c r="L8" i="1"/>
  <c r="H7" i="1"/>
  <c r="J7" i="1" s="1"/>
  <c r="H9" i="1"/>
  <c r="J9" i="1" s="1"/>
  <c r="K7" i="1"/>
  <c r="K9" i="1"/>
  <c r="L9" i="1"/>
  <c r="C10" i="1"/>
  <c r="G4" i="1" s="1"/>
  <c r="L7" i="1"/>
  <c r="G12" i="5" l="1"/>
  <c r="H11" i="5"/>
  <c r="J11" i="5" s="1"/>
  <c r="K11" i="5" s="1"/>
  <c r="I11" i="4"/>
  <c r="M10" i="4"/>
  <c r="J10" i="4"/>
  <c r="L10" i="4" s="1"/>
  <c r="K9" i="3"/>
  <c r="G10" i="3"/>
  <c r="H9" i="3"/>
  <c r="J9" i="3" s="1"/>
  <c r="H11" i="2"/>
  <c r="I10" i="2"/>
  <c r="K10" i="2" s="1"/>
  <c r="L10" i="2"/>
  <c r="G12" i="1"/>
  <c r="L11" i="1"/>
  <c r="K11" i="1"/>
  <c r="H11" i="1"/>
  <c r="J11" i="1" s="1"/>
  <c r="H12" i="5" l="1"/>
  <c r="J12" i="5" s="1"/>
  <c r="K12" i="5" s="1"/>
  <c r="G13" i="5"/>
  <c r="J11" i="4"/>
  <c r="L11" i="4" s="1"/>
  <c r="M11" i="4"/>
  <c r="I12" i="4"/>
  <c r="K10" i="3"/>
  <c r="G11" i="3"/>
  <c r="H10" i="3"/>
  <c r="J10" i="3" s="1"/>
  <c r="I11" i="2"/>
  <c r="K11" i="2" s="1"/>
  <c r="H12" i="2"/>
  <c r="L11" i="2"/>
  <c r="G13" i="1"/>
  <c r="L12" i="1"/>
  <c r="K12" i="1"/>
  <c r="H12" i="1"/>
  <c r="J12" i="1" s="1"/>
  <c r="G14" i="5" l="1"/>
  <c r="H13" i="5"/>
  <c r="J13" i="5" s="1"/>
  <c r="K13" i="5" s="1"/>
  <c r="I13" i="4"/>
  <c r="J12" i="4"/>
  <c r="L12" i="4" s="1"/>
  <c r="M12" i="4" s="1"/>
  <c r="H11" i="3"/>
  <c r="J11" i="3" s="1"/>
  <c r="G12" i="3"/>
  <c r="K11" i="3"/>
  <c r="H13" i="2"/>
  <c r="L12" i="2"/>
  <c r="I12" i="2"/>
  <c r="K12" i="2" s="1"/>
  <c r="G14" i="1"/>
  <c r="L13" i="1"/>
  <c r="K13" i="1"/>
  <c r="H13" i="1"/>
  <c r="J13" i="1" s="1"/>
  <c r="H14" i="5" l="1"/>
  <c r="J14" i="5" s="1"/>
  <c r="I14" i="5"/>
  <c r="G15" i="5"/>
  <c r="J13" i="4"/>
  <c r="L13" i="4" s="1"/>
  <c r="M13" i="4" s="1"/>
  <c r="I14" i="4"/>
  <c r="G13" i="3"/>
  <c r="H12" i="3"/>
  <c r="J12" i="3" s="1"/>
  <c r="K12" i="3" s="1"/>
  <c r="I13" i="2"/>
  <c r="K13" i="2" s="1"/>
  <c r="L13" i="2" s="1"/>
  <c r="H14" i="2"/>
  <c r="G15" i="1"/>
  <c r="K14" i="1"/>
  <c r="H14" i="1"/>
  <c r="J14" i="1" s="1"/>
  <c r="L14" i="1"/>
  <c r="I20" i="5" l="1"/>
  <c r="L20" i="5" s="1"/>
  <c r="I16" i="5"/>
  <c r="L16" i="5" s="1"/>
  <c r="I19" i="5"/>
  <c r="L19" i="5" s="1"/>
  <c r="L14" i="5"/>
  <c r="I18" i="5"/>
  <c r="L18" i="5" s="1"/>
  <c r="I17" i="5"/>
  <c r="L17" i="5" s="1"/>
  <c r="I15" i="5"/>
  <c r="L15" i="5" s="1"/>
  <c r="G16" i="5"/>
  <c r="H15" i="5"/>
  <c r="J15" i="5" s="1"/>
  <c r="K14" i="5"/>
  <c r="I15" i="4"/>
  <c r="J14" i="4"/>
  <c r="L14" i="4" s="1"/>
  <c r="M14" i="4" s="1"/>
  <c r="G14" i="3"/>
  <c r="H13" i="3"/>
  <c r="J13" i="3" s="1"/>
  <c r="K13" i="3" s="1"/>
  <c r="H15" i="2"/>
  <c r="I14" i="2"/>
  <c r="K14" i="2" s="1"/>
  <c r="L14" i="2" s="1"/>
  <c r="G16" i="1"/>
  <c r="L15" i="1"/>
  <c r="K15" i="1"/>
  <c r="H15" i="1"/>
  <c r="J15" i="1" s="1"/>
  <c r="K15" i="5" l="1"/>
  <c r="H16" i="5"/>
  <c r="J16" i="5" s="1"/>
  <c r="K16" i="5"/>
  <c r="G17" i="5"/>
  <c r="J15" i="4"/>
  <c r="L15" i="4" s="1"/>
  <c r="M15" i="4" s="1"/>
  <c r="I16" i="4"/>
  <c r="G15" i="3"/>
  <c r="H14" i="3"/>
  <c r="J14" i="3" s="1"/>
  <c r="I14" i="3"/>
  <c r="I15" i="2"/>
  <c r="K15" i="2" s="1"/>
  <c r="L15" i="2" s="1"/>
  <c r="H16" i="2"/>
  <c r="H16" i="1"/>
  <c r="J16" i="1" s="1"/>
  <c r="G17" i="1"/>
  <c r="K16" i="1"/>
  <c r="L16" i="1"/>
  <c r="G18" i="5" l="1"/>
  <c r="H17" i="5"/>
  <c r="J17" i="5" s="1"/>
  <c r="K17" i="5" s="1"/>
  <c r="C7" i="5"/>
  <c r="C19" i="5" s="1"/>
  <c r="C8" i="5"/>
  <c r="I17" i="4"/>
  <c r="J16" i="4"/>
  <c r="L16" i="4" s="1"/>
  <c r="D8" i="4"/>
  <c r="D20" i="4" s="1"/>
  <c r="D9" i="4"/>
  <c r="K16" i="4"/>
  <c r="I15" i="3"/>
  <c r="I17" i="3"/>
  <c r="I16" i="3"/>
  <c r="K14" i="3"/>
  <c r="H15" i="3"/>
  <c r="J15" i="3" s="1"/>
  <c r="G16" i="3"/>
  <c r="C8" i="3"/>
  <c r="C7" i="3"/>
  <c r="C19" i="3" s="1"/>
  <c r="I16" i="2"/>
  <c r="K16" i="2" s="1"/>
  <c r="L16" i="2" s="1"/>
  <c r="H17" i="2"/>
  <c r="L17" i="1"/>
  <c r="K17" i="1"/>
  <c r="H17" i="1"/>
  <c r="J17" i="1" s="1"/>
  <c r="G18" i="1"/>
  <c r="G19" i="5" l="1"/>
  <c r="H18" i="5"/>
  <c r="J18" i="5" s="1"/>
  <c r="K18" i="5" s="1"/>
  <c r="K15" i="3"/>
  <c r="M16" i="4"/>
  <c r="K19" i="4"/>
  <c r="K17" i="4"/>
  <c r="K20" i="4"/>
  <c r="K18" i="4"/>
  <c r="J17" i="4"/>
  <c r="L17" i="4" s="1"/>
  <c r="I18" i="4"/>
  <c r="H16" i="3"/>
  <c r="J16" i="3" s="1"/>
  <c r="K16" i="3" s="1"/>
  <c r="G17" i="3"/>
  <c r="I17" i="2"/>
  <c r="K17" i="2" s="1"/>
  <c r="L17" i="2" s="1"/>
  <c r="H18" i="2"/>
  <c r="G19" i="1"/>
  <c r="L18" i="1"/>
  <c r="H18" i="1"/>
  <c r="J18" i="1" s="1"/>
  <c r="K18" i="1"/>
  <c r="G20" i="5" l="1"/>
  <c r="H19" i="5"/>
  <c r="J19" i="5" s="1"/>
  <c r="K19" i="5" s="1"/>
  <c r="M17" i="4"/>
  <c r="I19" i="4"/>
  <c r="J18" i="4"/>
  <c r="L18" i="4" s="1"/>
  <c r="M18" i="4" s="1"/>
  <c r="H17" i="3"/>
  <c r="J17" i="3" s="1"/>
  <c r="K17" i="3" s="1"/>
  <c r="G18" i="3"/>
  <c r="H19" i="2"/>
  <c r="I18" i="2"/>
  <c r="K18" i="2" s="1"/>
  <c r="L18" i="2" s="1"/>
  <c r="K19" i="1"/>
  <c r="H19" i="1"/>
  <c r="J19" i="1" s="1"/>
  <c r="G20" i="1"/>
  <c r="L19" i="1"/>
  <c r="H20" i="5" l="1"/>
  <c r="J20" i="5" s="1"/>
  <c r="K20" i="5" s="1"/>
  <c r="G21" i="5"/>
  <c r="I20" i="4"/>
  <c r="J19" i="4"/>
  <c r="L19" i="4" s="1"/>
  <c r="M19" i="4" s="1"/>
  <c r="G19" i="3"/>
  <c r="H18" i="3"/>
  <c r="J18" i="3" s="1"/>
  <c r="I18" i="3"/>
  <c r="H20" i="2"/>
  <c r="I19" i="2"/>
  <c r="K19" i="2" s="1"/>
  <c r="L19" i="2" s="1"/>
  <c r="G21" i="1"/>
  <c r="L20" i="1"/>
  <c r="K20" i="1"/>
  <c r="H20" i="1"/>
  <c r="J20" i="1" s="1"/>
  <c r="G22" i="5" l="1"/>
  <c r="H21" i="5"/>
  <c r="J21" i="5" s="1"/>
  <c r="I21" i="5"/>
  <c r="J20" i="4"/>
  <c r="L20" i="4" s="1"/>
  <c r="M20" i="4" s="1"/>
  <c r="I21" i="4"/>
  <c r="I19" i="3"/>
  <c r="I20" i="3"/>
  <c r="I24" i="3"/>
  <c r="I21" i="3"/>
  <c r="I23" i="3"/>
  <c r="I22" i="3"/>
  <c r="G20" i="3"/>
  <c r="H19" i="3"/>
  <c r="J19" i="3" s="1"/>
  <c r="K18" i="3"/>
  <c r="H21" i="2"/>
  <c r="I20" i="2"/>
  <c r="K20" i="2" s="1"/>
  <c r="L20" i="2" s="1"/>
  <c r="H21" i="1"/>
  <c r="J21" i="1" s="1"/>
  <c r="G22" i="1"/>
  <c r="L21" i="1"/>
  <c r="K21" i="1"/>
  <c r="I23" i="5" l="1"/>
  <c r="L23" i="5" s="1"/>
  <c r="I22" i="5"/>
  <c r="L22" i="5" s="1"/>
  <c r="I27" i="5"/>
  <c r="L27" i="5" s="1"/>
  <c r="I26" i="5"/>
  <c r="L26" i="5" s="1"/>
  <c r="I25" i="5"/>
  <c r="L25" i="5" s="1"/>
  <c r="I24" i="5"/>
  <c r="L24" i="5" s="1"/>
  <c r="L21" i="5"/>
  <c r="G23" i="5"/>
  <c r="H22" i="5"/>
  <c r="J22" i="5" s="1"/>
  <c r="K22" i="5" s="1"/>
  <c r="K21" i="5"/>
  <c r="K19" i="3"/>
  <c r="J21" i="4"/>
  <c r="L21" i="4" s="1"/>
  <c r="I22" i="4"/>
  <c r="K21" i="4"/>
  <c r="H20" i="3"/>
  <c r="J20" i="3" s="1"/>
  <c r="K20" i="3" s="1"/>
  <c r="G21" i="3"/>
  <c r="H22" i="2"/>
  <c r="I21" i="2"/>
  <c r="K21" i="2" s="1"/>
  <c r="L21" i="2" s="1"/>
  <c r="G23" i="1"/>
  <c r="L22" i="1"/>
  <c r="K22" i="1"/>
  <c r="H22" i="1"/>
  <c r="J22" i="1" s="1"/>
  <c r="H23" i="5" l="1"/>
  <c r="J23" i="5" s="1"/>
  <c r="K23" i="5" s="1"/>
  <c r="G24" i="5"/>
  <c r="K24" i="4"/>
  <c r="K22" i="4"/>
  <c r="K23" i="4"/>
  <c r="I23" i="4"/>
  <c r="J22" i="4"/>
  <c r="L22" i="4" s="1"/>
  <c r="M21" i="4"/>
  <c r="G22" i="3"/>
  <c r="H21" i="3"/>
  <c r="J21" i="3" s="1"/>
  <c r="K21" i="3" s="1"/>
  <c r="I22" i="2"/>
  <c r="K22" i="2" s="1"/>
  <c r="L22" i="2" s="1"/>
  <c r="H23" i="2"/>
  <c r="H23" i="1"/>
  <c r="J23" i="1" s="1"/>
  <c r="K23" i="1" s="1"/>
  <c r="G24" i="1"/>
  <c r="L23" i="1"/>
  <c r="C8" i="1"/>
  <c r="C7" i="1"/>
  <c r="C19" i="1" s="1"/>
  <c r="H24" i="5" l="1"/>
  <c r="J24" i="5" s="1"/>
  <c r="K24" i="5" s="1"/>
  <c r="G25" i="5"/>
  <c r="M22" i="4"/>
  <c r="J23" i="4"/>
  <c r="L23" i="4" s="1"/>
  <c r="M23" i="4" s="1"/>
  <c r="I24" i="4"/>
  <c r="H22" i="3"/>
  <c r="J22" i="3" s="1"/>
  <c r="K22" i="3" s="1"/>
  <c r="G23" i="3"/>
  <c r="H24" i="2"/>
  <c r="I23" i="2"/>
  <c r="K23" i="2" s="1"/>
  <c r="L23" i="2" s="1"/>
  <c r="L24" i="1"/>
  <c r="H24" i="1"/>
  <c r="J24" i="1" s="1"/>
  <c r="K24" i="1" s="1"/>
  <c r="G25" i="1"/>
  <c r="G26" i="5" l="1"/>
  <c r="H25" i="5"/>
  <c r="J25" i="5" s="1"/>
  <c r="K25" i="5" s="1"/>
  <c r="J24" i="4"/>
  <c r="L24" i="4" s="1"/>
  <c r="M24" i="4" s="1"/>
  <c r="D19" i="4" s="1"/>
  <c r="G24" i="3"/>
  <c r="H23" i="3"/>
  <c r="J23" i="3" s="1"/>
  <c r="K23" i="3" s="1"/>
  <c r="I24" i="2"/>
  <c r="K24" i="2" s="1"/>
  <c r="L24" i="2" s="1"/>
  <c r="H25" i="2"/>
  <c r="G26" i="1"/>
  <c r="L25" i="1"/>
  <c r="H25" i="1"/>
  <c r="J25" i="1" s="1"/>
  <c r="K25" i="1" s="1"/>
  <c r="H26" i="5" l="1"/>
  <c r="J26" i="5" s="1"/>
  <c r="K26" i="5" s="1"/>
  <c r="G27" i="5"/>
  <c r="D24" i="4"/>
  <c r="D21" i="4"/>
  <c r="H24" i="3"/>
  <c r="J24" i="3" s="1"/>
  <c r="K24" i="3" s="1"/>
  <c r="C18" i="3" s="1"/>
  <c r="I25" i="2"/>
  <c r="K25" i="2" s="1"/>
  <c r="L25" i="2" s="1"/>
  <c r="H26" i="2"/>
  <c r="H26" i="1"/>
  <c r="J26" i="1" s="1"/>
  <c r="K26" i="1" s="1"/>
  <c r="L26" i="1"/>
  <c r="G27" i="1"/>
  <c r="H27" i="5" l="1"/>
  <c r="J27" i="5" s="1"/>
  <c r="K27" i="5" s="1"/>
  <c r="C18" i="5" s="1"/>
  <c r="D26" i="4"/>
  <c r="D28" i="4" s="1"/>
  <c r="D30" i="4" s="1"/>
  <c r="C20" i="3"/>
  <c r="C23" i="3"/>
  <c r="H27" i="2"/>
  <c r="C8" i="2"/>
  <c r="C20" i="2" s="1"/>
  <c r="I26" i="2"/>
  <c r="K26" i="2" s="1"/>
  <c r="L26" i="2" s="1"/>
  <c r="C9" i="2"/>
  <c r="G28" i="1"/>
  <c r="L27" i="1"/>
  <c r="H27" i="1"/>
  <c r="J27" i="1" s="1"/>
  <c r="K27" i="1" s="1"/>
  <c r="C20" i="5" l="1"/>
  <c r="C23" i="5"/>
  <c r="D29" i="4"/>
  <c r="C24" i="3"/>
  <c r="C25" i="3"/>
  <c r="H29" i="2"/>
  <c r="I27" i="2"/>
  <c r="K27" i="2" s="1"/>
  <c r="L27" i="2" s="1"/>
  <c r="H28" i="2"/>
  <c r="G29" i="1"/>
  <c r="H28" i="1"/>
  <c r="J28" i="1" s="1"/>
  <c r="L28" i="1"/>
  <c r="I28" i="1"/>
  <c r="C25" i="5" l="1"/>
  <c r="C24" i="5"/>
  <c r="C26" i="3"/>
  <c r="C27" i="3" s="1"/>
  <c r="H30" i="2"/>
  <c r="I28" i="2"/>
  <c r="K28" i="2" s="1"/>
  <c r="L28" i="2" s="1"/>
  <c r="I29" i="2"/>
  <c r="K29" i="2" s="1"/>
  <c r="J29" i="2"/>
  <c r="L29" i="1"/>
  <c r="H29" i="1"/>
  <c r="J29" i="1" s="1"/>
  <c r="G30" i="1"/>
  <c r="I39" i="1"/>
  <c r="I37" i="1"/>
  <c r="I35" i="1"/>
  <c r="I33" i="1"/>
  <c r="I31" i="1"/>
  <c r="I29" i="1"/>
  <c r="I38" i="1"/>
  <c r="I36" i="1"/>
  <c r="I34" i="1"/>
  <c r="I32" i="1"/>
  <c r="I30" i="1"/>
  <c r="K28" i="1"/>
  <c r="C26" i="5" l="1"/>
  <c r="C27" i="5" s="1"/>
  <c r="C29" i="3"/>
  <c r="C28" i="3"/>
  <c r="L29" i="2"/>
  <c r="J42" i="2"/>
  <c r="J30" i="2"/>
  <c r="J43" i="2"/>
  <c r="J35" i="2"/>
  <c r="J39" i="2"/>
  <c r="J33" i="2"/>
  <c r="J44" i="2"/>
  <c r="J40" i="2"/>
  <c r="J38" i="2"/>
  <c r="J36" i="2"/>
  <c r="J34" i="2"/>
  <c r="J32" i="2"/>
  <c r="J41" i="2"/>
  <c r="J37" i="2"/>
  <c r="J31" i="2"/>
  <c r="H31" i="2"/>
  <c r="I30" i="2"/>
  <c r="K30" i="2" s="1"/>
  <c r="L30" i="2" s="1"/>
  <c r="K29" i="1"/>
  <c r="G31" i="1"/>
  <c r="L30" i="1"/>
  <c r="H30" i="1"/>
  <c r="J30" i="1" s="1"/>
  <c r="K30" i="1" s="1"/>
  <c r="C29" i="5" l="1"/>
  <c r="C28" i="5"/>
  <c r="L28" i="5" s="1"/>
  <c r="I31" i="2"/>
  <c r="K31" i="2" s="1"/>
  <c r="L31" i="2" s="1"/>
  <c r="H32" i="2"/>
  <c r="L31" i="1"/>
  <c r="H31" i="1"/>
  <c r="J31" i="1" s="1"/>
  <c r="K31" i="1" s="1"/>
  <c r="G32" i="1"/>
  <c r="H33" i="2" l="1"/>
  <c r="I32" i="2"/>
  <c r="K32" i="2" s="1"/>
  <c r="L32" i="2" s="1"/>
  <c r="G33" i="1"/>
  <c r="L32" i="1"/>
  <c r="H32" i="1"/>
  <c r="J32" i="1" s="1"/>
  <c r="K32" i="1" s="1"/>
  <c r="H34" i="2" l="1"/>
  <c r="I33" i="2"/>
  <c r="K33" i="2" s="1"/>
  <c r="L33" i="2" s="1"/>
  <c r="L33" i="1"/>
  <c r="H33" i="1"/>
  <c r="J33" i="1" s="1"/>
  <c r="K33" i="1" s="1"/>
  <c r="G34" i="1"/>
  <c r="H35" i="2" l="1"/>
  <c r="I34" i="2"/>
  <c r="K34" i="2" s="1"/>
  <c r="L34" i="2" s="1"/>
  <c r="G35" i="1"/>
  <c r="L34" i="1"/>
  <c r="H34" i="1"/>
  <c r="J34" i="1" s="1"/>
  <c r="K34" i="1" s="1"/>
  <c r="H36" i="2" l="1"/>
  <c r="I35" i="2"/>
  <c r="K35" i="2" s="1"/>
  <c r="L35" i="2" s="1"/>
  <c r="L35" i="1"/>
  <c r="H35" i="1"/>
  <c r="J35" i="1" s="1"/>
  <c r="K35" i="1" s="1"/>
  <c r="G36" i="1"/>
  <c r="H37" i="2" l="1"/>
  <c r="I36" i="2"/>
  <c r="K36" i="2" s="1"/>
  <c r="L36" i="2" s="1"/>
  <c r="G37" i="1"/>
  <c r="H36" i="1"/>
  <c r="J36" i="1" s="1"/>
  <c r="K36" i="1" s="1"/>
  <c r="L36" i="1"/>
  <c r="H38" i="2" l="1"/>
  <c r="I37" i="2"/>
  <c r="K37" i="2" s="1"/>
  <c r="L37" i="2" s="1"/>
  <c r="L37" i="1"/>
  <c r="H37" i="1"/>
  <c r="J37" i="1" s="1"/>
  <c r="K37" i="1" s="1"/>
  <c r="G38" i="1"/>
  <c r="H39" i="2" l="1"/>
  <c r="I38" i="2"/>
  <c r="K38" i="2" s="1"/>
  <c r="L38" i="2" s="1"/>
  <c r="G39" i="1"/>
  <c r="L38" i="1"/>
  <c r="H38" i="1"/>
  <c r="J38" i="1" s="1"/>
  <c r="K38" i="1" s="1"/>
  <c r="H40" i="2" l="1"/>
  <c r="I39" i="2"/>
  <c r="K39" i="2" s="1"/>
  <c r="L39" i="2" s="1"/>
  <c r="L39" i="1"/>
  <c r="H39" i="1"/>
  <c r="J39" i="1" s="1"/>
  <c r="K39" i="1" s="1"/>
  <c r="C18" i="1" s="1"/>
  <c r="H41" i="2" l="1"/>
  <c r="I40" i="2"/>
  <c r="K40" i="2" s="1"/>
  <c r="L40" i="2" s="1"/>
  <c r="C23" i="1"/>
  <c r="C20" i="1"/>
  <c r="I41" i="2" l="1"/>
  <c r="K41" i="2" s="1"/>
  <c r="L41" i="2" s="1"/>
  <c r="H42" i="2"/>
  <c r="C25" i="1"/>
  <c r="C27" i="1" s="1"/>
  <c r="C28" i="1" s="1"/>
  <c r="H43" i="2" l="1"/>
  <c r="I42" i="2"/>
  <c r="K42" i="2" s="1"/>
  <c r="L42" i="2" s="1"/>
  <c r="C29" i="1"/>
  <c r="H44" i="2" l="1"/>
  <c r="I43" i="2"/>
  <c r="K43" i="2" s="1"/>
  <c r="L43" i="2" s="1"/>
  <c r="I44" i="2" l="1"/>
  <c r="K44" i="2" s="1"/>
  <c r="L44" i="2" s="1"/>
  <c r="C19" i="2" s="1"/>
  <c r="C24" i="2" l="1"/>
  <c r="C21" i="2"/>
  <c r="C26" i="2" l="1"/>
  <c r="C25" i="2"/>
  <c r="C27" i="2" l="1"/>
  <c r="C28" i="2"/>
  <c r="C29" i="2" l="1"/>
  <c r="C30" i="2"/>
</calcChain>
</file>

<file path=xl/sharedStrings.xml><?xml version="1.0" encoding="utf-8"?>
<sst xmlns="http://schemas.openxmlformats.org/spreadsheetml/2006/main" count="189" uniqueCount="68">
  <si>
    <t>INFRASTRUCTURE BOND PRICING - IFB1.2018.15 - IFB14</t>
  </si>
  <si>
    <t>Issue Number:</t>
  </si>
  <si>
    <t>IFB1/2018/15</t>
  </si>
  <si>
    <t>Maturity (Years)</t>
  </si>
  <si>
    <t>ISIN Number:</t>
  </si>
  <si>
    <t>KE5000008093</t>
  </si>
  <si>
    <t>Issue Date:</t>
  </si>
  <si>
    <t>Maturity Date:</t>
  </si>
  <si>
    <t>Cash Flow Dates</t>
  </si>
  <si>
    <t>Time To Maturity</t>
  </si>
  <si>
    <t>Cash Flows</t>
  </si>
  <si>
    <t>PV Factor</t>
  </si>
  <si>
    <t>PV Amount</t>
  </si>
  <si>
    <t>Cash Flow</t>
  </si>
  <si>
    <t>Last Payment Date:</t>
  </si>
  <si>
    <t>Next Payment Date:</t>
  </si>
  <si>
    <t>Trade Date:</t>
  </si>
  <si>
    <t>Value Date:</t>
  </si>
  <si>
    <t>Coupon Rate:</t>
  </si>
  <si>
    <t>Nominal:</t>
  </si>
  <si>
    <t>Yield To Maturity:</t>
  </si>
  <si>
    <t>Dirty Price:</t>
  </si>
  <si>
    <t>Accrued Interest:</t>
  </si>
  <si>
    <t>Clean Price:</t>
  </si>
  <si>
    <t>Face value, KES</t>
  </si>
  <si>
    <t>Consideration, KES</t>
  </si>
  <si>
    <t>Brokerage commission</t>
  </si>
  <si>
    <t>Other transaction levies</t>
  </si>
  <si>
    <t>VAT on brokerage comms</t>
  </si>
  <si>
    <t>Total charges</t>
  </si>
  <si>
    <t>Net amount payable</t>
  </si>
  <si>
    <t>Net amount receivable</t>
  </si>
  <si>
    <t>Counterparties</t>
  </si>
  <si>
    <t>Seller</t>
  </si>
  <si>
    <t>Buyer</t>
  </si>
  <si>
    <t>Intermediary</t>
  </si>
  <si>
    <t>Selling Broker</t>
  </si>
  <si>
    <t>Buying Broker</t>
  </si>
  <si>
    <t>INFRASTRUCTURE BOND PRICING - IFB1.2023.17 - IFB28</t>
  </si>
  <si>
    <t>IFB1/2023/17</t>
  </si>
  <si>
    <t>KE8000005549</t>
  </si>
  <si>
    <t>Coupon 14.33%</t>
  </si>
  <si>
    <t>Current Price</t>
  </si>
  <si>
    <t>Net Return</t>
  </si>
  <si>
    <t>INFRASTRUCTURE BOND PRICING - IFB1.2023.7 - IFB29</t>
  </si>
  <si>
    <t>IFB1/2023/7</t>
  </si>
  <si>
    <t>KE8000005879</t>
  </si>
  <si>
    <t>Cash Flow - 500K</t>
  </si>
  <si>
    <t>Principal 20%</t>
  </si>
  <si>
    <t>Principal 24%</t>
  </si>
  <si>
    <t>Principal 56%</t>
  </si>
  <si>
    <t>INFRASTRUCTURE BOND PRICING - IFB1.2023.6.5 - IFB30</t>
  </si>
  <si>
    <t>IFB1/2023/6.5</t>
  </si>
  <si>
    <t>KE8000006216</t>
  </si>
  <si>
    <t>Dirty Price 124.5191</t>
  </si>
  <si>
    <t>Maturity</t>
  </si>
  <si>
    <t>50% Principal</t>
  </si>
  <si>
    <t>`</t>
  </si>
  <si>
    <t>15% Principal</t>
  </si>
  <si>
    <t>45% Principal</t>
  </si>
  <si>
    <t>Total Return</t>
  </si>
  <si>
    <t>INFRASTRUCTURE BOND PRICING - IFB1.2024.8.5 - IFB31</t>
  </si>
  <si>
    <t>IFB1/2024/8.5</t>
  </si>
  <si>
    <t>KE8000006430</t>
  </si>
  <si>
    <t>Example of Cashflows Calculation-IFB1/2024/8.5 Years - 18.4607% per annum</t>
  </si>
  <si>
    <t>20% Principal</t>
  </si>
  <si>
    <t>24% Principal</t>
  </si>
  <si>
    <t>56% 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</si>
</sst>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-* #,##0.00_-;\-* #,##0.00_-;_-* &quot;-&quot;??_-;_-@_-"/>
    <numFmt numFmtId="165" formatCode="0.0000%"/>
    <numFmt numFmtId="166" formatCode="_(* #,##0_);_(* \(#,##0\);_(* &quot;-&quot;??_);_(@_)"/>
    <numFmt numFmtId="167" formatCode="0.0000"/>
    <numFmt numFmtId="168" formatCode="_(* #,##0.00_);_(* \(#,##0.00\);_(* &quot;-&quot;????_);_(@_)"/>
    <numFmt numFmtId="169" formatCode="_(* #,##0.0000_);_(* \(#,##0.0000\);_(* &quot;-&quot;????_);_(@_)"/>
    <numFmt numFmtId="170" formatCode="_(* #,##0.000_);_(* \(#,##0.000\);_(* &quot;-&quot;??_);_(@_)"/>
    <numFmt numFmtId="171" formatCode="_-* #,##0_-;\-* #,##0_-;_-* &quot;-&quot;??_-;_-@_-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Aptos Narrow"/>
      <family val="2"/>
      <scheme val="minor"/>
    </font>
    <font>
      <sz val="11"/>
      <name val="Arial"/>
      <family val="2"/>
    </font>
    <font>
      <u/>
      <sz val="10"/>
      <color indexed="12"/>
      <name val="Arial"/>
      <family val="2"/>
    </font>
    <font>
      <sz val="11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name val="Aptos Narrow"/>
      <family val="2"/>
      <scheme val="minor"/>
    </font>
    <font>
      <b/>
      <sz val="11"/>
      <color indexed="1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77">
    <xf numFmtId="0" fontId="0" fillId="0" borderId="0" xfId="0"/>
    <xf numFmtId="0" fontId="0" fillId="0" borderId="3" xfId="0" applyBorder="1"/>
    <xf numFmtId="0" fontId="3" fillId="0" borderId="4" xfId="0" applyFont="1" applyBorder="1"/>
    <xf numFmtId="0" fontId="3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6" fillId="3" borderId="0" xfId="2" applyFill="1" applyAlignment="1" applyProtection="1"/>
    <xf numFmtId="0" fontId="0" fillId="3" borderId="0" xfId="0" applyFill="1"/>
    <xf numFmtId="0" fontId="7" fillId="2" borderId="8" xfId="0" applyFont="1" applyFill="1" applyBorder="1" applyAlignment="1">
      <alignment horizontal="right" vertical="center"/>
    </xf>
    <xf numFmtId="0" fontId="4" fillId="3" borderId="0" xfId="0" applyFont="1" applyFill="1" applyAlignment="1" applyProtection="1">
      <alignment horizontal="right"/>
      <protection hidden="1"/>
    </xf>
    <xf numFmtId="0" fontId="7" fillId="2" borderId="9" xfId="0" applyFont="1" applyFill="1" applyBorder="1" applyAlignment="1">
      <alignment horizontal="right" vertical="center"/>
    </xf>
    <xf numFmtId="0" fontId="4" fillId="0" borderId="10" xfId="0" applyFont="1" applyBorder="1" applyAlignment="1" applyProtection="1">
      <alignment horizontal="center"/>
      <protection hidden="1"/>
    </xf>
    <xf numFmtId="15" fontId="5" fillId="3" borderId="0" xfId="0" applyNumberFormat="1" applyFont="1" applyFill="1"/>
    <xf numFmtId="15" fontId="0" fillId="3" borderId="0" xfId="0" applyNumberFormat="1" applyFill="1"/>
    <xf numFmtId="0" fontId="7" fillId="3" borderId="0" xfId="0" applyFont="1" applyFill="1" applyAlignment="1">
      <alignment horizontal="right" vertical="center"/>
    </xf>
    <xf numFmtId="15" fontId="7" fillId="3" borderId="0" xfId="0" applyNumberFormat="1" applyFont="1" applyFill="1" applyAlignment="1">
      <alignment vertical="center"/>
    </xf>
    <xf numFmtId="0" fontId="8" fillId="4" borderId="10" xfId="0" applyFont="1" applyFill="1" applyBorder="1" applyProtection="1">
      <protection hidden="1"/>
    </xf>
    <xf numFmtId="0" fontId="8" fillId="4" borderId="10" xfId="0" applyFont="1" applyFill="1" applyBorder="1" applyAlignment="1" applyProtection="1">
      <alignment horizontal="right"/>
      <protection hidden="1"/>
    </xf>
    <xf numFmtId="0" fontId="8" fillId="4" borderId="10" xfId="0" applyFont="1" applyFill="1" applyBorder="1" applyAlignment="1" applyProtection="1">
      <alignment horizontal="center"/>
      <protection hidden="1"/>
    </xf>
    <xf numFmtId="15" fontId="9" fillId="3" borderId="10" xfId="0" applyNumberFormat="1" applyFont="1" applyFill="1" applyBorder="1" applyAlignment="1" applyProtection="1">
      <alignment horizontal="center"/>
      <protection hidden="1"/>
    </xf>
    <xf numFmtId="164" fontId="9" fillId="3" borderId="10" xfId="0" applyNumberFormat="1" applyFont="1" applyFill="1" applyBorder="1" applyProtection="1">
      <protection hidden="1"/>
    </xf>
    <xf numFmtId="164" fontId="9" fillId="3" borderId="10" xfId="0" applyNumberFormat="1" applyFont="1" applyFill="1" applyBorder="1" applyAlignment="1" applyProtection="1">
      <alignment horizontal="center"/>
      <protection hidden="1"/>
    </xf>
    <xf numFmtId="0" fontId="4" fillId="2" borderId="9" xfId="0" applyFont="1" applyFill="1" applyBorder="1" applyAlignment="1">
      <alignment horizontal="right" vertical="center"/>
    </xf>
    <xf numFmtId="15" fontId="4" fillId="3" borderId="0" xfId="0" applyNumberFormat="1" applyFont="1" applyFill="1" applyAlignment="1" applyProtection="1">
      <alignment vertical="center"/>
      <protection locked="0"/>
    </xf>
    <xf numFmtId="0" fontId="4" fillId="3" borderId="0" xfId="0" applyFont="1" applyFill="1" applyAlignment="1">
      <alignment horizontal="right" vertical="center"/>
    </xf>
    <xf numFmtId="15" fontId="10" fillId="3" borderId="0" xfId="0" applyNumberFormat="1" applyFont="1" applyFill="1" applyAlignment="1">
      <alignment vertical="center"/>
    </xf>
    <xf numFmtId="165" fontId="7" fillId="3" borderId="0" xfId="0" applyNumberFormat="1" applyFont="1" applyFill="1" applyAlignment="1">
      <alignment vertical="center"/>
    </xf>
    <xf numFmtId="167" fontId="4" fillId="2" borderId="11" xfId="0" applyNumberFormat="1" applyFont="1" applyFill="1" applyBorder="1" applyAlignment="1">
      <alignment vertical="center"/>
    </xf>
    <xf numFmtId="167" fontId="7" fillId="3" borderId="0" xfId="0" applyNumberFormat="1" applyFont="1" applyFill="1" applyAlignment="1" applyProtection="1">
      <alignment vertical="center"/>
      <protection hidden="1"/>
    </xf>
    <xf numFmtId="0" fontId="4" fillId="2" borderId="12" xfId="0" applyFont="1" applyFill="1" applyBorder="1" applyAlignment="1">
      <alignment horizontal="right" vertical="center"/>
    </xf>
    <xf numFmtId="167" fontId="4" fillId="3" borderId="13" xfId="0" applyNumberFormat="1" applyFont="1" applyFill="1" applyBorder="1" applyAlignment="1">
      <alignment vertical="center"/>
    </xf>
    <xf numFmtId="43" fontId="7" fillId="3" borderId="9" xfId="3" applyFont="1" applyFill="1" applyBorder="1" applyAlignment="1"/>
    <xf numFmtId="168" fontId="7" fillId="3" borderId="0" xfId="3" applyNumberFormat="1" applyFont="1" applyFill="1" applyProtection="1">
      <protection hidden="1"/>
    </xf>
    <xf numFmtId="165" fontId="7" fillId="3" borderId="0" xfId="1" applyNumberFormat="1" applyFont="1" applyFill="1" applyProtection="1">
      <protection locked="0"/>
    </xf>
    <xf numFmtId="43" fontId="4" fillId="3" borderId="9" xfId="3" applyFont="1" applyFill="1" applyBorder="1" applyAlignment="1"/>
    <xf numFmtId="168" fontId="4" fillId="3" borderId="0" xfId="3" applyNumberFormat="1" applyFont="1" applyFill="1" applyProtection="1">
      <protection hidden="1"/>
    </xf>
    <xf numFmtId="165" fontId="7" fillId="3" borderId="0" xfId="1" applyNumberFormat="1" applyFont="1" applyFill="1" applyProtection="1">
      <protection hidden="1"/>
    </xf>
    <xf numFmtId="43" fontId="4" fillId="3" borderId="14" xfId="3" applyFont="1" applyFill="1" applyBorder="1" applyProtection="1">
      <protection hidden="1"/>
    </xf>
    <xf numFmtId="15" fontId="8" fillId="5" borderId="10" xfId="0" applyNumberFormat="1" applyFont="1" applyFill="1" applyBorder="1" applyAlignment="1" applyProtection="1">
      <alignment horizontal="center"/>
      <protection hidden="1"/>
    </xf>
    <xf numFmtId="164" fontId="8" fillId="5" borderId="10" xfId="0" applyNumberFormat="1" applyFont="1" applyFill="1" applyBorder="1" applyProtection="1">
      <protection hidden="1"/>
    </xf>
    <xf numFmtId="164" fontId="8" fillId="5" borderId="10" xfId="0" applyNumberFormat="1" applyFont="1" applyFill="1" applyBorder="1" applyAlignment="1" applyProtection="1">
      <alignment horizontal="center"/>
      <protection hidden="1"/>
    </xf>
    <xf numFmtId="43" fontId="7" fillId="3" borderId="12" xfId="3" applyFont="1" applyFill="1" applyBorder="1" applyAlignment="1"/>
    <xf numFmtId="169" fontId="5" fillId="3" borderId="0" xfId="0" applyNumberFormat="1" applyFont="1" applyFill="1"/>
    <xf numFmtId="0" fontId="4" fillId="2" borderId="10" xfId="0" applyFont="1" applyFill="1" applyBorder="1" applyAlignment="1">
      <alignment vertical="center"/>
    </xf>
    <xf numFmtId="0" fontId="7" fillId="3" borderId="0" xfId="0" applyFont="1" applyFill="1"/>
    <xf numFmtId="0" fontId="4" fillId="0" borderId="10" xfId="0" applyFont="1" applyBorder="1" applyAlignment="1">
      <alignment vertical="center"/>
    </xf>
    <xf numFmtId="0" fontId="7" fillId="3" borderId="15" xfId="0" applyFont="1" applyFill="1" applyBorder="1" applyAlignment="1" applyProtection="1">
      <alignment horizontal="left"/>
      <protection locked="0"/>
    </xf>
    <xf numFmtId="0" fontId="7" fillId="3" borderId="13" xfId="0" applyFont="1" applyFill="1" applyBorder="1" applyAlignment="1" applyProtection="1">
      <alignment horizontal="left"/>
      <protection locked="0"/>
    </xf>
    <xf numFmtId="0" fontId="7" fillId="3" borderId="16" xfId="0" applyFont="1" applyFill="1" applyBorder="1" applyAlignment="1" applyProtection="1">
      <alignment horizontal="left"/>
      <protection locked="0"/>
    </xf>
    <xf numFmtId="0" fontId="4" fillId="0" borderId="0" xfId="0" applyFont="1" applyAlignment="1">
      <alignment vertical="center"/>
    </xf>
    <xf numFmtId="0" fontId="4" fillId="2" borderId="0" xfId="0" applyFont="1" applyFill="1"/>
    <xf numFmtId="0" fontId="5" fillId="2" borderId="0" xfId="0" applyFont="1" applyFill="1"/>
    <xf numFmtId="43" fontId="9" fillId="3" borderId="10" xfId="3" applyFont="1" applyFill="1" applyBorder="1" applyAlignment="1" applyProtection="1">
      <alignment horizontal="center"/>
      <protection hidden="1"/>
    </xf>
    <xf numFmtId="166" fontId="4" fillId="3" borderId="0" xfId="3" applyNumberFormat="1" applyFont="1" applyFill="1" applyBorder="1" applyAlignment="1" applyProtection="1">
      <alignment vertical="center"/>
    </xf>
    <xf numFmtId="166" fontId="4" fillId="3" borderId="0" xfId="3" applyNumberFormat="1" applyFont="1" applyFill="1" applyBorder="1" applyAlignment="1">
      <alignment vertical="center"/>
    </xf>
    <xf numFmtId="165" fontId="7" fillId="2" borderId="10" xfId="3" applyNumberFormat="1" applyFont="1" applyFill="1" applyBorder="1" applyAlignment="1" applyProtection="1">
      <alignment vertical="center"/>
      <protection locked="0"/>
    </xf>
    <xf numFmtId="10" fontId="4" fillId="3" borderId="0" xfId="3" applyNumberFormat="1" applyFont="1" applyFill="1" applyBorder="1" applyAlignment="1">
      <alignment vertical="center"/>
    </xf>
    <xf numFmtId="43" fontId="5" fillId="3" borderId="0" xfId="3" applyFont="1" applyFill="1"/>
    <xf numFmtId="43" fontId="4" fillId="3" borderId="8" xfId="3" applyFont="1" applyFill="1" applyBorder="1" applyAlignment="1"/>
    <xf numFmtId="43" fontId="4" fillId="2" borderId="10" xfId="3" applyFont="1" applyFill="1" applyBorder="1" applyProtection="1">
      <protection locked="0"/>
    </xf>
    <xf numFmtId="43" fontId="4" fillId="3" borderId="0" xfId="3" applyFont="1" applyFill="1" applyBorder="1" applyProtection="1">
      <protection hidden="1"/>
    </xf>
    <xf numFmtId="43" fontId="8" fillId="5" borderId="10" xfId="3" applyFont="1" applyFill="1" applyBorder="1" applyAlignment="1" applyProtection="1">
      <alignment horizontal="center"/>
      <protection hidden="1"/>
    </xf>
    <xf numFmtId="0" fontId="0" fillId="3" borderId="0" xfId="0" applyFill="1" applyProtection="1">
      <protection locked="0" hidden="1"/>
    </xf>
    <xf numFmtId="43" fontId="0" fillId="3" borderId="0" xfId="0" applyNumberFormat="1" applyFill="1" applyProtection="1">
      <protection locked="0" hidden="1"/>
    </xf>
    <xf numFmtId="0" fontId="4" fillId="0" borderId="10" xfId="0" applyFont="1" applyBorder="1" applyAlignment="1" applyProtection="1">
      <alignment horizontal="right" vertical="center"/>
      <protection hidden="1"/>
    </xf>
    <xf numFmtId="15" fontId="7" fillId="3" borderId="0" xfId="0" applyNumberFormat="1" applyFont="1" applyFill="1" applyAlignment="1" applyProtection="1">
      <alignment vertical="center"/>
      <protection hidden="1"/>
    </xf>
    <xf numFmtId="0" fontId="3" fillId="3" borderId="10" xfId="0" applyFont="1" applyFill="1" applyBorder="1" applyProtection="1">
      <protection locked="0" hidden="1"/>
    </xf>
    <xf numFmtId="43" fontId="3" fillId="3" borderId="10" xfId="0" applyNumberFormat="1" applyFont="1" applyFill="1" applyBorder="1" applyProtection="1">
      <protection locked="0" hidden="1"/>
    </xf>
    <xf numFmtId="0" fontId="3" fillId="0" borderId="10" xfId="0" applyFont="1" applyBorder="1"/>
    <xf numFmtId="10" fontId="3" fillId="0" borderId="10" xfId="0" applyNumberFormat="1" applyFont="1" applyBorder="1"/>
    <xf numFmtId="0" fontId="8" fillId="4" borderId="17" xfId="0" applyFont="1" applyFill="1" applyBorder="1" applyProtection="1">
      <protection hidden="1"/>
    </xf>
    <xf numFmtId="0" fontId="8" fillId="4" borderId="12" xfId="0" applyFont="1" applyFill="1" applyBorder="1" applyAlignment="1" applyProtection="1">
      <alignment horizontal="right"/>
      <protection hidden="1"/>
    </xf>
    <xf numFmtId="0" fontId="8" fillId="4" borderId="12" xfId="0" applyFont="1" applyFill="1" applyBorder="1" applyAlignment="1" applyProtection="1">
      <alignment horizontal="center"/>
      <protection hidden="1"/>
    </xf>
    <xf numFmtId="43" fontId="8" fillId="4" borderId="12" xfId="0" applyNumberFormat="1" applyFont="1" applyFill="1" applyBorder="1" applyAlignment="1" applyProtection="1">
      <alignment horizontal="center"/>
      <protection hidden="1"/>
    </xf>
    <xf numFmtId="0" fontId="8" fillId="4" borderId="18" xfId="0" applyFont="1" applyFill="1" applyBorder="1" applyAlignment="1" applyProtection="1">
      <alignment horizontal="center"/>
      <protection hidden="1"/>
    </xf>
    <xf numFmtId="15" fontId="9" fillId="3" borderId="4" xfId="0" applyNumberFormat="1" applyFont="1" applyFill="1" applyBorder="1" applyAlignment="1" applyProtection="1">
      <alignment horizontal="center"/>
      <protection hidden="1"/>
    </xf>
    <xf numFmtId="43" fontId="0" fillId="0" borderId="10" xfId="3" applyFont="1" applyBorder="1" applyProtection="1">
      <protection hidden="1"/>
    </xf>
    <xf numFmtId="166" fontId="0" fillId="0" borderId="5" xfId="3" applyNumberFormat="1" applyFont="1" applyBorder="1"/>
    <xf numFmtId="165" fontId="7" fillId="0" borderId="0" xfId="0" applyNumberFormat="1" applyFont="1" applyAlignment="1" applyProtection="1">
      <alignment vertical="center"/>
      <protection hidden="1"/>
    </xf>
    <xf numFmtId="166" fontId="4" fillId="3" borderId="0" xfId="3" applyNumberFormat="1" applyFont="1" applyFill="1" applyBorder="1" applyAlignment="1" applyProtection="1">
      <alignment vertical="center"/>
      <protection hidden="1"/>
    </xf>
    <xf numFmtId="165" fontId="4" fillId="2" borderId="10" xfId="3" applyNumberFormat="1" applyFont="1" applyFill="1" applyBorder="1" applyAlignment="1" applyProtection="1">
      <alignment vertical="center"/>
      <protection locked="0"/>
    </xf>
    <xf numFmtId="167" fontId="4" fillId="2" borderId="10" xfId="0" applyNumberFormat="1" applyFont="1" applyFill="1" applyBorder="1" applyAlignment="1" applyProtection="1">
      <alignment vertical="center"/>
      <protection hidden="1"/>
    </xf>
    <xf numFmtId="43" fontId="5" fillId="3" borderId="0" xfId="0" applyNumberFormat="1" applyFont="1" applyFill="1"/>
    <xf numFmtId="167" fontId="4" fillId="3" borderId="13" xfId="0" applyNumberFormat="1" applyFont="1" applyFill="1" applyBorder="1" applyAlignment="1" applyProtection="1">
      <alignment vertical="center"/>
      <protection hidden="1"/>
    </xf>
    <xf numFmtId="43" fontId="4" fillId="3" borderId="0" xfId="3" applyFont="1" applyFill="1" applyBorder="1" applyProtection="1">
      <protection locked="0"/>
    </xf>
    <xf numFmtId="43" fontId="4" fillId="0" borderId="9" xfId="3" applyFont="1" applyFill="1" applyBorder="1" applyAlignment="1"/>
    <xf numFmtId="0" fontId="5" fillId="0" borderId="0" xfId="0" applyFont="1"/>
    <xf numFmtId="43" fontId="4" fillId="0" borderId="0" xfId="3" applyFont="1" applyFill="1" applyBorder="1" applyProtection="1">
      <protection hidden="1"/>
    </xf>
    <xf numFmtId="43" fontId="7" fillId="3" borderId="9" xfId="4" applyFont="1" applyFill="1" applyBorder="1" applyAlignment="1"/>
    <xf numFmtId="168" fontId="7" fillId="3" borderId="0" xfId="4" applyNumberFormat="1" applyFont="1" applyFill="1" applyBorder="1" applyProtection="1">
      <protection hidden="1"/>
    </xf>
    <xf numFmtId="165" fontId="7" fillId="3" borderId="0" xfId="1" applyNumberFormat="1" applyFont="1" applyFill="1" applyBorder="1" applyProtection="1">
      <protection locked="0"/>
    </xf>
    <xf numFmtId="165" fontId="7" fillId="3" borderId="0" xfId="1" applyNumberFormat="1" applyFont="1" applyFill="1" applyBorder="1" applyProtection="1">
      <protection hidden="1"/>
    </xf>
    <xf numFmtId="43" fontId="4" fillId="3" borderId="9" xfId="4" applyFont="1" applyFill="1" applyBorder="1" applyAlignment="1"/>
    <xf numFmtId="168" fontId="4" fillId="3" borderId="0" xfId="4" applyNumberFormat="1" applyFont="1" applyFill="1" applyBorder="1" applyProtection="1">
      <protection hidden="1"/>
    </xf>
    <xf numFmtId="43" fontId="4" fillId="3" borderId="14" xfId="4" applyFont="1" applyFill="1" applyBorder="1" applyProtection="1">
      <protection hidden="1"/>
    </xf>
    <xf numFmtId="15" fontId="9" fillId="5" borderId="4" xfId="0" applyNumberFormat="1" applyFont="1" applyFill="1" applyBorder="1" applyAlignment="1" applyProtection="1">
      <alignment horizontal="center"/>
      <protection hidden="1"/>
    </xf>
    <xf numFmtId="43" fontId="0" fillId="5" borderId="10" xfId="3" applyFont="1" applyFill="1" applyBorder="1" applyProtection="1">
      <protection hidden="1"/>
    </xf>
    <xf numFmtId="166" fontId="0" fillId="5" borderId="5" xfId="3" applyNumberFormat="1" applyFont="1" applyFill="1" applyBorder="1" applyProtection="1">
      <protection hidden="1"/>
    </xf>
    <xf numFmtId="43" fontId="7" fillId="3" borderId="12" xfId="4" applyFont="1" applyFill="1" applyBorder="1" applyAlignment="1"/>
    <xf numFmtId="43" fontId="4" fillId="3" borderId="19" xfId="4" applyFont="1" applyFill="1" applyBorder="1" applyProtection="1">
      <protection hidden="1"/>
    </xf>
    <xf numFmtId="170" fontId="0" fillId="0" borderId="10" xfId="3" applyNumberFormat="1" applyFont="1" applyBorder="1" applyProtection="1">
      <protection hidden="1"/>
    </xf>
    <xf numFmtId="43" fontId="0" fillId="0" borderId="0" xfId="3" applyFont="1"/>
    <xf numFmtId="15" fontId="0" fillId="0" borderId="0" xfId="0" applyNumberFormat="1"/>
    <xf numFmtId="43" fontId="0" fillId="0" borderId="0" xfId="0" applyNumberFormat="1"/>
    <xf numFmtId="0" fontId="3" fillId="0" borderId="6" xfId="0" applyFont="1" applyBorder="1" applyAlignment="1">
      <alignment horizontal="center"/>
    </xf>
    <xf numFmtId="0" fontId="0" fillId="0" borderId="20" xfId="0" applyBorder="1"/>
    <xf numFmtId="43" fontId="0" fillId="0" borderId="20" xfId="0" applyNumberFormat="1" applyBorder="1"/>
    <xf numFmtId="43" fontId="0" fillId="0" borderId="7" xfId="3" applyFont="1" applyBorder="1"/>
    <xf numFmtId="0" fontId="3" fillId="3" borderId="11" xfId="0" applyFont="1" applyFill="1" applyBorder="1"/>
    <xf numFmtId="43" fontId="0" fillId="3" borderId="0" xfId="3" applyFont="1" applyFill="1"/>
    <xf numFmtId="0" fontId="8" fillId="4" borderId="1" xfId="0" applyFont="1" applyFill="1" applyBorder="1" applyProtection="1">
      <protection hidden="1"/>
    </xf>
    <xf numFmtId="0" fontId="8" fillId="4" borderId="21" xfId="0" applyFont="1" applyFill="1" applyBorder="1" applyAlignment="1" applyProtection="1">
      <alignment horizontal="right"/>
      <protection hidden="1"/>
    </xf>
    <xf numFmtId="0" fontId="8" fillId="4" borderId="21" xfId="0" applyFont="1" applyFill="1" applyBorder="1" applyAlignment="1" applyProtection="1">
      <alignment horizontal="center"/>
      <protection hidden="1"/>
    </xf>
    <xf numFmtId="0" fontId="8" fillId="4" borderId="2" xfId="0" applyFont="1" applyFill="1" applyBorder="1" applyAlignment="1" applyProtection="1">
      <alignment horizontal="center"/>
      <protection hidden="1"/>
    </xf>
    <xf numFmtId="0" fontId="0" fillId="0" borderId="5" xfId="0" applyBorder="1"/>
    <xf numFmtId="171" fontId="9" fillId="3" borderId="5" xfId="0" applyNumberFormat="1" applyFont="1" applyFill="1" applyBorder="1" applyAlignment="1" applyProtection="1">
      <alignment horizontal="center"/>
      <protection hidden="1"/>
    </xf>
    <xf numFmtId="43" fontId="0" fillId="3" borderId="0" xfId="0" applyNumberFormat="1" applyFill="1"/>
    <xf numFmtId="165" fontId="7" fillId="3" borderId="0" xfId="0" applyNumberFormat="1" applyFont="1" applyFill="1" applyAlignment="1" applyProtection="1">
      <alignment vertical="center"/>
      <protection hidden="1"/>
    </xf>
    <xf numFmtId="15" fontId="9" fillId="3" borderId="22" xfId="0" applyNumberFormat="1" applyFont="1" applyFill="1" applyBorder="1" applyAlignment="1" applyProtection="1">
      <alignment horizontal="center"/>
      <protection hidden="1"/>
    </xf>
    <xf numFmtId="0" fontId="5" fillId="3" borderId="23" xfId="0" applyFont="1" applyFill="1" applyBorder="1"/>
    <xf numFmtId="0" fontId="3" fillId="5" borderId="24" xfId="0" applyFont="1" applyFill="1" applyBorder="1"/>
    <xf numFmtId="15" fontId="9" fillId="2" borderId="11" xfId="0" applyNumberFormat="1" applyFont="1" applyFill="1" applyBorder="1" applyAlignment="1" applyProtection="1">
      <alignment horizontal="center"/>
      <protection hidden="1"/>
    </xf>
    <xf numFmtId="43" fontId="9" fillId="2" borderId="16" xfId="3" applyFont="1" applyFill="1" applyBorder="1" applyAlignment="1" applyProtection="1">
      <alignment horizontal="center"/>
      <protection hidden="1"/>
    </xf>
    <xf numFmtId="164" fontId="9" fillId="2" borderId="10" xfId="0" applyNumberFormat="1" applyFont="1" applyFill="1" applyBorder="1" applyProtection="1">
      <protection hidden="1"/>
    </xf>
    <xf numFmtId="164" fontId="9" fillId="2" borderId="10" xfId="0" applyNumberFormat="1" applyFont="1" applyFill="1" applyBorder="1" applyAlignment="1" applyProtection="1">
      <alignment horizontal="center"/>
      <protection hidden="1"/>
    </xf>
    <xf numFmtId="171" fontId="9" fillId="2" borderId="5" xfId="0" applyNumberFormat="1" applyFont="1" applyFill="1" applyBorder="1" applyAlignment="1" applyProtection="1">
      <alignment horizontal="center"/>
      <protection hidden="1"/>
    </xf>
    <xf numFmtId="15" fontId="9" fillId="3" borderId="17" xfId="0" applyNumberFormat="1" applyFont="1" applyFill="1" applyBorder="1" applyAlignment="1" applyProtection="1">
      <alignment horizontal="center"/>
      <protection hidden="1"/>
    </xf>
    <xf numFmtId="0" fontId="0" fillId="0" borderId="23" xfId="0" applyBorder="1"/>
    <xf numFmtId="167" fontId="4" fillId="2" borderId="11" xfId="0" applyNumberFormat="1" applyFont="1" applyFill="1" applyBorder="1" applyAlignment="1" applyProtection="1">
      <alignment vertical="center"/>
      <protection hidden="1"/>
    </xf>
    <xf numFmtId="15" fontId="9" fillId="2" borderId="4" xfId="0" applyNumberFormat="1" applyFont="1" applyFill="1" applyBorder="1" applyAlignment="1" applyProtection="1">
      <alignment horizontal="center"/>
      <protection hidden="1"/>
    </xf>
    <xf numFmtId="43" fontId="9" fillId="2" borderId="10" xfId="3" applyFont="1" applyFill="1" applyBorder="1" applyAlignment="1" applyProtection="1">
      <alignment horizontal="center"/>
      <protection hidden="1"/>
    </xf>
    <xf numFmtId="171" fontId="9" fillId="0" borderId="5" xfId="0" applyNumberFormat="1" applyFont="1" applyBorder="1" applyAlignment="1" applyProtection="1">
      <alignment horizontal="center"/>
      <protection hidden="1"/>
    </xf>
    <xf numFmtId="43" fontId="4" fillId="3" borderId="10" xfId="3" applyFont="1" applyFill="1" applyBorder="1" applyProtection="1">
      <protection locked="0"/>
    </xf>
    <xf numFmtId="168" fontId="7" fillId="3" borderId="0" xfId="4" applyNumberFormat="1" applyFont="1" applyFill="1" applyProtection="1">
      <protection hidden="1"/>
    </xf>
    <xf numFmtId="0" fontId="0" fillId="0" borderId="10" xfId="0" applyBorder="1"/>
    <xf numFmtId="43" fontId="0" fillId="0" borderId="5" xfId="0" applyNumberFormat="1" applyBorder="1"/>
    <xf numFmtId="168" fontId="4" fillId="3" borderId="0" xfId="4" applyNumberFormat="1" applyFont="1" applyFill="1" applyProtection="1">
      <protection hidden="1"/>
    </xf>
    <xf numFmtId="0" fontId="0" fillId="3" borderId="0" xfId="0" applyFill="1" applyAlignment="1">
      <alignment horizontal="right"/>
    </xf>
    <xf numFmtId="0" fontId="3" fillId="0" borderId="11" xfId="0" applyFont="1" applyBorder="1"/>
    <xf numFmtId="0" fontId="3" fillId="3" borderId="25" xfId="0" applyFont="1" applyFill="1" applyBorder="1"/>
    <xf numFmtId="0" fontId="8" fillId="4" borderId="1" xfId="0" applyFont="1" applyFill="1" applyBorder="1" applyAlignment="1" applyProtection="1">
      <alignment horizontal="right"/>
      <protection hidden="1"/>
    </xf>
    <xf numFmtId="0" fontId="0" fillId="3" borderId="26" xfId="0" applyFill="1" applyBorder="1"/>
    <xf numFmtId="15" fontId="9" fillId="3" borderId="4" xfId="0" applyNumberFormat="1" applyFont="1" applyFill="1" applyBorder="1" applyAlignment="1" applyProtection="1">
      <alignment horizontal="right"/>
      <protection hidden="1"/>
    </xf>
    <xf numFmtId="43" fontId="10" fillId="3" borderId="0" xfId="3" applyFont="1" applyFill="1" applyAlignment="1">
      <alignment vertical="center"/>
    </xf>
    <xf numFmtId="166" fontId="4" fillId="3" borderId="0" xfId="3" applyNumberFormat="1" applyFont="1" applyFill="1" applyAlignment="1" applyProtection="1">
      <alignment vertical="center"/>
      <protection hidden="1"/>
    </xf>
    <xf numFmtId="166" fontId="4" fillId="3" borderId="0" xfId="3" applyNumberFormat="1" applyFont="1" applyFill="1" applyAlignment="1">
      <alignment vertical="center"/>
    </xf>
    <xf numFmtId="0" fontId="3" fillId="3" borderId="26" xfId="0" applyFont="1" applyFill="1" applyBorder="1"/>
    <xf numFmtId="15" fontId="9" fillId="2" borderId="4" xfId="0" applyNumberFormat="1" applyFont="1" applyFill="1" applyBorder="1" applyAlignment="1" applyProtection="1">
      <alignment horizontal="right"/>
      <protection hidden="1"/>
    </xf>
    <xf numFmtId="10" fontId="4" fillId="3" borderId="0" xfId="3" applyNumberFormat="1" applyFont="1" applyFill="1" applyAlignment="1">
      <alignment vertical="center"/>
    </xf>
    <xf numFmtId="11" fontId="5" fillId="3" borderId="0" xfId="0" applyNumberFormat="1" applyFont="1" applyFill="1"/>
    <xf numFmtId="43" fontId="4" fillId="3" borderId="8" xfId="3" applyFont="1" applyFill="1" applyBorder="1"/>
    <xf numFmtId="43" fontId="4" fillId="0" borderId="9" xfId="3" applyFont="1" applyFill="1" applyBorder="1"/>
    <xf numFmtId="43" fontId="4" fillId="0" borderId="0" xfId="3" applyFont="1" applyFill="1" applyProtection="1">
      <protection hidden="1"/>
    </xf>
    <xf numFmtId="0" fontId="3" fillId="3" borderId="27" xfId="0" applyFont="1" applyFill="1" applyBorder="1"/>
    <xf numFmtId="43" fontId="7" fillId="3" borderId="9" xfId="4" applyFont="1" applyFill="1" applyBorder="1"/>
    <xf numFmtId="0" fontId="3" fillId="0" borderId="6" xfId="0" applyFont="1" applyBorder="1" applyAlignment="1">
      <alignment horizontal="right"/>
    </xf>
    <xf numFmtId="171" fontId="3" fillId="0" borderId="7" xfId="0" applyNumberFormat="1" applyFont="1" applyBorder="1"/>
    <xf numFmtId="43" fontId="4" fillId="3" borderId="9" xfId="4" applyFont="1" applyFill="1" applyBorder="1"/>
    <xf numFmtId="0" fontId="0" fillId="0" borderId="0" xfId="0" applyAlignment="1">
      <alignment horizontal="right"/>
    </xf>
    <xf numFmtId="43" fontId="0" fillId="0" borderId="0" xfId="0" applyNumberFormat="1" applyAlignment="1">
      <alignment horizontal="right"/>
    </xf>
    <xf numFmtId="43" fontId="7" fillId="0" borderId="12" xfId="4" applyFont="1" applyFill="1" applyBorder="1"/>
    <xf numFmtId="43" fontId="4" fillId="0" borderId="14" xfId="4" applyFont="1" applyFill="1" applyBorder="1" applyProtection="1">
      <protection hidden="1"/>
    </xf>
    <xf numFmtId="167" fontId="0" fillId="3" borderId="0" xfId="0" applyNumberFormat="1" applyFill="1"/>
    <xf numFmtId="0" fontId="3" fillId="6" borderId="24" xfId="0" applyFont="1" applyFill="1" applyBorder="1" applyAlignment="1">
      <alignment horizontal="center"/>
    </xf>
    <xf numFmtId="0" fontId="3" fillId="6" borderId="28" xfId="0" applyFont="1" applyFill="1" applyBorder="1" applyAlignment="1">
      <alignment horizontal="center"/>
    </xf>
    <xf numFmtId="43" fontId="4" fillId="7" borderId="9" xfId="3" applyFont="1" applyFill="1" applyBorder="1"/>
    <xf numFmtId="0" fontId="5" fillId="7" borderId="0" xfId="0" applyFont="1" applyFill="1"/>
    <xf numFmtId="43" fontId="4" fillId="7" borderId="0" xfId="3" applyFont="1" applyFill="1" applyProtection="1">
      <protection hidden="1"/>
    </xf>
    <xf numFmtId="43" fontId="9" fillId="2" borderId="8" xfId="3" applyFont="1" applyFill="1" applyBorder="1" applyAlignment="1" applyProtection="1">
      <alignment horizontal="center"/>
      <protection hidden="1"/>
    </xf>
    <xf numFmtId="164" fontId="9" fillId="2" borderId="8" xfId="0" applyNumberFormat="1" applyFont="1" applyFill="1" applyBorder="1" applyProtection="1">
      <protection hidden="1"/>
    </xf>
    <xf numFmtId="164" fontId="9" fillId="2" borderId="8" xfId="0" applyNumberFormat="1" applyFont="1" applyFill="1" applyBorder="1" applyAlignment="1" applyProtection="1">
      <alignment horizontal="center"/>
      <protection hidden="1"/>
    </xf>
    <xf numFmtId="171" fontId="9" fillId="2" borderId="29" xfId="0" applyNumberFormat="1" applyFont="1" applyFill="1" applyBorder="1" applyAlignment="1" applyProtection="1">
      <alignment horizontal="center"/>
      <protection hidden="1"/>
    </xf>
    <xf numFmtId="0" fontId="3" fillId="0" borderId="30" xfId="0" applyFont="1" applyBorder="1"/>
    <xf numFmtId="0" fontId="0" fillId="0" borderId="31" xfId="0" applyBorder="1"/>
    <xf numFmtId="164" fontId="0" fillId="0" borderId="32" xfId="0" applyNumberFormat="1" applyBorder="1"/>
    <xf numFmtId="43" fontId="7" fillId="3" borderId="12" xfId="4" applyFont="1" applyFill="1" applyBorder="1"/>
  </cellXfs>
  <cellStyles count="5">
    <cellStyle name="Comma 3" xfId="3" xr:uid="{9F416B26-7C42-4144-8349-6C4AE419E922}"/>
    <cellStyle name="Comma 3 3" xfId="4" xr:uid="{1A4D9593-0EE8-4C42-9D0F-25CAD1801740}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70</xdr:row>
      <xdr:rowOff>142875</xdr:rowOff>
    </xdr:from>
    <xdr:to>
      <xdr:col>7</xdr:col>
      <xdr:colOff>692150</xdr:colOff>
      <xdr:row>95</xdr:row>
      <xdr:rowOff>47625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8C1EC8E-BD4F-5A22-8C0D-ADBEF125E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2811125"/>
          <a:ext cx="7267575" cy="442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ffat\Desktop\Bond%20Calculator-IFBs.xlsx" TargetMode="External"/><Relationship Id="rId1" Type="http://schemas.openxmlformats.org/officeDocument/2006/relationships/externalLinkPath" Target="/Users/amoffat/Desktop/Bond%20Calculator-IFB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oKBondListing"/>
      <sheetName val="FXD Calc"/>
      <sheetName val="T-bill Calc (2)"/>
      <sheetName val="T-bill Calc"/>
      <sheetName val="IFB1.2009.12Calc"/>
      <sheetName val="IFB2.2009.12Calc"/>
      <sheetName val="IFB1.2011.12"/>
      <sheetName val="IFB1.2013.12"/>
      <sheetName val="IFB1.2014.12"/>
      <sheetName val="IFB1.2015.12"/>
      <sheetName val="IFB1.2015.9"/>
      <sheetName val="IFB1.2016.9"/>
      <sheetName val="IFB1.2016.15"/>
      <sheetName val="IFB1.2017.12"/>
      <sheetName val="IFB1.2017.7"/>
      <sheetName val="IFB1.2018.20"/>
      <sheetName val="IFB1.2019.25"/>
      <sheetName val="IFB1.2019.16"/>
      <sheetName val="IFB1.2020.9"/>
      <sheetName val="IFB1.2020.6"/>
      <sheetName val="IFB1.2020.11"/>
      <sheetName val="IFB1.2021.16"/>
      <sheetName val="IFB1.2021.18"/>
      <sheetName val="IFB1.2022.19"/>
      <sheetName val="IFB1.2021.21"/>
      <sheetName val="IFB1.2022.18"/>
      <sheetName val="IFB1.2022.14"/>
      <sheetName val="IFB1.2022.6"/>
      <sheetName val="IFB1.2018.15"/>
      <sheetName val="IFB1.2023.17"/>
      <sheetName val="IFB1.2023.7"/>
      <sheetName val="IFB1.2023.6.5"/>
      <sheetName val="IFB1.2024.8.5"/>
      <sheetName val="Odd L"/>
      <sheetName val="Calc"/>
      <sheetName val="Clients"/>
      <sheetName val="Presentation"/>
      <sheetName val="Sheet1"/>
      <sheetName val="Sheet2"/>
      <sheetName val="Sheet3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3566-77BD-4ADF-832F-7A8AE4704D65}">
  <sheetPr>
    <tabColor rgb="FF92D050"/>
  </sheetPr>
  <dimension ref="A1:L39"/>
  <sheetViews>
    <sheetView showGridLines="0" tabSelected="1" workbookViewId="0">
      <selection activeCell="F13" sqref="F13"/>
    </sheetView>
  </sheetViews>
  <sheetFormatPr defaultRowHeight="14.5" x14ac:dyDescent="0.35"/>
  <cols>
    <col min="1" max="1" width="23.453125" customWidth="1"/>
    <col min="2" max="2" width="1.26953125" customWidth="1"/>
    <col min="3" max="3" width="18.81640625" customWidth="1"/>
    <col min="4" max="4" width="7.90625" bestFit="1" customWidth="1"/>
    <col min="5" max="5" width="17.7265625" customWidth="1"/>
    <col min="6" max="6" width="32.6328125" customWidth="1"/>
    <col min="7" max="7" width="17" customWidth="1"/>
    <col min="8" max="8" width="16.81640625" customWidth="1"/>
    <col min="9" max="9" width="10.26953125" customWidth="1"/>
    <col min="10" max="10" width="10.1796875" customWidth="1"/>
    <col min="11" max="11" width="13.54296875" customWidth="1"/>
    <col min="12" max="12" width="13.1796875" customWidth="1"/>
  </cols>
  <sheetData>
    <row r="1" spans="1:12" x14ac:dyDescent="0.35">
      <c r="A1" s="4" t="s">
        <v>0</v>
      </c>
      <c r="B1" s="4"/>
      <c r="C1" s="5"/>
      <c r="D1" s="5"/>
      <c r="E1" s="6"/>
      <c r="F1" s="7"/>
      <c r="G1" s="8"/>
      <c r="H1" s="8"/>
      <c r="I1" s="8"/>
      <c r="J1" s="8"/>
      <c r="K1" s="8"/>
    </row>
    <row r="2" spans="1:12" x14ac:dyDescent="0.35">
      <c r="A2" s="6"/>
      <c r="B2" s="6"/>
      <c r="C2" s="6"/>
      <c r="D2" s="6"/>
      <c r="E2" s="6"/>
      <c r="F2" s="8"/>
      <c r="G2" s="8"/>
      <c r="H2" s="8"/>
      <c r="I2" s="8"/>
      <c r="J2" s="8"/>
      <c r="K2" s="8"/>
    </row>
    <row r="3" spans="1:12" x14ac:dyDescent="0.35">
      <c r="A3" s="9" t="s">
        <v>1</v>
      </c>
      <c r="B3" s="6"/>
      <c r="C3" s="10" t="s">
        <v>2</v>
      </c>
      <c r="D3" s="6"/>
      <c r="E3" s="6"/>
      <c r="F3" s="8"/>
      <c r="G3" s="8" t="s">
        <v>3</v>
      </c>
      <c r="H3" s="8"/>
      <c r="I3" s="8"/>
      <c r="J3" s="8"/>
      <c r="K3" s="8"/>
    </row>
    <row r="4" spans="1:12" x14ac:dyDescent="0.35">
      <c r="A4" s="11" t="s">
        <v>4</v>
      </c>
      <c r="B4" s="6"/>
      <c r="C4" s="12" t="s">
        <v>5</v>
      </c>
      <c r="D4" s="13"/>
      <c r="E4" s="13"/>
      <c r="F4" s="14"/>
      <c r="G4" s="8">
        <f ca="1">(C6-C10)/364</f>
        <v>7.4010989010989015</v>
      </c>
      <c r="H4" s="8"/>
      <c r="I4" s="8"/>
      <c r="J4" s="8"/>
      <c r="K4" s="8"/>
    </row>
    <row r="5" spans="1:12" x14ac:dyDescent="0.35">
      <c r="A5" s="11" t="s">
        <v>6</v>
      </c>
      <c r="B5" s="15"/>
      <c r="C5" s="16">
        <v>43129</v>
      </c>
      <c r="D5" s="6"/>
      <c r="E5" s="6"/>
      <c r="F5" s="8"/>
      <c r="G5" s="8"/>
      <c r="H5" s="8"/>
      <c r="I5" s="8"/>
      <c r="J5" s="8"/>
      <c r="K5" s="8"/>
    </row>
    <row r="6" spans="1:12" x14ac:dyDescent="0.35">
      <c r="A6" s="11" t="s">
        <v>7</v>
      </c>
      <c r="B6" s="15"/>
      <c r="C6" s="16">
        <f>C5+(364*15)</f>
        <v>48589</v>
      </c>
      <c r="D6" s="6"/>
      <c r="E6" s="6"/>
      <c r="F6" s="8"/>
      <c r="G6" s="17" t="s">
        <v>8</v>
      </c>
      <c r="H6" s="18" t="s">
        <v>9</v>
      </c>
      <c r="I6" s="19" t="s">
        <v>10</v>
      </c>
      <c r="J6" s="19" t="s">
        <v>11</v>
      </c>
      <c r="K6" s="19" t="s">
        <v>12</v>
      </c>
      <c r="L6" s="19" t="s">
        <v>13</v>
      </c>
    </row>
    <row r="7" spans="1:12" x14ac:dyDescent="0.35">
      <c r="A7" s="11" t="s">
        <v>14</v>
      </c>
      <c r="B7" s="15"/>
      <c r="C7" s="16">
        <f ca="1">LOOKUP(C11,G7:G39)</f>
        <v>45859</v>
      </c>
      <c r="D7" s="6"/>
      <c r="E7" s="6"/>
      <c r="F7" s="8"/>
      <c r="G7" s="20">
        <v>43129</v>
      </c>
      <c r="H7" s="53">
        <f t="shared" ref="H7:H27" ca="1" si="0">+(G7-$C$11)/364</f>
        <v>-7.5989010989010985</v>
      </c>
      <c r="I7" s="21">
        <f t="shared" ref="I7:I27" si="1">+$C$13*$C$14/2</f>
        <v>6.25</v>
      </c>
      <c r="J7" s="22">
        <f t="shared" ref="J7:J27" ca="1" si="2">1/((1+$C$16/2)^(2*H7))</f>
        <v>2.4243400425537183</v>
      </c>
      <c r="K7" s="22">
        <f t="shared" ref="K7:K27" ca="1" si="3">IF(G7&lt;=$C$11,0,+I7*J7)</f>
        <v>0</v>
      </c>
      <c r="L7" s="22">
        <f ca="1">IF(G7&lt;=$C$11,0,I7/100*$C$22)</f>
        <v>0</v>
      </c>
    </row>
    <row r="8" spans="1:12" x14ac:dyDescent="0.35">
      <c r="A8" s="11" t="s">
        <v>15</v>
      </c>
      <c r="B8" s="15"/>
      <c r="C8" s="16">
        <f ca="1">LOOKUP(C11,G7:G39)+182</f>
        <v>46041</v>
      </c>
      <c r="D8" s="6"/>
      <c r="E8" s="6"/>
      <c r="F8" s="8"/>
      <c r="G8" s="20">
        <f>G7+182</f>
        <v>43311</v>
      </c>
      <c r="H8" s="53">
        <f t="shared" ca="1" si="0"/>
        <v>-7.0989010989010985</v>
      </c>
      <c r="I8" s="21">
        <f t="shared" si="1"/>
        <v>6.25</v>
      </c>
      <c r="J8" s="22">
        <f t="shared" ca="1" si="2"/>
        <v>2.2871132476921874</v>
      </c>
      <c r="K8" s="22">
        <f t="shared" ca="1" si="3"/>
        <v>0</v>
      </c>
      <c r="L8" s="22">
        <f t="shared" ref="L8:L27" ca="1" si="4">IF(G8&lt;=$C$11,0,I8/100*$C$22)</f>
        <v>0</v>
      </c>
    </row>
    <row r="9" spans="1:12" x14ac:dyDescent="0.35">
      <c r="A9" s="11"/>
      <c r="B9" s="15"/>
      <c r="C9" s="16"/>
      <c r="D9" s="6"/>
      <c r="E9" s="6"/>
      <c r="F9" s="8"/>
      <c r="G9" s="20">
        <f t="shared" ref="G9:G27" si="5">G8+182</f>
        <v>43493</v>
      </c>
      <c r="H9" s="53">
        <f t="shared" ca="1" si="0"/>
        <v>-6.5989010989010985</v>
      </c>
      <c r="I9" s="21">
        <f t="shared" si="1"/>
        <v>6.25</v>
      </c>
      <c r="J9" s="22">
        <f t="shared" ca="1" si="2"/>
        <v>2.15765400725678</v>
      </c>
      <c r="K9" s="22">
        <f t="shared" ca="1" si="3"/>
        <v>0</v>
      </c>
      <c r="L9" s="22">
        <f t="shared" ca="1" si="4"/>
        <v>0</v>
      </c>
    </row>
    <row r="10" spans="1:12" x14ac:dyDescent="0.35">
      <c r="A10" s="23" t="s">
        <v>16</v>
      </c>
      <c r="B10" s="15"/>
      <c r="C10" s="24">
        <f ca="1">C11</f>
        <v>45895</v>
      </c>
      <c r="D10" s="6"/>
      <c r="E10" s="6"/>
      <c r="F10" s="8"/>
      <c r="G10" s="20">
        <f t="shared" si="5"/>
        <v>43675</v>
      </c>
      <c r="H10" s="53">
        <f t="shared" ca="1" si="0"/>
        <v>-6.0989010989010985</v>
      </c>
      <c r="I10" s="21">
        <f t="shared" si="1"/>
        <v>6.25</v>
      </c>
      <c r="J10" s="22">
        <f t="shared" ca="1" si="2"/>
        <v>2.0355226483554527</v>
      </c>
      <c r="K10" s="22">
        <f t="shared" ca="1" si="3"/>
        <v>0</v>
      </c>
      <c r="L10" s="22">
        <f t="shared" ca="1" si="4"/>
        <v>0</v>
      </c>
    </row>
    <row r="11" spans="1:12" x14ac:dyDescent="0.35">
      <c r="A11" s="23" t="s">
        <v>17</v>
      </c>
      <c r="B11" s="25"/>
      <c r="C11" s="24">
        <f ca="1">TODAY()+4</f>
        <v>45895</v>
      </c>
      <c r="D11" s="6"/>
      <c r="E11" s="6"/>
      <c r="F11" s="8"/>
      <c r="G11" s="20">
        <f t="shared" si="5"/>
        <v>43857</v>
      </c>
      <c r="H11" s="53">
        <f t="shared" ca="1" si="0"/>
        <v>-5.5989010989010985</v>
      </c>
      <c r="I11" s="21">
        <f t="shared" si="1"/>
        <v>6.25</v>
      </c>
      <c r="J11" s="22">
        <f t="shared" ca="1" si="2"/>
        <v>1.9203043852409933</v>
      </c>
      <c r="K11" s="22">
        <f t="shared" ca="1" si="3"/>
        <v>0</v>
      </c>
      <c r="L11" s="22">
        <f t="shared" ca="1" si="4"/>
        <v>0</v>
      </c>
    </row>
    <row r="12" spans="1:12" x14ac:dyDescent="0.35">
      <c r="A12" s="23"/>
      <c r="B12" s="25"/>
      <c r="C12" s="26"/>
      <c r="D12" s="6"/>
      <c r="E12" s="6"/>
      <c r="F12" s="8"/>
      <c r="G12" s="20">
        <f t="shared" si="5"/>
        <v>44039</v>
      </c>
      <c r="H12" s="53">
        <f t="shared" ca="1" si="0"/>
        <v>-5.0989010989010985</v>
      </c>
      <c r="I12" s="21">
        <f t="shared" si="1"/>
        <v>6.25</v>
      </c>
      <c r="J12" s="22">
        <f t="shared" ca="1" si="2"/>
        <v>1.8116079106047103</v>
      </c>
      <c r="K12" s="22">
        <f t="shared" ca="1" si="3"/>
        <v>0</v>
      </c>
      <c r="L12" s="22">
        <f t="shared" ca="1" si="4"/>
        <v>0</v>
      </c>
    </row>
    <row r="13" spans="1:12" x14ac:dyDescent="0.35">
      <c r="A13" s="11" t="s">
        <v>18</v>
      </c>
      <c r="B13" s="15"/>
      <c r="C13" s="27">
        <v>0.125</v>
      </c>
      <c r="D13" s="6"/>
      <c r="E13" s="6"/>
      <c r="F13" s="8"/>
      <c r="G13" s="20">
        <f t="shared" si="5"/>
        <v>44221</v>
      </c>
      <c r="H13" s="53">
        <f t="shared" ca="1" si="0"/>
        <v>-4.5989010989010985</v>
      </c>
      <c r="I13" s="21">
        <f t="shared" si="1"/>
        <v>6.25</v>
      </c>
      <c r="J13" s="22">
        <f t="shared" ca="1" si="2"/>
        <v>1.7090640666082173</v>
      </c>
      <c r="K13" s="22">
        <f t="shared" ca="1" si="3"/>
        <v>0</v>
      </c>
      <c r="L13" s="22">
        <f t="shared" ca="1" si="4"/>
        <v>0</v>
      </c>
    </row>
    <row r="14" spans="1:12" x14ac:dyDescent="0.35">
      <c r="A14" s="11" t="s">
        <v>19</v>
      </c>
      <c r="B14" s="15"/>
      <c r="C14" s="54">
        <v>100</v>
      </c>
      <c r="D14" s="6"/>
      <c r="E14" s="6"/>
      <c r="F14" s="8"/>
      <c r="G14" s="20">
        <f>G13+182</f>
        <v>44403</v>
      </c>
      <c r="H14" s="53">
        <f t="shared" ca="1" si="0"/>
        <v>-4.0989010989010985</v>
      </c>
      <c r="I14" s="21">
        <f t="shared" si="1"/>
        <v>6.25</v>
      </c>
      <c r="J14" s="22">
        <f t="shared" ca="1" si="2"/>
        <v>1.6123245911398276</v>
      </c>
      <c r="K14" s="22">
        <f t="shared" ca="1" si="3"/>
        <v>0</v>
      </c>
      <c r="L14" s="22">
        <f t="shared" ca="1" si="4"/>
        <v>0</v>
      </c>
    </row>
    <row r="15" spans="1:12" x14ac:dyDescent="0.35">
      <c r="A15" s="11"/>
      <c r="B15" s="15"/>
      <c r="C15" s="55"/>
      <c r="D15" s="6"/>
      <c r="E15" s="6"/>
      <c r="F15" s="8"/>
      <c r="G15" s="20">
        <f t="shared" si="5"/>
        <v>44585</v>
      </c>
      <c r="H15" s="53">
        <f t="shared" ca="1" si="0"/>
        <v>-3.598901098901099</v>
      </c>
      <c r="I15" s="21">
        <f t="shared" si="1"/>
        <v>6.25</v>
      </c>
      <c r="J15" s="22">
        <f t="shared" ca="1" si="2"/>
        <v>1.5210609350375732</v>
      </c>
      <c r="K15" s="22">
        <f t="shared" ca="1" si="3"/>
        <v>0</v>
      </c>
      <c r="L15" s="22">
        <f t="shared" ca="1" si="4"/>
        <v>0</v>
      </c>
    </row>
    <row r="16" spans="1:12" x14ac:dyDescent="0.35">
      <c r="A16" s="23" t="s">
        <v>20</v>
      </c>
      <c r="B16" s="25"/>
      <c r="C16" s="56">
        <v>0.12</v>
      </c>
      <c r="D16" s="6"/>
      <c r="E16" s="6"/>
      <c r="F16" s="8"/>
      <c r="G16" s="20">
        <f t="shared" si="5"/>
        <v>44767</v>
      </c>
      <c r="H16" s="53">
        <f t="shared" ca="1" si="0"/>
        <v>-3.098901098901099</v>
      </c>
      <c r="I16" s="21">
        <f t="shared" si="1"/>
        <v>6.25</v>
      </c>
      <c r="J16" s="22">
        <f t="shared" ca="1" si="2"/>
        <v>1.4349631462618615</v>
      </c>
      <c r="K16" s="22">
        <f t="shared" ca="1" si="3"/>
        <v>0</v>
      </c>
      <c r="L16" s="22">
        <f t="shared" ca="1" si="4"/>
        <v>0</v>
      </c>
    </row>
    <row r="17" spans="1:12" ht="15" thickBot="1" x14ac:dyDescent="0.4">
      <c r="A17" s="23"/>
      <c r="B17" s="25"/>
      <c r="C17" s="57"/>
      <c r="D17" s="6"/>
      <c r="E17" s="58"/>
      <c r="F17" s="8"/>
      <c r="G17" s="20">
        <f t="shared" si="5"/>
        <v>44949</v>
      </c>
      <c r="H17" s="53">
        <f t="shared" ca="1" si="0"/>
        <v>-2.598901098901099</v>
      </c>
      <c r="I17" s="21">
        <f t="shared" si="1"/>
        <v>6.25</v>
      </c>
      <c r="J17" s="22">
        <f t="shared" ca="1" si="2"/>
        <v>1.3537388172281712</v>
      </c>
      <c r="K17" s="22">
        <f t="shared" ca="1" si="3"/>
        <v>0</v>
      </c>
      <c r="L17" s="22">
        <f t="shared" ca="1" si="4"/>
        <v>0</v>
      </c>
    </row>
    <row r="18" spans="1:12" ht="15" thickBot="1" x14ac:dyDescent="0.4">
      <c r="A18" s="23" t="s">
        <v>21</v>
      </c>
      <c r="B18" s="25"/>
      <c r="C18" s="28">
        <f ca="1">ROUND(SUM(K7:K39)/C14*100, 4)</f>
        <v>103.0591</v>
      </c>
      <c r="D18" s="6"/>
      <c r="E18" s="58"/>
      <c r="F18" s="8"/>
      <c r="G18" s="20">
        <f t="shared" si="5"/>
        <v>45131</v>
      </c>
      <c r="H18" s="53">
        <f t="shared" ca="1" si="0"/>
        <v>-2.098901098901099</v>
      </c>
      <c r="I18" s="21">
        <f t="shared" si="1"/>
        <v>6.25</v>
      </c>
      <c r="J18" s="22">
        <f t="shared" ca="1" si="2"/>
        <v>1.2771120917246896</v>
      </c>
      <c r="K18" s="22">
        <f t="shared" ca="1" si="3"/>
        <v>0</v>
      </c>
      <c r="L18" s="22">
        <f t="shared" ca="1" si="4"/>
        <v>0</v>
      </c>
    </row>
    <row r="19" spans="1:12" x14ac:dyDescent="0.35">
      <c r="A19" s="11" t="s">
        <v>22</v>
      </c>
      <c r="B19" s="15"/>
      <c r="C19" s="29">
        <f ca="1">(C11-C7)/364*C13*100</f>
        <v>1.2362637362637363</v>
      </c>
      <c r="D19" s="6"/>
      <c r="E19" s="6"/>
      <c r="F19" s="8"/>
      <c r="G19" s="20">
        <f t="shared" si="5"/>
        <v>45313</v>
      </c>
      <c r="H19" s="53">
        <f t="shared" ca="1" si="0"/>
        <v>-1.598901098901099</v>
      </c>
      <c r="I19" s="21">
        <f t="shared" si="1"/>
        <v>6.25</v>
      </c>
      <c r="J19" s="22">
        <f t="shared" ca="1" si="2"/>
        <v>1.20482272804216</v>
      </c>
      <c r="K19" s="22">
        <f t="shared" ca="1" si="3"/>
        <v>0</v>
      </c>
      <c r="L19" s="22">
        <f t="shared" ca="1" si="4"/>
        <v>0</v>
      </c>
    </row>
    <row r="20" spans="1:12" x14ac:dyDescent="0.35">
      <c r="A20" s="30" t="s">
        <v>23</v>
      </c>
      <c r="B20" s="25"/>
      <c r="C20" s="31">
        <f ca="1">+C18-C19</f>
        <v>101.82283626373626</v>
      </c>
      <c r="D20" s="6"/>
      <c r="E20" s="6"/>
      <c r="F20" s="8"/>
      <c r="G20" s="20">
        <f t="shared" si="5"/>
        <v>45495</v>
      </c>
      <c r="H20" s="53">
        <f t="shared" ca="1" si="0"/>
        <v>-1.098901098901099</v>
      </c>
      <c r="I20" s="21">
        <f t="shared" si="1"/>
        <v>6.25</v>
      </c>
      <c r="J20" s="22">
        <f t="shared" ca="1" si="2"/>
        <v>1.1366252151341132</v>
      </c>
      <c r="K20" s="22">
        <f t="shared" ca="1" si="3"/>
        <v>0</v>
      </c>
      <c r="L20" s="22">
        <f t="shared" ca="1" si="4"/>
        <v>0</v>
      </c>
    </row>
    <row r="21" spans="1:12" x14ac:dyDescent="0.35">
      <c r="A21" s="6"/>
      <c r="B21" s="6"/>
      <c r="C21" s="6"/>
      <c r="D21" s="6"/>
      <c r="E21" s="6"/>
      <c r="F21" s="8"/>
      <c r="G21" s="20">
        <f t="shared" si="5"/>
        <v>45677</v>
      </c>
      <c r="H21" s="53">
        <f t="shared" ca="1" si="0"/>
        <v>-0.59890109890109888</v>
      </c>
      <c r="I21" s="21">
        <f t="shared" si="1"/>
        <v>6.25</v>
      </c>
      <c r="J21" s="22">
        <f t="shared" ca="1" si="2"/>
        <v>1.0722879388057671</v>
      </c>
      <c r="K21" s="22">
        <f t="shared" ca="1" si="3"/>
        <v>0</v>
      </c>
      <c r="L21" s="22">
        <f t="shared" ca="1" si="4"/>
        <v>0</v>
      </c>
    </row>
    <row r="22" spans="1:12" x14ac:dyDescent="0.35">
      <c r="A22" s="59" t="s">
        <v>24</v>
      </c>
      <c r="B22" s="6"/>
      <c r="C22" s="60">
        <v>500000</v>
      </c>
      <c r="D22" s="6"/>
      <c r="E22" s="6"/>
      <c r="F22" s="8"/>
      <c r="G22" s="20">
        <f t="shared" si="5"/>
        <v>45859</v>
      </c>
      <c r="H22" s="53">
        <f t="shared" ca="1" si="0"/>
        <v>-9.8901098901098897E-2</v>
      </c>
      <c r="I22" s="21">
        <f t="shared" si="1"/>
        <v>6.25</v>
      </c>
      <c r="J22" s="22">
        <f t="shared" ca="1" si="2"/>
        <v>1.0115923950997803</v>
      </c>
      <c r="K22" s="22">
        <f t="shared" ca="1" si="3"/>
        <v>0</v>
      </c>
      <c r="L22" s="22">
        <f t="shared" ca="1" si="4"/>
        <v>0</v>
      </c>
    </row>
    <row r="23" spans="1:12" x14ac:dyDescent="0.35">
      <c r="A23" s="35" t="s">
        <v>25</v>
      </c>
      <c r="B23" s="6"/>
      <c r="C23" s="61">
        <f ca="1">C22*C18/100</f>
        <v>515295.5</v>
      </c>
      <c r="D23" s="6"/>
      <c r="E23" s="6"/>
      <c r="F23" s="8"/>
      <c r="G23" s="20">
        <f t="shared" si="5"/>
        <v>46041</v>
      </c>
      <c r="H23" s="53">
        <f t="shared" ca="1" si="0"/>
        <v>0.40109890109890112</v>
      </c>
      <c r="I23" s="21">
        <f t="shared" si="1"/>
        <v>6.25</v>
      </c>
      <c r="J23" s="22">
        <f t="shared" ca="1" si="2"/>
        <v>0.95433244820733976</v>
      </c>
      <c r="K23" s="22">
        <f t="shared" ca="1" si="3"/>
        <v>5.9645778012958734</v>
      </c>
      <c r="L23" s="22">
        <f t="shared" ca="1" si="4"/>
        <v>31250</v>
      </c>
    </row>
    <row r="24" spans="1:12" x14ac:dyDescent="0.35">
      <c r="A24" s="32" t="s">
        <v>26</v>
      </c>
      <c r="B24" s="6"/>
      <c r="C24" s="33">
        <f>1000</f>
        <v>1000</v>
      </c>
      <c r="D24" s="34">
        <f>0.024%</f>
        <v>2.4000000000000001E-4</v>
      </c>
      <c r="E24" s="6"/>
      <c r="F24" s="8"/>
      <c r="G24" s="20">
        <f t="shared" si="5"/>
        <v>46223</v>
      </c>
      <c r="H24" s="53">
        <f t="shared" ca="1" si="0"/>
        <v>0.90109890109890112</v>
      </c>
      <c r="I24" s="21">
        <f t="shared" si="1"/>
        <v>6.25</v>
      </c>
      <c r="J24" s="22">
        <f t="shared" ca="1" si="2"/>
        <v>0.90031363038428269</v>
      </c>
      <c r="K24" s="22">
        <f t="shared" ca="1" si="3"/>
        <v>5.6269601899017667</v>
      </c>
      <c r="L24" s="22">
        <f t="shared" ca="1" si="4"/>
        <v>31250</v>
      </c>
    </row>
    <row r="25" spans="1:12" x14ac:dyDescent="0.35">
      <c r="A25" s="32" t="s">
        <v>27</v>
      </c>
      <c r="B25" s="6"/>
      <c r="C25" s="33">
        <f ca="1">C23*D25</f>
        <v>56.682504999999992</v>
      </c>
      <c r="D25" s="34">
        <f>0.011%</f>
        <v>1.0999999999999999E-4</v>
      </c>
      <c r="E25" s="6"/>
      <c r="F25" s="8"/>
      <c r="G25" s="20">
        <f t="shared" si="5"/>
        <v>46405</v>
      </c>
      <c r="H25" s="53">
        <f t="shared" ca="1" si="0"/>
        <v>1.401098901098901</v>
      </c>
      <c r="I25" s="21">
        <f t="shared" si="1"/>
        <v>6.25</v>
      </c>
      <c r="J25" s="22">
        <f t="shared" ca="1" si="2"/>
        <v>0.8493524814946064</v>
      </c>
      <c r="K25" s="22">
        <f t="shared" ca="1" si="3"/>
        <v>5.3084530093412896</v>
      </c>
      <c r="L25" s="22">
        <f t="shared" ca="1" si="4"/>
        <v>31250</v>
      </c>
    </row>
    <row r="26" spans="1:12" x14ac:dyDescent="0.35">
      <c r="A26" s="32" t="s">
        <v>28</v>
      </c>
      <c r="C26" s="33">
        <f>C24*D26</f>
        <v>0</v>
      </c>
      <c r="D26" s="34">
        <f>16%*0</f>
        <v>0</v>
      </c>
      <c r="F26" s="8"/>
      <c r="G26" s="20">
        <f t="shared" si="5"/>
        <v>46587</v>
      </c>
      <c r="H26" s="53">
        <f t="shared" ca="1" si="0"/>
        <v>1.901098901098901</v>
      </c>
      <c r="I26" s="21">
        <f t="shared" si="1"/>
        <v>6.25</v>
      </c>
      <c r="J26" s="22">
        <f t="shared" ca="1" si="2"/>
        <v>0.80127592593830788</v>
      </c>
      <c r="K26" s="22">
        <f t="shared" ca="1" si="3"/>
        <v>5.007974537114424</v>
      </c>
      <c r="L26" s="22">
        <f t="shared" ca="1" si="4"/>
        <v>31250</v>
      </c>
    </row>
    <row r="27" spans="1:12" x14ac:dyDescent="0.35">
      <c r="A27" s="35" t="s">
        <v>29</v>
      </c>
      <c r="B27" s="6"/>
      <c r="C27" s="36">
        <f ca="1">C24+C25+C26</f>
        <v>1056.682505</v>
      </c>
      <c r="D27" s="37"/>
      <c r="E27" s="6"/>
      <c r="F27" s="8"/>
      <c r="G27" s="20">
        <f t="shared" si="5"/>
        <v>46769</v>
      </c>
      <c r="H27" s="53">
        <f t="shared" ca="1" si="0"/>
        <v>2.401098901098901</v>
      </c>
      <c r="I27" s="21">
        <f t="shared" si="1"/>
        <v>6.25</v>
      </c>
      <c r="J27" s="22">
        <f t="shared" ca="1" si="2"/>
        <v>0.75592068484746011</v>
      </c>
      <c r="K27" s="22">
        <f t="shared" ca="1" si="3"/>
        <v>4.7245042802966255</v>
      </c>
      <c r="L27" s="22">
        <f t="shared" ca="1" si="4"/>
        <v>31250</v>
      </c>
    </row>
    <row r="28" spans="1:12" ht="15" thickBot="1" x14ac:dyDescent="0.4">
      <c r="A28" s="32" t="s">
        <v>30</v>
      </c>
      <c r="B28" s="6"/>
      <c r="C28" s="38">
        <f ca="1">C23+C27</f>
        <v>516352.18250499998</v>
      </c>
      <c r="D28" s="6"/>
      <c r="E28" s="6"/>
      <c r="F28" s="8"/>
      <c r="G28" s="39">
        <f>G27</f>
        <v>46769</v>
      </c>
      <c r="H28" s="62">
        <f ca="1">+(G28-$C$11)/364</f>
        <v>2.401098901098901</v>
      </c>
      <c r="I28" s="40">
        <f ca="1">IF(C11&lt;G28,(+$C$14*0.4),0)</f>
        <v>40</v>
      </c>
      <c r="J28" s="41">
        <f ca="1">1/((1+$C$16/2)^(2*H28))</f>
        <v>0.75592068484746011</v>
      </c>
      <c r="K28" s="41">
        <f ca="1">IF(G28&lt;=$C$11,0,+I28*J28)</f>
        <v>30.236827393898405</v>
      </c>
      <c r="L28" s="41">
        <f ca="1">IF(G28&lt;=$C$11,0,IF($C$22&lt;=1000000,$C$22,I28/100*$C$22))</f>
        <v>500000</v>
      </c>
    </row>
    <row r="29" spans="1:12" ht="15.5" thickTop="1" thickBot="1" x14ac:dyDescent="0.4">
      <c r="A29" s="42" t="s">
        <v>31</v>
      </c>
      <c r="B29" s="6"/>
      <c r="C29" s="38">
        <f ca="1">C23-C27</f>
        <v>514238.81749500002</v>
      </c>
      <c r="D29" s="6"/>
      <c r="E29" s="6"/>
      <c r="F29" s="8"/>
      <c r="G29" s="20">
        <f t="shared" ref="G29:G38" si="6">G28+182</f>
        <v>46951</v>
      </c>
      <c r="H29" s="53">
        <f ca="1">+(G29-$C$11)/364</f>
        <v>2.901098901098901</v>
      </c>
      <c r="I29" s="21">
        <f ca="1">+($C$14-$I$28)*$C$13/2</f>
        <v>3.75</v>
      </c>
      <c r="J29" s="22">
        <f ca="1">1/((1+$C$16/2)^(2*H29))</f>
        <v>0.7131327215542077</v>
      </c>
      <c r="K29" s="22">
        <f ca="1">IF(G29&lt;=$C$11,0,+I29*J29)</f>
        <v>2.6742477058282788</v>
      </c>
      <c r="L29" s="22">
        <f ca="1">IF(G29&lt;=$C$11,0,IF($C$22&lt;=1000000,0,I29/100*$C$22))</f>
        <v>0</v>
      </c>
    </row>
    <row r="30" spans="1:12" ht="15" thickTop="1" x14ac:dyDescent="0.35">
      <c r="A30" s="6"/>
      <c r="B30" s="6"/>
      <c r="C30" s="43"/>
      <c r="D30" s="6"/>
      <c r="E30" s="6"/>
      <c r="F30" s="8"/>
      <c r="G30" s="20">
        <f t="shared" si="6"/>
        <v>47133</v>
      </c>
      <c r="H30" s="53">
        <f t="shared" ref="H30:H38" ca="1" si="7">+(G30-$C$11)/364</f>
        <v>3.401098901098901</v>
      </c>
      <c r="I30" s="21">
        <f t="shared" ref="I30:I38" ca="1" si="8">+($C$14-$I$28)*$C$13/2</f>
        <v>3.75</v>
      </c>
      <c r="J30" s="22">
        <f t="shared" ref="J30:J38" ca="1" si="9">1/((1+$C$16/2)^(2*H30))</f>
        <v>0.67276671844736569</v>
      </c>
      <c r="K30" s="22">
        <f t="shared" ref="K30:K38" ca="1" si="10">IF(G30&lt;=$C$11,0,+I30*J30)</f>
        <v>2.5228751941776215</v>
      </c>
      <c r="L30" s="22">
        <f t="shared" ref="L30:L39" ca="1" si="11">IF(G30&lt;=$C$11,0,IF($C$22&lt;=1000000,0,I30/100*$C$22))</f>
        <v>0</v>
      </c>
    </row>
    <row r="31" spans="1:12" x14ac:dyDescent="0.35">
      <c r="A31" s="44" t="s">
        <v>32</v>
      </c>
      <c r="B31" s="45"/>
      <c r="C31" s="45"/>
      <c r="D31" s="45"/>
      <c r="E31" s="45"/>
      <c r="F31" s="8"/>
      <c r="G31" s="20">
        <f t="shared" si="6"/>
        <v>47315</v>
      </c>
      <c r="H31" s="53">
        <f t="shared" ca="1" si="7"/>
        <v>3.901098901098901</v>
      </c>
      <c r="I31" s="21">
        <f t="shared" ca="1" si="8"/>
        <v>3.75</v>
      </c>
      <c r="J31" s="22">
        <f t="shared" ca="1" si="9"/>
        <v>0.63468558344091108</v>
      </c>
      <c r="K31" s="22">
        <f t="shared" ca="1" si="10"/>
        <v>2.3800709379034166</v>
      </c>
      <c r="L31" s="22">
        <f t="shared" ca="1" si="11"/>
        <v>0</v>
      </c>
    </row>
    <row r="32" spans="1:12" x14ac:dyDescent="0.35">
      <c r="A32" s="46" t="s">
        <v>33</v>
      </c>
      <c r="B32" s="45"/>
      <c r="C32" s="47"/>
      <c r="D32" s="48"/>
      <c r="E32" s="49"/>
      <c r="F32" s="8"/>
      <c r="G32" s="20">
        <f t="shared" si="6"/>
        <v>47497</v>
      </c>
      <c r="H32" s="53">
        <f t="shared" ca="1" si="7"/>
        <v>4.4010989010989015</v>
      </c>
      <c r="I32" s="21">
        <f t="shared" ca="1" si="8"/>
        <v>3.75</v>
      </c>
      <c r="J32" s="22">
        <f t="shared" ca="1" si="9"/>
        <v>0.59875998437821787</v>
      </c>
      <c r="K32" s="22">
        <f t="shared" ca="1" si="10"/>
        <v>2.2453499414183171</v>
      </c>
      <c r="L32" s="22">
        <f t="shared" ca="1" si="11"/>
        <v>0</v>
      </c>
    </row>
    <row r="33" spans="1:12" x14ac:dyDescent="0.35">
      <c r="A33" s="46" t="s">
        <v>34</v>
      </c>
      <c r="B33" s="45"/>
      <c r="C33" s="47"/>
      <c r="D33" s="48"/>
      <c r="E33" s="49"/>
      <c r="F33" s="8"/>
      <c r="G33" s="20">
        <f t="shared" si="6"/>
        <v>47679</v>
      </c>
      <c r="H33" s="53">
        <f t="shared" ca="1" si="7"/>
        <v>4.9010989010989015</v>
      </c>
      <c r="I33" s="21">
        <f t="shared" ca="1" si="8"/>
        <v>3.75</v>
      </c>
      <c r="J33" s="22">
        <f t="shared" ca="1" si="9"/>
        <v>0.56486790979077162</v>
      </c>
      <c r="K33" s="22">
        <f t="shared" ca="1" si="10"/>
        <v>2.1182546617153934</v>
      </c>
      <c r="L33" s="22">
        <f t="shared" ca="1" si="11"/>
        <v>0</v>
      </c>
    </row>
    <row r="34" spans="1:12" x14ac:dyDescent="0.35">
      <c r="A34" s="50"/>
      <c r="B34" s="45"/>
      <c r="C34" s="45"/>
      <c r="D34" s="45"/>
      <c r="E34" s="45"/>
      <c r="F34" s="8"/>
      <c r="G34" s="20">
        <f t="shared" si="6"/>
        <v>47861</v>
      </c>
      <c r="H34" s="53">
        <f t="shared" ca="1" si="7"/>
        <v>5.4010989010989015</v>
      </c>
      <c r="I34" s="21">
        <f t="shared" ca="1" si="8"/>
        <v>3.75</v>
      </c>
      <c r="J34" s="22">
        <f t="shared" ca="1" si="9"/>
        <v>0.53289425451959571</v>
      </c>
      <c r="K34" s="22">
        <f t="shared" ca="1" si="10"/>
        <v>1.998353454448484</v>
      </c>
      <c r="L34" s="22">
        <f t="shared" ca="1" si="11"/>
        <v>0</v>
      </c>
    </row>
    <row r="35" spans="1:12" x14ac:dyDescent="0.35">
      <c r="A35" s="44" t="s">
        <v>35</v>
      </c>
      <c r="B35" s="45"/>
      <c r="C35" s="45"/>
      <c r="D35" s="45"/>
      <c r="E35" s="45"/>
      <c r="F35" s="8"/>
      <c r="G35" s="20">
        <f t="shared" si="6"/>
        <v>48043</v>
      </c>
      <c r="H35" s="53">
        <f t="shared" ca="1" si="7"/>
        <v>5.9010989010989015</v>
      </c>
      <c r="I35" s="21">
        <f t="shared" ca="1" si="8"/>
        <v>3.75</v>
      </c>
      <c r="J35" s="22">
        <f t="shared" ca="1" si="9"/>
        <v>0.50273042879207142</v>
      </c>
      <c r="K35" s="22">
        <f t="shared" ca="1" si="10"/>
        <v>1.8852391079702677</v>
      </c>
      <c r="L35" s="22">
        <f t="shared" ca="1" si="11"/>
        <v>0</v>
      </c>
    </row>
    <row r="36" spans="1:12" x14ac:dyDescent="0.35">
      <c r="A36" s="46" t="s">
        <v>36</v>
      </c>
      <c r="B36" s="45"/>
      <c r="C36" s="47"/>
      <c r="D36" s="48"/>
      <c r="E36" s="49"/>
      <c r="F36" s="8"/>
      <c r="G36" s="20">
        <f t="shared" si="6"/>
        <v>48225</v>
      </c>
      <c r="H36" s="53">
        <f t="shared" ca="1" si="7"/>
        <v>6.4010989010989015</v>
      </c>
      <c r="I36" s="21">
        <f t="shared" ca="1" si="8"/>
        <v>3.75</v>
      </c>
      <c r="J36" s="22">
        <f t="shared" ca="1" si="9"/>
        <v>0.47427398942648252</v>
      </c>
      <c r="K36" s="22">
        <f t="shared" ca="1" si="10"/>
        <v>1.7785274603493095</v>
      </c>
      <c r="L36" s="22">
        <f t="shared" ca="1" si="11"/>
        <v>0</v>
      </c>
    </row>
    <row r="37" spans="1:12" x14ac:dyDescent="0.35">
      <c r="A37" s="46" t="s">
        <v>37</v>
      </c>
      <c r="B37" s="45"/>
      <c r="C37" s="47"/>
      <c r="D37" s="48"/>
      <c r="E37" s="49"/>
      <c r="F37" s="8"/>
      <c r="G37" s="20">
        <f t="shared" si="6"/>
        <v>48407</v>
      </c>
      <c r="H37" s="53">
        <f t="shared" ca="1" si="7"/>
        <v>6.9010989010989015</v>
      </c>
      <c r="I37" s="21">
        <f t="shared" ca="1" si="8"/>
        <v>3.75</v>
      </c>
      <c r="J37" s="22">
        <f t="shared" ca="1" si="9"/>
        <v>0.44742829191177591</v>
      </c>
      <c r="K37" s="22">
        <f t="shared" ca="1" si="10"/>
        <v>1.6778560946691596</v>
      </c>
      <c r="L37" s="22">
        <f t="shared" ca="1" si="11"/>
        <v>0</v>
      </c>
    </row>
    <row r="38" spans="1:12" x14ac:dyDescent="0.35">
      <c r="A38" s="8"/>
      <c r="B38" s="8"/>
      <c r="C38" s="8"/>
      <c r="D38" s="8"/>
      <c r="E38" s="8"/>
      <c r="F38" s="8"/>
      <c r="G38" s="20">
        <f t="shared" si="6"/>
        <v>48589</v>
      </c>
      <c r="H38" s="53">
        <f t="shared" ca="1" si="7"/>
        <v>7.4010989010989015</v>
      </c>
      <c r="I38" s="21">
        <f t="shared" ca="1" si="8"/>
        <v>3.75</v>
      </c>
      <c r="J38" s="22">
        <f t="shared" ca="1" si="9"/>
        <v>0.42210216218092067</v>
      </c>
      <c r="K38" s="22">
        <f t="shared" ca="1" si="10"/>
        <v>1.5828831081784525</v>
      </c>
      <c r="L38" s="22">
        <f t="shared" ca="1" si="11"/>
        <v>0</v>
      </c>
    </row>
    <row r="39" spans="1:12" x14ac:dyDescent="0.35">
      <c r="A39" s="8"/>
      <c r="B39" s="8"/>
      <c r="C39" s="8"/>
      <c r="D39" s="8"/>
      <c r="E39" s="8"/>
      <c r="F39" s="8"/>
      <c r="G39" s="39">
        <f>G38</f>
        <v>48589</v>
      </c>
      <c r="H39" s="62">
        <f ca="1">+(G39-$C$11)/364</f>
        <v>7.4010989010989015</v>
      </c>
      <c r="I39" s="40">
        <f ca="1">+$C$14-$I$28</f>
        <v>60</v>
      </c>
      <c r="J39" s="41">
        <f ca="1">1/((1+$C$16/2)^(2*H39))</f>
        <v>0.42210216218092067</v>
      </c>
      <c r="K39" s="41">
        <f ca="1">IF(G39&lt;=$C$11,0,+I39*J39)</f>
        <v>25.326129730855239</v>
      </c>
      <c r="L39" s="41">
        <f t="shared" ca="1" si="11"/>
        <v>0</v>
      </c>
    </row>
  </sheetData>
  <mergeCells count="5">
    <mergeCell ref="A1:D1"/>
    <mergeCell ref="C32:E32"/>
    <mergeCell ref="C33:E33"/>
    <mergeCell ref="C36:E36"/>
    <mergeCell ref="C37:E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D7DF2-C779-48BF-967E-2445EDE15A2D}">
  <dimension ref="A1:M45"/>
  <sheetViews>
    <sheetView topLeftCell="A28" workbookViewId="0">
      <selection activeCell="C15" sqref="C15"/>
    </sheetView>
  </sheetViews>
  <sheetFormatPr defaultRowHeight="14.5" x14ac:dyDescent="0.35"/>
  <cols>
    <col min="1" max="1" width="23.26953125" customWidth="1"/>
    <col min="2" max="2" width="1.1796875" customWidth="1"/>
    <col min="3" max="3" width="27" bestFit="1" customWidth="1"/>
    <col min="4" max="4" width="13.1796875" customWidth="1"/>
    <col min="5" max="5" width="9.90625" bestFit="1" customWidth="1"/>
    <col min="6" max="6" width="24.08984375" customWidth="1"/>
    <col min="7" max="7" width="12.81640625" bestFit="1" customWidth="1"/>
    <col min="8" max="8" width="14.81640625" bestFit="1" customWidth="1"/>
    <col min="9" max="12" width="0" hidden="1" customWidth="1"/>
    <col min="13" max="13" width="16.1796875" customWidth="1"/>
  </cols>
  <sheetData>
    <row r="1" spans="1:13" x14ac:dyDescent="0.35">
      <c r="A1" s="4" t="s">
        <v>38</v>
      </c>
      <c r="B1" s="4"/>
      <c r="C1" s="4"/>
      <c r="D1" s="4"/>
      <c r="E1" s="51"/>
      <c r="F1" s="6"/>
      <c r="H1" s="63"/>
      <c r="I1" s="63"/>
      <c r="J1" s="63"/>
      <c r="K1" s="64"/>
      <c r="L1" s="63"/>
    </row>
    <row r="2" spans="1:13" x14ac:dyDescent="0.35">
      <c r="A2" s="6"/>
      <c r="B2" s="6"/>
      <c r="C2" s="6"/>
      <c r="D2" s="6"/>
      <c r="E2" s="6"/>
      <c r="F2" s="6"/>
    </row>
    <row r="3" spans="1:13" x14ac:dyDescent="0.35">
      <c r="A3" s="9" t="s">
        <v>1</v>
      </c>
      <c r="B3" s="6"/>
      <c r="C3" s="10" t="s">
        <v>39</v>
      </c>
      <c r="D3" s="6"/>
      <c r="E3" s="6"/>
      <c r="F3" s="6"/>
    </row>
    <row r="4" spans="1:13" x14ac:dyDescent="0.35">
      <c r="A4" s="11" t="s">
        <v>4</v>
      </c>
      <c r="B4" s="6"/>
      <c r="C4" s="65" t="s">
        <v>40</v>
      </c>
      <c r="D4" s="13"/>
      <c r="E4" s="13"/>
      <c r="F4" s="13"/>
    </row>
    <row r="5" spans="1:13" x14ac:dyDescent="0.35">
      <c r="A5" s="11" t="s">
        <v>6</v>
      </c>
      <c r="B5" s="15"/>
      <c r="C5" s="66">
        <v>44998</v>
      </c>
      <c r="D5" s="6"/>
      <c r="E5" s="6"/>
      <c r="F5" s="6"/>
      <c r="H5" s="67" t="s">
        <v>39</v>
      </c>
      <c r="I5" s="67"/>
      <c r="J5" s="67"/>
      <c r="K5" s="68"/>
      <c r="L5" s="67"/>
      <c r="M5" s="69" t="s">
        <v>41</v>
      </c>
    </row>
    <row r="6" spans="1:13" x14ac:dyDescent="0.35">
      <c r="A6" s="11"/>
      <c r="B6" s="15"/>
      <c r="C6" s="66"/>
      <c r="D6" s="6"/>
      <c r="E6" s="6"/>
      <c r="F6" s="6"/>
      <c r="H6" s="67" t="s">
        <v>42</v>
      </c>
      <c r="I6" s="67"/>
      <c r="J6" s="67"/>
      <c r="K6" s="68"/>
      <c r="L6" s="67"/>
      <c r="M6" s="70"/>
    </row>
    <row r="7" spans="1:13" x14ac:dyDescent="0.35">
      <c r="A7" s="11" t="s">
        <v>7</v>
      </c>
      <c r="B7" s="15"/>
      <c r="C7" s="66">
        <v>51186</v>
      </c>
      <c r="D7" s="6"/>
      <c r="E7" s="6"/>
      <c r="F7" s="6"/>
      <c r="H7" s="71" t="s">
        <v>8</v>
      </c>
      <c r="I7" s="72" t="s">
        <v>9</v>
      </c>
      <c r="J7" s="73" t="s">
        <v>10</v>
      </c>
      <c r="K7" s="74" t="s">
        <v>11</v>
      </c>
      <c r="L7" s="73" t="s">
        <v>12</v>
      </c>
      <c r="M7" s="75" t="s">
        <v>13</v>
      </c>
    </row>
    <row r="8" spans="1:13" x14ac:dyDescent="0.35">
      <c r="A8" s="11" t="s">
        <v>14</v>
      </c>
      <c r="B8" s="15"/>
      <c r="C8" s="66">
        <f ca="1">LOOKUP(C12,H8:H44)</f>
        <v>45726</v>
      </c>
      <c r="D8" s="6"/>
      <c r="E8" s="6"/>
      <c r="F8" s="6"/>
      <c r="H8" s="76">
        <f>$C$5</f>
        <v>44998</v>
      </c>
      <c r="I8" s="77">
        <f ca="1">+(H8-$C$12)/364</f>
        <v>-2.4642857142857144</v>
      </c>
      <c r="J8" s="77">
        <f>+$C$14*$C$15/2</f>
        <v>7.1995000000000005</v>
      </c>
      <c r="K8" s="77">
        <f ca="1">1/((1+$C$17/2)^(2*I8))</f>
        <v>1.3326673707729997</v>
      </c>
      <c r="L8" s="77">
        <f ca="1">IF(H8&lt;=$C$12,0,+J8*K8)</f>
        <v>0</v>
      </c>
      <c r="M8" s="1"/>
    </row>
    <row r="9" spans="1:13" x14ac:dyDescent="0.35">
      <c r="A9" s="11" t="s">
        <v>15</v>
      </c>
      <c r="B9" s="15"/>
      <c r="C9" s="66">
        <f ca="1">LOOKUP(C12,H8:H44)+182</f>
        <v>45908</v>
      </c>
      <c r="D9" s="6"/>
      <c r="E9" s="6"/>
      <c r="F9" s="6"/>
      <c r="H9" s="76">
        <f>H8+182</f>
        <v>45180</v>
      </c>
      <c r="I9" s="77">
        <f t="shared" ref="I9:I44" ca="1" si="0">+(H9-$C$12)/364</f>
        <v>-1.9642857142857142</v>
      </c>
      <c r="J9" s="77">
        <f t="shared" ref="J9:J25" si="1">+$C$14*$C$15/2</f>
        <v>7.1995000000000005</v>
      </c>
      <c r="K9" s="77">
        <f t="shared" ref="K9:K25" ca="1" si="2">1/((1+$C$17/2)^(2*I9))</f>
        <v>1.2572333686537733</v>
      </c>
      <c r="L9" s="77">
        <f t="shared" ref="L9:L25" ca="1" si="3">IF(H9&lt;=$C$12,0,+J9*K9)</f>
        <v>0</v>
      </c>
      <c r="M9" s="78"/>
    </row>
    <row r="10" spans="1:13" x14ac:dyDescent="0.35">
      <c r="A10" s="11"/>
      <c r="B10" s="15"/>
      <c r="C10" s="16"/>
      <c r="D10" s="6"/>
      <c r="E10" s="6"/>
      <c r="F10" s="6"/>
      <c r="H10" s="76">
        <f t="shared" ref="H10:H25" si="4">H9+182</f>
        <v>45362</v>
      </c>
      <c r="I10" s="77">
        <f t="shared" ca="1" si="0"/>
        <v>-1.4642857142857142</v>
      </c>
      <c r="J10" s="77">
        <f t="shared" si="1"/>
        <v>7.1995000000000005</v>
      </c>
      <c r="K10" s="77">
        <f t="shared" ca="1" si="2"/>
        <v>1.1860692157111068</v>
      </c>
      <c r="L10" s="77">
        <f t="shared" ca="1" si="3"/>
        <v>0</v>
      </c>
      <c r="M10" s="78"/>
    </row>
    <row r="11" spans="1:13" x14ac:dyDescent="0.35">
      <c r="A11" s="23" t="s">
        <v>16</v>
      </c>
      <c r="B11" s="15"/>
      <c r="C11" s="24">
        <f ca="1">C12</f>
        <v>45895</v>
      </c>
      <c r="D11" s="6"/>
      <c r="E11" s="6"/>
      <c r="F11" s="6"/>
      <c r="H11" s="76">
        <f t="shared" si="4"/>
        <v>45544</v>
      </c>
      <c r="I11" s="77">
        <f t="shared" ca="1" si="0"/>
        <v>-0.9642857142857143</v>
      </c>
      <c r="J11" s="77">
        <f t="shared" si="1"/>
        <v>7.1995000000000005</v>
      </c>
      <c r="K11" s="77">
        <f t="shared" ca="1" si="2"/>
        <v>1.1189332223689687</v>
      </c>
      <c r="L11" s="77">
        <f t="shared" ca="1" si="3"/>
        <v>0</v>
      </c>
      <c r="M11" s="78"/>
    </row>
    <row r="12" spans="1:13" x14ac:dyDescent="0.35">
      <c r="A12" s="23" t="s">
        <v>17</v>
      </c>
      <c r="B12" s="25"/>
      <c r="C12" s="24">
        <f ca="1">TODAY()+4</f>
        <v>45895</v>
      </c>
      <c r="D12" s="6"/>
      <c r="E12" s="6"/>
      <c r="F12" s="58"/>
      <c r="H12" s="76">
        <f t="shared" si="4"/>
        <v>45726</v>
      </c>
      <c r="I12" s="77">
        <f t="shared" ca="1" si="0"/>
        <v>-0.4642857142857143</v>
      </c>
      <c r="J12" s="77">
        <f t="shared" si="1"/>
        <v>7.1995000000000005</v>
      </c>
      <c r="K12" s="77">
        <f t="shared" ca="1" si="2"/>
        <v>1.0555973795933666</v>
      </c>
      <c r="L12" s="77">
        <f t="shared" ca="1" si="3"/>
        <v>0</v>
      </c>
      <c r="M12" s="78"/>
    </row>
    <row r="13" spans="1:13" x14ac:dyDescent="0.35">
      <c r="A13" s="23"/>
      <c r="B13" s="25"/>
      <c r="C13" s="26"/>
      <c r="D13" s="6"/>
      <c r="E13" s="6"/>
      <c r="F13" s="58"/>
      <c r="G13">
        <v>1</v>
      </c>
      <c r="H13" s="76">
        <f t="shared" si="4"/>
        <v>45908</v>
      </c>
      <c r="I13" s="77">
        <f t="shared" ca="1" si="0"/>
        <v>3.5714285714285712E-2</v>
      </c>
      <c r="J13" s="77">
        <f t="shared" si="1"/>
        <v>7.1995000000000005</v>
      </c>
      <c r="K13" s="77">
        <f t="shared" ca="1" si="2"/>
        <v>0.995846584522044</v>
      </c>
      <c r="L13" s="77">
        <f t="shared" ca="1" si="3"/>
        <v>7.1695974852664559</v>
      </c>
      <c r="M13" s="78">
        <f t="shared" ref="M13:M28" si="5">J13*$C$23/100</f>
        <v>35997.5</v>
      </c>
    </row>
    <row r="14" spans="1:13" x14ac:dyDescent="0.35">
      <c r="A14" s="11" t="s">
        <v>18</v>
      </c>
      <c r="B14" s="15"/>
      <c r="C14" s="79">
        <v>0.14399000000000001</v>
      </c>
      <c r="D14" s="6"/>
      <c r="E14" s="6"/>
      <c r="F14" s="58"/>
      <c r="G14">
        <v>2</v>
      </c>
      <c r="H14" s="76">
        <f t="shared" si="4"/>
        <v>46090</v>
      </c>
      <c r="I14" s="77">
        <f ca="1">+(H14-$C$12)/364</f>
        <v>0.5357142857142857</v>
      </c>
      <c r="J14" s="77">
        <f t="shared" si="1"/>
        <v>7.1995000000000005</v>
      </c>
      <c r="K14" s="77">
        <f t="shared" ca="1" si="2"/>
        <v>0.93947790992645641</v>
      </c>
      <c r="L14" s="77">
        <f t="shared" ca="1" si="3"/>
        <v>6.7637712125155236</v>
      </c>
      <c r="M14" s="78">
        <f t="shared" si="5"/>
        <v>35997.5</v>
      </c>
    </row>
    <row r="15" spans="1:13" x14ac:dyDescent="0.35">
      <c r="A15" s="11" t="s">
        <v>19</v>
      </c>
      <c r="B15" s="15"/>
      <c r="C15" s="80">
        <v>100</v>
      </c>
      <c r="D15" s="6"/>
      <c r="E15" s="6"/>
      <c r="F15" s="58"/>
      <c r="G15">
        <v>3</v>
      </c>
      <c r="H15" s="76">
        <f t="shared" si="4"/>
        <v>46272</v>
      </c>
      <c r="I15" s="77">
        <f t="shared" ca="1" si="0"/>
        <v>1.0357142857142858</v>
      </c>
      <c r="J15" s="77">
        <f t="shared" si="1"/>
        <v>7.1995000000000005</v>
      </c>
      <c r="K15" s="77">
        <f t="shared" ca="1" si="2"/>
        <v>0.88629991502495886</v>
      </c>
      <c r="L15" s="77">
        <f t="shared" ca="1" si="3"/>
        <v>6.3809162382221913</v>
      </c>
      <c r="M15" s="78">
        <f t="shared" si="5"/>
        <v>35997.5</v>
      </c>
    </row>
    <row r="16" spans="1:13" x14ac:dyDescent="0.35">
      <c r="A16" s="11"/>
      <c r="B16" s="15"/>
      <c r="C16" s="55"/>
      <c r="D16" s="6"/>
      <c r="E16" s="6"/>
      <c r="F16" s="58"/>
      <c r="G16">
        <v>4</v>
      </c>
      <c r="H16" s="76">
        <f t="shared" si="4"/>
        <v>46454</v>
      </c>
      <c r="I16" s="77">
        <f t="shared" ca="1" si="0"/>
        <v>1.5357142857142858</v>
      </c>
      <c r="J16" s="77">
        <f t="shared" si="1"/>
        <v>7.1995000000000005</v>
      </c>
      <c r="K16" s="77">
        <f t="shared" ca="1" si="2"/>
        <v>0.8361319953065649</v>
      </c>
      <c r="L16" s="77">
        <f t="shared" ca="1" si="3"/>
        <v>6.0197323002096148</v>
      </c>
      <c r="M16" s="78">
        <f t="shared" si="5"/>
        <v>35997.5</v>
      </c>
    </row>
    <row r="17" spans="1:13" x14ac:dyDescent="0.35">
      <c r="A17" s="23" t="s">
        <v>20</v>
      </c>
      <c r="B17" s="25"/>
      <c r="C17" s="81">
        <v>0.12</v>
      </c>
      <c r="D17" s="6"/>
      <c r="E17" s="6"/>
      <c r="F17" s="58"/>
      <c r="G17">
        <v>5</v>
      </c>
      <c r="H17" s="76">
        <f t="shared" si="4"/>
        <v>46636</v>
      </c>
      <c r="I17" s="77">
        <f t="shared" ca="1" si="0"/>
        <v>2.0357142857142856</v>
      </c>
      <c r="J17" s="77">
        <f t="shared" si="1"/>
        <v>7.1995000000000005</v>
      </c>
      <c r="K17" s="77">
        <f t="shared" ca="1" si="2"/>
        <v>0.78880376915713668</v>
      </c>
      <c r="L17" s="77">
        <f t="shared" ca="1" si="3"/>
        <v>5.6789927360468058</v>
      </c>
      <c r="M17" s="78">
        <f t="shared" si="5"/>
        <v>35997.5</v>
      </c>
    </row>
    <row r="18" spans="1:13" x14ac:dyDescent="0.35">
      <c r="A18" s="23"/>
      <c r="B18" s="25"/>
      <c r="C18" s="57"/>
      <c r="D18" s="6"/>
      <c r="E18" s="6"/>
      <c r="F18" s="58"/>
      <c r="G18">
        <v>6</v>
      </c>
      <c r="H18" s="76">
        <f t="shared" si="4"/>
        <v>46818</v>
      </c>
      <c r="I18" s="77">
        <f t="shared" ca="1" si="0"/>
        <v>2.5357142857142856</v>
      </c>
      <c r="J18" s="77">
        <f t="shared" si="1"/>
        <v>7.1995000000000005</v>
      </c>
      <c r="K18" s="77">
        <f t="shared" ca="1" si="2"/>
        <v>0.744154499204846</v>
      </c>
      <c r="L18" s="77">
        <f t="shared" ca="1" si="3"/>
        <v>5.3575403170252889</v>
      </c>
      <c r="M18" s="78">
        <f t="shared" si="5"/>
        <v>35997.5</v>
      </c>
    </row>
    <row r="19" spans="1:13" x14ac:dyDescent="0.35">
      <c r="A19" s="23" t="s">
        <v>21</v>
      </c>
      <c r="B19" s="25"/>
      <c r="C19" s="82">
        <f ca="1">ROUND(SUM(L8:L44)/C15*100, 4)</f>
        <v>120.6722</v>
      </c>
      <c r="D19" s="6"/>
      <c r="E19" s="6"/>
      <c r="F19" s="58"/>
      <c r="G19">
        <v>7</v>
      </c>
      <c r="H19" s="76">
        <f t="shared" si="4"/>
        <v>47000</v>
      </c>
      <c r="I19" s="77">
        <f t="shared" ca="1" si="0"/>
        <v>3.0357142857142856</v>
      </c>
      <c r="J19" s="77">
        <f t="shared" si="1"/>
        <v>7.1995000000000005</v>
      </c>
      <c r="K19" s="77">
        <f t="shared" ca="1" si="2"/>
        <v>0.70203254641966595</v>
      </c>
      <c r="L19" s="77">
        <f t="shared" ca="1" si="3"/>
        <v>5.0542833179483857</v>
      </c>
      <c r="M19" s="78">
        <f t="shared" si="5"/>
        <v>35997.5</v>
      </c>
    </row>
    <row r="20" spans="1:13" x14ac:dyDescent="0.35">
      <c r="A20" s="11" t="s">
        <v>22</v>
      </c>
      <c r="B20" s="15"/>
      <c r="C20" s="29">
        <f ca="1">(C12-C8)/364*C14*100</f>
        <v>6.6852500000000008</v>
      </c>
      <c r="D20" s="58"/>
      <c r="E20" s="58"/>
      <c r="F20" s="83"/>
      <c r="G20">
        <v>8</v>
      </c>
      <c r="H20" s="76">
        <f t="shared" si="4"/>
        <v>47182</v>
      </c>
      <c r="I20" s="77">
        <f t="shared" ca="1" si="0"/>
        <v>3.5357142857142856</v>
      </c>
      <c r="J20" s="77">
        <f t="shared" si="1"/>
        <v>7.1995000000000005</v>
      </c>
      <c r="K20" s="77">
        <f t="shared" ca="1" si="2"/>
        <v>0.66229485511289232</v>
      </c>
      <c r="L20" s="77">
        <f t="shared" ca="1" si="3"/>
        <v>4.7681918093852689</v>
      </c>
      <c r="M20" s="78">
        <f t="shared" si="5"/>
        <v>35997.5</v>
      </c>
    </row>
    <row r="21" spans="1:13" x14ac:dyDescent="0.35">
      <c r="A21" s="30" t="s">
        <v>23</v>
      </c>
      <c r="B21" s="25"/>
      <c r="C21" s="84">
        <f ca="1">+C19-C20</f>
        <v>113.98695000000001</v>
      </c>
      <c r="D21" s="58"/>
      <c r="E21" s="6"/>
      <c r="F21" s="83"/>
      <c r="G21">
        <v>9</v>
      </c>
      <c r="H21" s="76">
        <f t="shared" si="4"/>
        <v>47364</v>
      </c>
      <c r="I21" s="77">
        <f t="shared" ca="1" si="0"/>
        <v>4.0357142857142856</v>
      </c>
      <c r="J21" s="77">
        <f t="shared" si="1"/>
        <v>7.1995000000000005</v>
      </c>
      <c r="K21" s="77">
        <f t="shared" ca="1" si="2"/>
        <v>0.62480646708763432</v>
      </c>
      <c r="L21" s="77">
        <f t="shared" ca="1" si="3"/>
        <v>4.4982941597974238</v>
      </c>
      <c r="M21" s="78">
        <f t="shared" si="5"/>
        <v>35997.5</v>
      </c>
    </row>
    <row r="22" spans="1:13" x14ac:dyDescent="0.35">
      <c r="A22" s="6"/>
      <c r="B22" s="6"/>
      <c r="C22" s="6"/>
      <c r="D22" s="83"/>
      <c r="E22" s="83"/>
      <c r="F22" s="83"/>
      <c r="G22">
        <v>10</v>
      </c>
      <c r="H22" s="76">
        <f t="shared" si="4"/>
        <v>47546</v>
      </c>
      <c r="I22" s="77">
        <f t="shared" ca="1" si="0"/>
        <v>4.5357142857142856</v>
      </c>
      <c r="J22" s="77">
        <f t="shared" si="1"/>
        <v>7.1995000000000005</v>
      </c>
      <c r="K22" s="77">
        <f t="shared" ca="1" si="2"/>
        <v>0.58944006329022092</v>
      </c>
      <c r="L22" s="77">
        <f t="shared" ca="1" si="3"/>
        <v>4.2436737356579455</v>
      </c>
      <c r="M22" s="78">
        <f t="shared" si="5"/>
        <v>35997.5</v>
      </c>
    </row>
    <row r="23" spans="1:13" x14ac:dyDescent="0.35">
      <c r="A23" s="59" t="s">
        <v>24</v>
      </c>
      <c r="B23" s="6"/>
      <c r="C23" s="85">
        <v>500000</v>
      </c>
      <c r="D23" s="6"/>
      <c r="E23" s="6"/>
      <c r="F23" s="83"/>
      <c r="G23">
        <v>11</v>
      </c>
      <c r="H23" s="76">
        <f t="shared" si="4"/>
        <v>47728</v>
      </c>
      <c r="I23" s="77">
        <f t="shared" ca="1" si="0"/>
        <v>5.0357142857142856</v>
      </c>
      <c r="J23" s="77">
        <f t="shared" si="1"/>
        <v>7.1995000000000005</v>
      </c>
      <c r="K23" s="77">
        <f t="shared" ca="1" si="2"/>
        <v>0.55607553140586885</v>
      </c>
      <c r="L23" s="77">
        <f t="shared" ca="1" si="3"/>
        <v>4.0034657883565528</v>
      </c>
      <c r="M23" s="78">
        <f t="shared" si="5"/>
        <v>35997.5</v>
      </c>
    </row>
    <row r="24" spans="1:13" x14ac:dyDescent="0.35">
      <c r="A24" s="86" t="s">
        <v>25</v>
      </c>
      <c r="B24" s="87"/>
      <c r="C24" s="88">
        <f ca="1">C23*C19/100</f>
        <v>603361</v>
      </c>
      <c r="D24" s="87"/>
      <c r="E24" s="6"/>
      <c r="F24" s="83"/>
      <c r="G24">
        <v>12</v>
      </c>
      <c r="H24" s="76">
        <f t="shared" si="4"/>
        <v>47910</v>
      </c>
      <c r="I24" s="77">
        <f t="shared" ca="1" si="0"/>
        <v>5.5357142857142856</v>
      </c>
      <c r="J24" s="77">
        <f t="shared" si="1"/>
        <v>7.1995000000000005</v>
      </c>
      <c r="K24" s="77">
        <f t="shared" ca="1" si="2"/>
        <v>0.52459955793006496</v>
      </c>
      <c r="L24" s="77">
        <f t="shared" ca="1" si="3"/>
        <v>3.7768545173175028</v>
      </c>
      <c r="M24" s="78">
        <f t="shared" si="5"/>
        <v>35997.5</v>
      </c>
    </row>
    <row r="25" spans="1:13" x14ac:dyDescent="0.35">
      <c r="A25" s="89" t="s">
        <v>26</v>
      </c>
      <c r="B25" s="6"/>
      <c r="C25" s="90">
        <f ca="1">C24*D25</f>
        <v>144.80664000000002</v>
      </c>
      <c r="D25" s="91">
        <f>0.024%</f>
        <v>2.4000000000000001E-4</v>
      </c>
      <c r="E25" s="91"/>
      <c r="F25" s="6"/>
      <c r="G25">
        <v>13</v>
      </c>
      <c r="H25" s="76">
        <f t="shared" si="4"/>
        <v>48092</v>
      </c>
      <c r="I25" s="77">
        <f t="shared" ca="1" si="0"/>
        <v>6.0357142857142856</v>
      </c>
      <c r="J25" s="77">
        <f t="shared" si="1"/>
        <v>7.1995000000000005</v>
      </c>
      <c r="K25" s="77">
        <f t="shared" ca="1" si="2"/>
        <v>0.49490524333024982</v>
      </c>
      <c r="L25" s="77">
        <f t="shared" ca="1" si="3"/>
        <v>3.5630702993561338</v>
      </c>
      <c r="M25" s="78">
        <f t="shared" si="5"/>
        <v>35997.5</v>
      </c>
    </row>
    <row r="26" spans="1:13" x14ac:dyDescent="0.35">
      <c r="A26" s="89" t="s">
        <v>27</v>
      </c>
      <c r="B26" s="6"/>
      <c r="C26" s="90">
        <f ca="1">C24*D26</f>
        <v>66.369709999999998</v>
      </c>
      <c r="D26" s="92">
        <f>0.011%</f>
        <v>1.0999999999999999E-4</v>
      </c>
      <c r="E26" s="92"/>
      <c r="F26" s="6"/>
      <c r="G26">
        <v>14</v>
      </c>
      <c r="H26" s="76">
        <f>H25+182</f>
        <v>48274</v>
      </c>
      <c r="I26" s="77">
        <f t="shared" ca="1" si="0"/>
        <v>6.5357142857142856</v>
      </c>
      <c r="J26" s="77">
        <f>+$C$14*$C$15/2</f>
        <v>7.1995000000000005</v>
      </c>
      <c r="K26" s="77">
        <f ca="1">1/((1+$C$17/2)^(2*I26))</f>
        <v>0.46689173899080183</v>
      </c>
      <c r="L26" s="77">
        <f ca="1">IF(H26&lt;=$C$12,0,+J26*K26)</f>
        <v>3.361387074864278</v>
      </c>
      <c r="M26" s="78">
        <f t="shared" si="5"/>
        <v>35997.5</v>
      </c>
    </row>
    <row r="27" spans="1:13" x14ac:dyDescent="0.35">
      <c r="A27" s="89" t="s">
        <v>28</v>
      </c>
      <c r="C27" s="90">
        <f ca="1">C25*D27</f>
        <v>0</v>
      </c>
      <c r="D27" s="92">
        <f>16%*0</f>
        <v>0</v>
      </c>
      <c r="E27" s="92"/>
      <c r="G27">
        <v>15</v>
      </c>
      <c r="H27" s="76">
        <f>H26+182</f>
        <v>48456</v>
      </c>
      <c r="I27" s="77">
        <f t="shared" ca="1" si="0"/>
        <v>7.0357142857142856</v>
      </c>
      <c r="J27" s="77">
        <f t="shared" ref="J27:J28" si="6">+$C$14*$C$15/2</f>
        <v>7.1995000000000005</v>
      </c>
      <c r="K27" s="77">
        <f t="shared" ref="K27:K28" ca="1" si="7">1/((1+$C$17/2)^(2*I27))</f>
        <v>0.44046390470830354</v>
      </c>
      <c r="L27" s="77">
        <f t="shared" ref="L27:L28" ca="1" si="8">IF(H27&lt;=$C$12,0,+J27*K27)</f>
        <v>3.1711198819474316</v>
      </c>
      <c r="M27" s="78">
        <f t="shared" si="5"/>
        <v>35997.5</v>
      </c>
    </row>
    <row r="28" spans="1:13" x14ac:dyDescent="0.35">
      <c r="A28" s="93" t="s">
        <v>29</v>
      </c>
      <c r="B28" s="6"/>
      <c r="C28" s="94">
        <f ca="1">SUM(C25:C26)</f>
        <v>211.17635000000001</v>
      </c>
      <c r="D28" s="92"/>
      <c r="E28" s="92"/>
      <c r="F28" s="6"/>
      <c r="G28">
        <v>16</v>
      </c>
      <c r="H28" s="76">
        <f>H27+182</f>
        <v>48638</v>
      </c>
      <c r="I28" s="77">
        <f t="shared" ca="1" si="0"/>
        <v>7.5357142857142856</v>
      </c>
      <c r="J28" s="77">
        <f t="shared" si="6"/>
        <v>7.1995000000000005</v>
      </c>
      <c r="K28" s="77">
        <f t="shared" ca="1" si="7"/>
        <v>0.41553198557387122</v>
      </c>
      <c r="L28" s="77">
        <f t="shared" ca="1" si="8"/>
        <v>2.991622530139086</v>
      </c>
      <c r="M28" s="78">
        <f t="shared" si="5"/>
        <v>35997.5</v>
      </c>
    </row>
    <row r="29" spans="1:13" ht="15" thickBot="1" x14ac:dyDescent="0.4">
      <c r="A29" s="89" t="s">
        <v>30</v>
      </c>
      <c r="B29" s="6"/>
      <c r="C29" s="95">
        <f ca="1">C24+C28</f>
        <v>603572.17634999997</v>
      </c>
      <c r="D29" s="6"/>
      <c r="E29" s="6"/>
      <c r="F29" s="6"/>
      <c r="H29" s="96">
        <f>H27+182</f>
        <v>48638</v>
      </c>
      <c r="I29" s="97">
        <f t="shared" ca="1" si="0"/>
        <v>7.5357142857142856</v>
      </c>
      <c r="J29" s="97">
        <f ca="1">IF(C12&lt;H29,(+$C$15*0.5),0)</f>
        <v>50</v>
      </c>
      <c r="K29" s="97">
        <f ca="1">1/((1+$C$17/2)^(2*I29))</f>
        <v>0.41553198557387122</v>
      </c>
      <c r="L29" s="97">
        <f ca="1">IF(H29&lt;=$C$12,0,+J29*K29)</f>
        <v>20.77659927869356</v>
      </c>
      <c r="M29" s="98">
        <f>IF($C$23&lt;=1000000,$C$23,J29/100*$C$23)</f>
        <v>500000</v>
      </c>
    </row>
    <row r="30" spans="1:13" ht="15.5" thickTop="1" thickBot="1" x14ac:dyDescent="0.4">
      <c r="A30" s="99" t="s">
        <v>31</v>
      </c>
      <c r="B30" s="6"/>
      <c r="C30" s="100">
        <f ca="1">C24-C28</f>
        <v>603149.82365000003</v>
      </c>
      <c r="D30" s="6"/>
      <c r="E30" s="6"/>
      <c r="F30" s="6"/>
      <c r="H30" s="76">
        <f>H28+182</f>
        <v>48820</v>
      </c>
      <c r="I30" s="77">
        <f t="shared" ca="1" si="0"/>
        <v>8.0357142857142865</v>
      </c>
      <c r="J30" s="101">
        <f ca="1">+($C$15-$J$29)*$C$14/2</f>
        <v>3.5997500000000002</v>
      </c>
      <c r="K30" s="77">
        <f ca="1">1/((1+$C$17/2)^(2*I30))</f>
        <v>0.39201130714516147</v>
      </c>
      <c r="L30" s="77">
        <f ca="1">IF(H30&lt;=$C$12,0,+J30*K30)</f>
        <v>1.411142702895795</v>
      </c>
      <c r="M30" s="78">
        <f t="shared" ref="M30:M44" si="9">IF($C$23&lt;=1000000,0,J30/100*$C$23)</f>
        <v>0</v>
      </c>
    </row>
    <row r="31" spans="1:13" ht="15" thickTop="1" x14ac:dyDescent="0.35">
      <c r="A31" s="6"/>
      <c r="B31" s="6"/>
      <c r="C31" s="43"/>
      <c r="D31" s="6"/>
      <c r="E31" s="6"/>
      <c r="F31" s="6"/>
      <c r="H31" s="76">
        <f t="shared" ref="H31:H43" si="10">H30+182</f>
        <v>49002</v>
      </c>
      <c r="I31" s="77">
        <f t="shared" ca="1" si="0"/>
        <v>8.5357142857142865</v>
      </c>
      <c r="J31" s="101">
        <f ca="1">+($C$15-$J$29)*$C$14/2</f>
        <v>3.5997500000000002</v>
      </c>
      <c r="K31" s="77">
        <f t="shared" ref="K31:K43" ca="1" si="11">1/((1+$C$17/2)^(2*I31))</f>
        <v>0.36982198787279386</v>
      </c>
      <c r="L31" s="77">
        <f t="shared" ref="L31:L43" ca="1" si="12">IF(H31&lt;=$C$12,0,+J31*K31)</f>
        <v>1.3312667008450898</v>
      </c>
      <c r="M31" s="78">
        <f t="shared" si="9"/>
        <v>0</v>
      </c>
    </row>
    <row r="32" spans="1:13" x14ac:dyDescent="0.35">
      <c r="A32" s="44" t="s">
        <v>32</v>
      </c>
      <c r="B32" s="45"/>
      <c r="C32" s="45"/>
      <c r="D32" s="45"/>
      <c r="E32" s="45"/>
      <c r="F32" s="45"/>
      <c r="H32" s="76">
        <f t="shared" si="10"/>
        <v>49184</v>
      </c>
      <c r="I32" s="77">
        <f t="shared" ca="1" si="0"/>
        <v>9.0357142857142865</v>
      </c>
      <c r="J32" s="101">
        <f ca="1">+($C$15-$J$29)*$C$14/2</f>
        <v>3.5997500000000002</v>
      </c>
      <c r="K32" s="77">
        <f t="shared" ca="1" si="11"/>
        <v>0.34888866780452249</v>
      </c>
      <c r="L32" s="77">
        <f t="shared" ca="1" si="12"/>
        <v>1.2559119819293298</v>
      </c>
      <c r="M32" s="78">
        <f t="shared" si="9"/>
        <v>0</v>
      </c>
    </row>
    <row r="33" spans="1:13" x14ac:dyDescent="0.35">
      <c r="A33" s="46" t="s">
        <v>33</v>
      </c>
      <c r="B33" s="45"/>
      <c r="C33" s="47"/>
      <c r="D33" s="48"/>
      <c r="E33" s="48"/>
      <c r="F33" s="49"/>
      <c r="H33" s="76">
        <f t="shared" si="10"/>
        <v>49366</v>
      </c>
      <c r="I33" s="77">
        <f t="shared" ca="1" si="0"/>
        <v>9.5357142857142865</v>
      </c>
      <c r="J33" s="101">
        <f ca="1">+($C$15-$J$29)*$C$14/2</f>
        <v>3.5997500000000002</v>
      </c>
      <c r="K33" s="77">
        <f t="shared" ca="1" si="11"/>
        <v>0.3291402526457759</v>
      </c>
      <c r="L33" s="77">
        <f t="shared" ca="1" si="12"/>
        <v>1.1848226244616318</v>
      </c>
      <c r="M33" s="78">
        <f t="shared" si="9"/>
        <v>0</v>
      </c>
    </row>
    <row r="34" spans="1:13" x14ac:dyDescent="0.35">
      <c r="A34" s="46" t="s">
        <v>34</v>
      </c>
      <c r="B34" s="45"/>
      <c r="C34" s="47"/>
      <c r="D34" s="48"/>
      <c r="E34" s="48"/>
      <c r="F34" s="49"/>
      <c r="H34" s="76">
        <f t="shared" si="10"/>
        <v>49548</v>
      </c>
      <c r="I34" s="77">
        <f t="shared" ca="1" si="0"/>
        <v>10.035714285714286</v>
      </c>
      <c r="J34" s="101">
        <f ca="1">+($C$15-$J$29)*$C$14/2</f>
        <v>3.5997500000000002</v>
      </c>
      <c r="K34" s="77">
        <f t="shared" ca="1" si="11"/>
        <v>0.31050967230733573</v>
      </c>
      <c r="L34" s="77">
        <f t="shared" ca="1" si="12"/>
        <v>1.1177571928883319</v>
      </c>
      <c r="M34" s="78">
        <f t="shared" si="9"/>
        <v>0</v>
      </c>
    </row>
    <row r="35" spans="1:13" x14ac:dyDescent="0.35">
      <c r="A35" s="50"/>
      <c r="B35" s="45"/>
      <c r="C35" s="45"/>
      <c r="D35" s="45"/>
      <c r="E35" s="45"/>
      <c r="F35" s="45"/>
      <c r="H35" s="76">
        <f t="shared" si="10"/>
        <v>49730</v>
      </c>
      <c r="I35" s="77">
        <f t="shared" ca="1" si="0"/>
        <v>10.535714285714286</v>
      </c>
      <c r="J35" s="101">
        <f ca="1">+($C$15-$J$29)*$C$14/2</f>
        <v>3.5997500000000002</v>
      </c>
      <c r="K35" s="77">
        <f t="shared" ca="1" si="11"/>
        <v>0.29293365312012803</v>
      </c>
      <c r="L35" s="77">
        <f t="shared" ca="1" si="12"/>
        <v>1.0544879178191811</v>
      </c>
      <c r="M35" s="78">
        <f t="shared" si="9"/>
        <v>0</v>
      </c>
    </row>
    <row r="36" spans="1:13" x14ac:dyDescent="0.35">
      <c r="A36" s="44" t="s">
        <v>35</v>
      </c>
      <c r="B36" s="45"/>
      <c r="C36" s="45"/>
      <c r="D36" s="45"/>
      <c r="E36" s="45"/>
      <c r="F36" s="45"/>
      <c r="H36" s="76">
        <f t="shared" si="10"/>
        <v>49912</v>
      </c>
      <c r="I36" s="77">
        <f t="shared" ca="1" si="0"/>
        <v>11.035714285714286</v>
      </c>
      <c r="J36" s="101">
        <f ca="1">+($C$15-$J$29)*$C$14/2</f>
        <v>3.5997500000000002</v>
      </c>
      <c r="K36" s="77">
        <f t="shared" ca="1" si="11"/>
        <v>0.27635250294351699</v>
      </c>
      <c r="L36" s="77">
        <f t="shared" ca="1" si="12"/>
        <v>0.9947999224709253</v>
      </c>
      <c r="M36" s="78">
        <f t="shared" si="9"/>
        <v>0</v>
      </c>
    </row>
    <row r="37" spans="1:13" x14ac:dyDescent="0.35">
      <c r="A37" s="46" t="s">
        <v>36</v>
      </c>
      <c r="B37" s="45"/>
      <c r="C37" s="47"/>
      <c r="D37" s="48"/>
      <c r="E37" s="48"/>
      <c r="F37" s="49"/>
      <c r="H37" s="76">
        <f t="shared" si="10"/>
        <v>50094</v>
      </c>
      <c r="I37" s="77">
        <f t="shared" ca="1" si="0"/>
        <v>11.535714285714286</v>
      </c>
      <c r="J37" s="101">
        <f ca="1">+($C$15-$J$29)*$C$14/2</f>
        <v>3.5997500000000002</v>
      </c>
      <c r="K37" s="77">
        <f t="shared" ca="1" si="11"/>
        <v>0.2607099084372802</v>
      </c>
      <c r="L37" s="77">
        <f t="shared" ca="1" si="12"/>
        <v>0.93849049289709952</v>
      </c>
      <c r="M37" s="78">
        <f t="shared" si="9"/>
        <v>0</v>
      </c>
    </row>
    <row r="38" spans="1:13" x14ac:dyDescent="0.35">
      <c r="A38" s="46" t="s">
        <v>37</v>
      </c>
      <c r="B38" s="45"/>
      <c r="C38" s="47"/>
      <c r="D38" s="48"/>
      <c r="E38" s="48"/>
      <c r="F38" s="49"/>
      <c r="H38" s="76">
        <f t="shared" si="10"/>
        <v>50276</v>
      </c>
      <c r="I38" s="77">
        <f t="shared" ca="1" si="0"/>
        <v>12.035714285714286</v>
      </c>
      <c r="J38" s="101">
        <f ca="1">+($C$15-$J$29)*$C$14/2</f>
        <v>3.5997500000000002</v>
      </c>
      <c r="K38" s="77">
        <f t="shared" ca="1" si="11"/>
        <v>0.24595274380875487</v>
      </c>
      <c r="L38" s="77">
        <f t="shared" ca="1" si="12"/>
        <v>0.8853683895255654</v>
      </c>
      <c r="M38" s="78">
        <f t="shared" si="9"/>
        <v>0</v>
      </c>
    </row>
    <row r="39" spans="1:13" x14ac:dyDescent="0.35">
      <c r="H39" s="76">
        <f t="shared" si="10"/>
        <v>50458</v>
      </c>
      <c r="I39" s="77">
        <f t="shared" ca="1" si="0"/>
        <v>12.535714285714286</v>
      </c>
      <c r="J39" s="101">
        <f ca="1">+($C$15-$J$29)*$C$14/2</f>
        <v>3.5997500000000002</v>
      </c>
      <c r="K39" s="77">
        <f t="shared" ca="1" si="11"/>
        <v>0.23203089038561781</v>
      </c>
      <c r="L39" s="77">
        <f t="shared" ca="1" si="12"/>
        <v>0.83525319766562778</v>
      </c>
      <c r="M39" s="78">
        <f t="shared" si="9"/>
        <v>0</v>
      </c>
    </row>
    <row r="40" spans="1:13" x14ac:dyDescent="0.35">
      <c r="C40" s="102"/>
      <c r="H40" s="76">
        <f t="shared" si="10"/>
        <v>50640</v>
      </c>
      <c r="I40" s="77">
        <f t="shared" ca="1" si="0"/>
        <v>13.035714285714286</v>
      </c>
      <c r="J40" s="101">
        <f ca="1">+($C$15-$J$29)*$C$14/2</f>
        <v>3.5997500000000002</v>
      </c>
      <c r="K40" s="77">
        <f t="shared" ca="1" si="11"/>
        <v>0.2188970664015262</v>
      </c>
      <c r="L40" s="77">
        <f t="shared" ca="1" si="12"/>
        <v>0.78797471477889403</v>
      </c>
      <c r="M40" s="78">
        <f t="shared" si="9"/>
        <v>0</v>
      </c>
    </row>
    <row r="41" spans="1:13" x14ac:dyDescent="0.35">
      <c r="H41" s="76">
        <f t="shared" si="10"/>
        <v>50822</v>
      </c>
      <c r="I41" s="77">
        <f t="shared" ca="1" si="0"/>
        <v>13.535714285714286</v>
      </c>
      <c r="J41" s="101">
        <f ca="1">+($C$15-$J$29)*$C$14/2</f>
        <v>3.5997500000000002</v>
      </c>
      <c r="K41" s="77">
        <f t="shared" ca="1" si="11"/>
        <v>0.20650666641653417</v>
      </c>
      <c r="L41" s="77">
        <f t="shared" ca="1" si="12"/>
        <v>0.74337237243291898</v>
      </c>
      <c r="M41" s="78">
        <f t="shared" si="9"/>
        <v>0</v>
      </c>
    </row>
    <row r="42" spans="1:13" x14ac:dyDescent="0.35">
      <c r="H42" s="76">
        <f t="shared" si="10"/>
        <v>51004</v>
      </c>
      <c r="I42" s="77">
        <f t="shared" ca="1" si="0"/>
        <v>14.035714285714286</v>
      </c>
      <c r="J42" s="101">
        <f ca="1">+($C$15-$J$29)*$C$14/2</f>
        <v>3.5997500000000002</v>
      </c>
      <c r="K42" s="77">
        <f t="shared" ca="1" si="11"/>
        <v>0.19481760982691901</v>
      </c>
      <c r="L42" s="77">
        <f t="shared" ca="1" si="12"/>
        <v>0.70129469097445174</v>
      </c>
      <c r="M42" s="78">
        <f t="shared" si="9"/>
        <v>0</v>
      </c>
    </row>
    <row r="43" spans="1:13" x14ac:dyDescent="0.35">
      <c r="E43" s="103"/>
      <c r="H43" s="76">
        <f t="shared" si="10"/>
        <v>51186</v>
      </c>
      <c r="I43" s="77">
        <f t="shared" ca="1" si="0"/>
        <v>14.535714285714286</v>
      </c>
      <c r="J43" s="101">
        <f ca="1">+($C$15-$J$29)*$C$14/2</f>
        <v>3.5997500000000002</v>
      </c>
      <c r="K43" s="77">
        <f t="shared" ca="1" si="11"/>
        <v>0.1837901979499236</v>
      </c>
      <c r="L43" s="77">
        <f t="shared" ca="1" si="12"/>
        <v>0.66159876507023752</v>
      </c>
      <c r="M43" s="78">
        <f t="shared" si="9"/>
        <v>0</v>
      </c>
    </row>
    <row r="44" spans="1:13" x14ac:dyDescent="0.35">
      <c r="E44" s="104"/>
      <c r="H44" s="96">
        <f>H43</f>
        <v>51186</v>
      </c>
      <c r="I44" s="97">
        <f t="shared" ca="1" si="0"/>
        <v>14.535714285714286</v>
      </c>
      <c r="J44" s="97">
        <f ca="1">(+$C$15-$J$29)</f>
        <v>50</v>
      </c>
      <c r="K44" s="97">
        <f ca="1">1/((1+$C$17/2)^(2*I44))</f>
        <v>0.1837901979499236</v>
      </c>
      <c r="L44" s="97">
        <f ca="1">IF(H44&lt;=$C$12,0,+J44*K44)</f>
        <v>9.1895098974961797</v>
      </c>
      <c r="M44" s="98">
        <f t="shared" si="9"/>
        <v>0</v>
      </c>
    </row>
    <row r="45" spans="1:13" ht="15" thickBot="1" x14ac:dyDescent="0.4">
      <c r="E45" s="104"/>
      <c r="H45" s="105" t="s">
        <v>43</v>
      </c>
      <c r="I45" s="106"/>
      <c r="J45" s="106"/>
      <c r="K45" s="107"/>
      <c r="L45" s="106"/>
      <c r="M45" s="108">
        <f>SUM(M12:M44)</f>
        <v>1075960</v>
      </c>
    </row>
  </sheetData>
  <mergeCells count="5">
    <mergeCell ref="A1:D1"/>
    <mergeCell ref="C33:F33"/>
    <mergeCell ref="C34:F34"/>
    <mergeCell ref="C37:F37"/>
    <mergeCell ref="C38:F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E25D2-D1B8-47E4-A32E-E8B1D05C21C6}">
  <dimension ref="A1:L30"/>
  <sheetViews>
    <sheetView workbookViewId="0">
      <selection activeCell="C18" sqref="C18"/>
    </sheetView>
  </sheetViews>
  <sheetFormatPr defaultRowHeight="14.5" x14ac:dyDescent="0.35"/>
  <cols>
    <col min="1" max="1" width="24.1796875" bestFit="1" customWidth="1"/>
    <col min="2" max="2" width="1.26953125" customWidth="1"/>
    <col min="3" max="3" width="23.7265625" customWidth="1"/>
    <col min="5" max="5" width="10" customWidth="1"/>
    <col min="6" max="6" width="20.26953125" customWidth="1"/>
    <col min="7" max="7" width="16.26953125" customWidth="1"/>
    <col min="8" max="8" width="14.1796875" customWidth="1"/>
    <col min="9" max="9" width="11.453125" customWidth="1"/>
    <col min="10" max="10" width="10.1796875" customWidth="1"/>
    <col min="11" max="11" width="11.26953125" customWidth="1"/>
    <col min="12" max="12" width="13.81640625" bestFit="1" customWidth="1"/>
  </cols>
  <sheetData>
    <row r="1" spans="1:12" x14ac:dyDescent="0.35">
      <c r="A1" s="4" t="s">
        <v>44</v>
      </c>
      <c r="B1" s="4"/>
      <c r="C1" s="5"/>
      <c r="D1" s="5"/>
      <c r="E1" s="6"/>
      <c r="F1" s="7"/>
      <c r="G1" s="8"/>
      <c r="H1" s="8"/>
      <c r="I1" s="8"/>
      <c r="J1" s="8"/>
      <c r="K1" s="8"/>
    </row>
    <row r="2" spans="1:12" x14ac:dyDescent="0.35">
      <c r="A2" s="6"/>
      <c r="B2" s="6"/>
      <c r="C2" s="6"/>
      <c r="D2" s="6"/>
      <c r="E2" s="6"/>
      <c r="F2" s="8"/>
      <c r="G2" s="8"/>
      <c r="H2" s="8"/>
      <c r="I2" s="8"/>
      <c r="J2" s="8"/>
      <c r="K2" s="8"/>
    </row>
    <row r="3" spans="1:12" x14ac:dyDescent="0.35">
      <c r="A3" s="9" t="s">
        <v>1</v>
      </c>
      <c r="B3" s="6"/>
      <c r="C3" s="10" t="s">
        <v>45</v>
      </c>
      <c r="D3" s="6"/>
      <c r="E3" s="6"/>
      <c r="F3" s="8"/>
      <c r="G3" s="8"/>
      <c r="H3" s="8"/>
      <c r="I3" s="8"/>
      <c r="J3" s="8"/>
      <c r="K3" s="8"/>
      <c r="L3" s="8"/>
    </row>
    <row r="4" spans="1:12" ht="15" thickBot="1" x14ac:dyDescent="0.4">
      <c r="A4" s="11" t="s">
        <v>4</v>
      </c>
      <c r="B4" s="6"/>
      <c r="C4" s="12" t="s">
        <v>46</v>
      </c>
      <c r="D4" s="13"/>
      <c r="E4" s="13"/>
      <c r="F4" s="8"/>
      <c r="G4" s="8"/>
      <c r="H4" s="8"/>
      <c r="I4" s="8"/>
      <c r="J4" s="8"/>
      <c r="K4" s="8"/>
      <c r="L4" s="8"/>
    </row>
    <row r="5" spans="1:12" ht="15" thickBot="1" x14ac:dyDescent="0.4">
      <c r="A5" s="11" t="s">
        <v>6</v>
      </c>
      <c r="B5" s="15"/>
      <c r="C5" s="66">
        <v>45096</v>
      </c>
      <c r="D5" s="6"/>
      <c r="E5" s="6"/>
      <c r="F5" s="8"/>
      <c r="G5" s="109" t="s">
        <v>45</v>
      </c>
      <c r="H5" s="8"/>
      <c r="I5" s="8"/>
      <c r="J5" s="8"/>
      <c r="K5" s="8"/>
      <c r="L5" s="8"/>
    </row>
    <row r="6" spans="1:12" x14ac:dyDescent="0.35">
      <c r="A6" s="11" t="s">
        <v>7</v>
      </c>
      <c r="B6" s="15"/>
      <c r="C6" s="66">
        <f>C5+(364*7)</f>
        <v>47644</v>
      </c>
      <c r="D6" s="6"/>
      <c r="E6" s="6"/>
      <c r="F6" s="110"/>
      <c r="G6" s="111" t="s">
        <v>8</v>
      </c>
      <c r="H6" s="112" t="s">
        <v>9</v>
      </c>
      <c r="I6" s="113" t="s">
        <v>10</v>
      </c>
      <c r="J6" s="113" t="s">
        <v>11</v>
      </c>
      <c r="K6" s="113" t="s">
        <v>12</v>
      </c>
      <c r="L6" s="114" t="s">
        <v>47</v>
      </c>
    </row>
    <row r="7" spans="1:12" x14ac:dyDescent="0.35">
      <c r="A7" s="11" t="s">
        <v>14</v>
      </c>
      <c r="B7" s="15"/>
      <c r="C7" s="66">
        <f ca="1">LOOKUP(C11,G7:G24)</f>
        <v>45824</v>
      </c>
      <c r="D7" s="6"/>
      <c r="E7" s="6"/>
      <c r="F7" s="8"/>
      <c r="G7" s="76">
        <f>C5</f>
        <v>45096</v>
      </c>
      <c r="H7" s="53">
        <f t="shared" ref="H7:H24" ca="1" si="0">+(G7-$C$11)/364</f>
        <v>-2.1950549450549453</v>
      </c>
      <c r="I7" s="21">
        <f t="shared" ref="I7:I13" si="1">+$C$13*$C$14/2</f>
        <v>7.9185000000000008</v>
      </c>
      <c r="J7" s="22">
        <f t="shared" ref="J7:J24" ca="1" si="2">1/((1+$C$16/2)^(2*H7))</f>
        <v>1.2781844184163078</v>
      </c>
      <c r="K7" s="22">
        <f t="shared" ref="K7:K24" ca="1" si="3">IF(G7&lt;=$C$11,0,+I7*J7)</f>
        <v>0</v>
      </c>
      <c r="L7" s="115"/>
    </row>
    <row r="8" spans="1:12" x14ac:dyDescent="0.35">
      <c r="A8" s="11" t="s">
        <v>15</v>
      </c>
      <c r="B8" s="15"/>
      <c r="C8" s="66">
        <f ca="1">LOOKUP(C11,G7:G24)+182</f>
        <v>46006</v>
      </c>
      <c r="D8" s="6"/>
      <c r="E8" s="6"/>
      <c r="F8" s="8"/>
      <c r="G8" s="76">
        <f t="shared" ref="G8:G12" si="4">G7+182</f>
        <v>45278</v>
      </c>
      <c r="H8" s="53">
        <f t="shared" ca="1" si="0"/>
        <v>-1.695054945054945</v>
      </c>
      <c r="I8" s="21">
        <f t="shared" si="1"/>
        <v>7.9185000000000008</v>
      </c>
      <c r="J8" s="22">
        <f t="shared" ca="1" si="2"/>
        <v>1.2086850292352791</v>
      </c>
      <c r="K8" s="22">
        <f t="shared" ca="1" si="3"/>
        <v>0</v>
      </c>
      <c r="L8" s="116"/>
    </row>
    <row r="9" spans="1:12" x14ac:dyDescent="0.35">
      <c r="A9" s="11"/>
      <c r="B9" s="15"/>
      <c r="C9" s="16"/>
      <c r="D9" s="6"/>
      <c r="E9" s="6"/>
      <c r="F9" s="8"/>
      <c r="G9" s="76">
        <f t="shared" si="4"/>
        <v>45460</v>
      </c>
      <c r="H9" s="53">
        <f t="shared" ca="1" si="0"/>
        <v>-1.195054945054945</v>
      </c>
      <c r="I9" s="21">
        <f t="shared" si="1"/>
        <v>7.9185000000000008</v>
      </c>
      <c r="J9" s="22">
        <f t="shared" ca="1" si="2"/>
        <v>1.1429645666527462</v>
      </c>
      <c r="K9" s="22">
        <f t="shared" ca="1" si="3"/>
        <v>0</v>
      </c>
      <c r="L9" s="116"/>
    </row>
    <row r="10" spans="1:12" x14ac:dyDescent="0.35">
      <c r="A10" s="23" t="s">
        <v>16</v>
      </c>
      <c r="B10" s="15"/>
      <c r="C10" s="24">
        <f ca="1">C11</f>
        <v>45895</v>
      </c>
      <c r="D10" s="6"/>
      <c r="E10" s="6"/>
      <c r="F10" s="8"/>
      <c r="G10" s="76">
        <f t="shared" si="4"/>
        <v>45642</v>
      </c>
      <c r="H10" s="53">
        <f t="shared" ca="1" si="0"/>
        <v>-0.69505494505494503</v>
      </c>
      <c r="I10" s="21">
        <f t="shared" si="1"/>
        <v>7.9185000000000008</v>
      </c>
      <c r="J10" s="22">
        <f t="shared" ca="1" si="2"/>
        <v>1.080817557118436</v>
      </c>
      <c r="K10" s="22">
        <f t="shared" ca="1" si="3"/>
        <v>0</v>
      </c>
      <c r="L10" s="116"/>
    </row>
    <row r="11" spans="1:12" x14ac:dyDescent="0.35">
      <c r="A11" s="23" t="s">
        <v>17</v>
      </c>
      <c r="B11" s="25"/>
      <c r="C11" s="24">
        <f ca="1">TODAY()+4</f>
        <v>45895</v>
      </c>
      <c r="D11" s="6"/>
      <c r="E11" s="6"/>
      <c r="F11" s="8"/>
      <c r="G11" s="76">
        <f t="shared" si="4"/>
        <v>45824</v>
      </c>
      <c r="H11" s="53">
        <f t="shared" ca="1" si="0"/>
        <v>-0.19505494505494506</v>
      </c>
      <c r="I11" s="21">
        <f t="shared" si="1"/>
        <v>7.9185000000000008</v>
      </c>
      <c r="J11" s="22">
        <f t="shared" ca="1" si="2"/>
        <v>1.0220496994027761</v>
      </c>
      <c r="K11" s="22">
        <f t="shared" ca="1" si="3"/>
        <v>0</v>
      </c>
      <c r="L11" s="116">
        <v>158370.00000000003</v>
      </c>
    </row>
    <row r="12" spans="1:12" x14ac:dyDescent="0.35">
      <c r="A12" s="23"/>
      <c r="B12" s="25"/>
      <c r="C12" s="26"/>
      <c r="D12" s="6"/>
      <c r="E12" s="6"/>
      <c r="F12" s="117"/>
      <c r="G12" s="76">
        <f t="shared" si="4"/>
        <v>46006</v>
      </c>
      <c r="H12" s="53">
        <f t="shared" ca="1" si="0"/>
        <v>0.30494505494505497</v>
      </c>
      <c r="I12" s="21">
        <f t="shared" si="1"/>
        <v>7.9185000000000008</v>
      </c>
      <c r="J12" s="22">
        <f t="shared" ca="1" si="2"/>
        <v>0.96647725711846433</v>
      </c>
      <c r="K12" s="22">
        <f t="shared" ca="1" si="3"/>
        <v>7.6530501604925609</v>
      </c>
      <c r="L12" s="116">
        <v>158370.00000000003</v>
      </c>
    </row>
    <row r="13" spans="1:12" ht="15" thickBot="1" x14ac:dyDescent="0.4">
      <c r="A13" s="11" t="s">
        <v>18</v>
      </c>
      <c r="B13" s="15"/>
      <c r="C13" s="118">
        <v>0.15837000000000001</v>
      </c>
      <c r="D13" s="6"/>
      <c r="E13" s="6"/>
      <c r="F13" s="117"/>
      <c r="G13" s="119">
        <f>G12+182</f>
        <v>46188</v>
      </c>
      <c r="H13" s="53">
        <f t="shared" ca="1" si="0"/>
        <v>0.80494505494505497</v>
      </c>
      <c r="I13" s="21">
        <f t="shared" si="1"/>
        <v>7.9185000000000008</v>
      </c>
      <c r="J13" s="22">
        <f t="shared" ca="1" si="2"/>
        <v>0.91392648427277934</v>
      </c>
      <c r="K13" s="22">
        <f t="shared" ca="1" si="3"/>
        <v>7.236926865714004</v>
      </c>
      <c r="L13" s="116">
        <v>158370.00000000003</v>
      </c>
    </row>
    <row r="14" spans="1:12" ht="15" thickBot="1" x14ac:dyDescent="0.4">
      <c r="A14" s="11" t="s">
        <v>19</v>
      </c>
      <c r="B14" s="15"/>
      <c r="C14" s="80">
        <v>100</v>
      </c>
      <c r="D14" s="6"/>
      <c r="E14" s="120"/>
      <c r="F14" s="121" t="s">
        <v>48</v>
      </c>
      <c r="G14" s="122">
        <f>G13</f>
        <v>46188</v>
      </c>
      <c r="H14" s="123">
        <f t="shared" ca="1" si="0"/>
        <v>0.80494505494505497</v>
      </c>
      <c r="I14" s="124">
        <f ca="1">IF(C11&lt;G14,(+$C$14*0.2),0)</f>
        <v>20</v>
      </c>
      <c r="J14" s="125">
        <f t="shared" ca="1" si="2"/>
        <v>0.91392648427277934</v>
      </c>
      <c r="K14" s="125">
        <f t="shared" ca="1" si="3"/>
        <v>18.278529685455588</v>
      </c>
      <c r="L14" s="126">
        <v>400000</v>
      </c>
    </row>
    <row r="15" spans="1:12" x14ac:dyDescent="0.35">
      <c r="A15" s="11"/>
      <c r="B15" s="15"/>
      <c r="C15" s="55"/>
      <c r="D15" s="6"/>
      <c r="E15" s="120"/>
      <c r="F15" s="8"/>
      <c r="G15" s="127">
        <f>G14+182</f>
        <v>46370</v>
      </c>
      <c r="H15" s="53">
        <f t="shared" ca="1" si="0"/>
        <v>1.304945054945055</v>
      </c>
      <c r="I15" s="21">
        <f ca="1">+($C$14-$I$14)*$C$13/2</f>
        <v>6.3348000000000004</v>
      </c>
      <c r="J15" s="22">
        <f t="shared" ca="1" si="2"/>
        <v>0.86423308205463767</v>
      </c>
      <c r="K15" s="22">
        <f t="shared" ca="1" si="3"/>
        <v>5.4747437281997193</v>
      </c>
      <c r="L15" s="116">
        <v>126696</v>
      </c>
    </row>
    <row r="16" spans="1:12" x14ac:dyDescent="0.35">
      <c r="A16" s="23" t="s">
        <v>20</v>
      </c>
      <c r="B16" s="25"/>
      <c r="C16" s="81">
        <v>0.115</v>
      </c>
      <c r="D16" s="6"/>
      <c r="E16" s="128"/>
      <c r="F16" s="8"/>
      <c r="G16" s="76">
        <f>G15+182</f>
        <v>46552</v>
      </c>
      <c r="H16" s="53">
        <f t="shared" ca="1" si="0"/>
        <v>1.804945054945055</v>
      </c>
      <c r="I16" s="21">
        <f ca="1">+($C$14-$I$14)*$C$13/2</f>
        <v>6.3348000000000004</v>
      </c>
      <c r="J16" s="22">
        <f t="shared" ca="1" si="2"/>
        <v>0.81724168515804974</v>
      </c>
      <c r="K16" s="22">
        <f t="shared" ca="1" si="3"/>
        <v>5.1770626271392137</v>
      </c>
      <c r="L16" s="116">
        <v>126696</v>
      </c>
    </row>
    <row r="17" spans="1:12" ht="15" thickBot="1" x14ac:dyDescent="0.4">
      <c r="A17" s="23"/>
      <c r="B17" s="25"/>
      <c r="C17" s="57"/>
      <c r="D17" s="6"/>
      <c r="F17" s="8"/>
      <c r="G17" s="76">
        <f>G16+182</f>
        <v>46734</v>
      </c>
      <c r="H17" s="53">
        <f t="shared" ca="1" si="0"/>
        <v>2.3049450549450547</v>
      </c>
      <c r="I17" s="21">
        <f ca="1">+($C$14-$I$14)*$C$13/2</f>
        <v>6.3348000000000004</v>
      </c>
      <c r="J17" s="22">
        <f t="shared" ca="1" si="2"/>
        <v>0.77280537603598076</v>
      </c>
      <c r="K17" s="22">
        <f t="shared" ca="1" si="3"/>
        <v>4.8955674961127311</v>
      </c>
      <c r="L17" s="116">
        <v>126696</v>
      </c>
    </row>
    <row r="18" spans="1:12" ht="15" thickBot="1" x14ac:dyDescent="0.4">
      <c r="A18" s="23" t="s">
        <v>21</v>
      </c>
      <c r="B18" s="25"/>
      <c r="C18" s="129">
        <f ca="1">ROUND(SUM(K7:K24)/C14*100,4)</f>
        <v>114.5205</v>
      </c>
      <c r="D18" s="6"/>
      <c r="E18" s="102"/>
      <c r="F18" s="121" t="s">
        <v>49</v>
      </c>
      <c r="G18" s="130">
        <f>G17</f>
        <v>46734</v>
      </c>
      <c r="H18" s="131">
        <f t="shared" ca="1" si="0"/>
        <v>2.3049450549450547</v>
      </c>
      <c r="I18" s="124">
        <f ca="1">IF(C11&lt;G18,(0.3*($C$14-$I$14)),0)</f>
        <v>24</v>
      </c>
      <c r="J18" s="125">
        <f t="shared" ca="1" si="2"/>
        <v>0.77280537603598076</v>
      </c>
      <c r="K18" s="125">
        <f t="shared" ca="1" si="3"/>
        <v>18.547329024863537</v>
      </c>
      <c r="L18" s="126">
        <v>480000</v>
      </c>
    </row>
    <row r="19" spans="1:12" x14ac:dyDescent="0.35">
      <c r="A19" s="11" t="s">
        <v>22</v>
      </c>
      <c r="B19" s="15"/>
      <c r="C19" s="29">
        <f ca="1">(C11-C7)/364*C13*100</f>
        <v>3.0890851648351649</v>
      </c>
      <c r="D19" s="6"/>
      <c r="F19" s="8"/>
      <c r="G19" s="76">
        <f>G18+182</f>
        <v>46916</v>
      </c>
      <c r="H19" s="53">
        <f t="shared" ca="1" si="0"/>
        <v>2.8049450549450547</v>
      </c>
      <c r="I19" s="21">
        <f ca="1">($C$14-($I$14+$I$18))*$C$13/2</f>
        <v>4.4343599999999999</v>
      </c>
      <c r="J19" s="22">
        <f t="shared" ca="1" si="2"/>
        <v>0.73078522556593917</v>
      </c>
      <c r="K19" s="22">
        <f t="shared" ca="1" si="3"/>
        <v>3.2405647728405778</v>
      </c>
      <c r="L19" s="132">
        <v>88687.2</v>
      </c>
    </row>
    <row r="20" spans="1:12" x14ac:dyDescent="0.35">
      <c r="A20" s="30" t="s">
        <v>23</v>
      </c>
      <c r="B20" s="25"/>
      <c r="C20" s="84">
        <f ca="1">+C18-C19</f>
        <v>111.43141483516483</v>
      </c>
      <c r="D20" s="6"/>
      <c r="E20" s="102"/>
      <c r="F20" s="8"/>
      <c r="G20" s="76">
        <f>G19+182</f>
        <v>47098</v>
      </c>
      <c r="H20" s="53">
        <f t="shared" ca="1" si="0"/>
        <v>3.3049450549450547</v>
      </c>
      <c r="I20" s="21">
        <f ca="1">($C$14-($I$14+$I$18))*$C$13/2</f>
        <v>4.4343599999999999</v>
      </c>
      <c r="J20" s="22">
        <f t="shared" ca="1" si="2"/>
        <v>0.6910498586911954</v>
      </c>
      <c r="K20" s="22">
        <f t="shared" ca="1" si="3"/>
        <v>3.0643638513858891</v>
      </c>
      <c r="L20" s="132">
        <v>88687.2</v>
      </c>
    </row>
    <row r="21" spans="1:12" x14ac:dyDescent="0.35">
      <c r="A21" s="6"/>
      <c r="B21" s="6"/>
      <c r="C21" s="6"/>
      <c r="D21" s="6"/>
      <c r="E21" s="83"/>
      <c r="F21" s="8"/>
      <c r="G21" s="76">
        <f>G20+182</f>
        <v>47280</v>
      </c>
      <c r="H21" s="53">
        <f t="shared" ca="1" si="0"/>
        <v>3.8049450549450547</v>
      </c>
      <c r="I21" s="21">
        <f ca="1">($C$14-($I$14+$I$18))*$C$13/2</f>
        <v>4.4343599999999999</v>
      </c>
      <c r="J21" s="22">
        <f t="shared" ca="1" si="2"/>
        <v>0.65347504367961728</v>
      </c>
      <c r="K21" s="22">
        <f t="shared" ca="1" si="3"/>
        <v>2.8977435946911476</v>
      </c>
      <c r="L21" s="132">
        <v>88687.2</v>
      </c>
    </row>
    <row r="22" spans="1:12" x14ac:dyDescent="0.35">
      <c r="A22" s="59" t="s">
        <v>24</v>
      </c>
      <c r="B22" s="6"/>
      <c r="C22" s="133">
        <v>4000000</v>
      </c>
      <c r="D22" s="6"/>
      <c r="E22" s="6"/>
      <c r="F22" s="8"/>
      <c r="G22" s="76">
        <f>G21+182</f>
        <v>47462</v>
      </c>
      <c r="H22" s="53">
        <f t="shared" ca="1" si="0"/>
        <v>4.3049450549450547</v>
      </c>
      <c r="I22" s="21">
        <f ca="1">($C$14-($I$14+$I$18))*$C$13/2</f>
        <v>4.4343599999999999</v>
      </c>
      <c r="J22" s="22">
        <f t="shared" ca="1" si="2"/>
        <v>0.61794330371595008</v>
      </c>
      <c r="K22" s="22">
        <f t="shared" ca="1" si="3"/>
        <v>2.7401830682658601</v>
      </c>
      <c r="L22" s="132">
        <v>88687.2</v>
      </c>
    </row>
    <row r="23" spans="1:12" ht="15" thickBot="1" x14ac:dyDescent="0.4">
      <c r="A23" s="35" t="s">
        <v>25</v>
      </c>
      <c r="B23" s="6"/>
      <c r="C23" s="61">
        <f ca="1">C22*C18/100</f>
        <v>4580820</v>
      </c>
      <c r="D23" s="6"/>
      <c r="E23" s="6"/>
      <c r="F23" s="8"/>
      <c r="G23" s="76">
        <f>G22+182</f>
        <v>47644</v>
      </c>
      <c r="H23" s="53">
        <f t="shared" ca="1" si="0"/>
        <v>4.8049450549450547</v>
      </c>
      <c r="I23" s="21">
        <f ca="1">($C$14-($I$14+$I$18))*$C$13/2</f>
        <v>4.4343599999999999</v>
      </c>
      <c r="J23" s="22">
        <f t="shared" ca="1" si="2"/>
        <v>0.58434354961319146</v>
      </c>
      <c r="K23" s="22">
        <f t="shared" ca="1" si="3"/>
        <v>2.5911896626627517</v>
      </c>
      <c r="L23" s="132">
        <v>88687.2</v>
      </c>
    </row>
    <row r="24" spans="1:12" ht="15" thickBot="1" x14ac:dyDescent="0.4">
      <c r="A24" s="89" t="s">
        <v>26</v>
      </c>
      <c r="B24" s="6"/>
      <c r="C24" s="134">
        <f ca="1">C23*D24</f>
        <v>1099.3968</v>
      </c>
      <c r="D24" s="34">
        <f>0.024%</f>
        <v>2.4000000000000001E-4</v>
      </c>
      <c r="E24" s="6"/>
      <c r="F24" s="121" t="s">
        <v>50</v>
      </c>
      <c r="G24" s="130">
        <f>G23</f>
        <v>47644</v>
      </c>
      <c r="H24" s="131">
        <f t="shared" ca="1" si="0"/>
        <v>4.8049450549450547</v>
      </c>
      <c r="I24" s="124">
        <f ca="1">$C$14-($I$14+$I$18)</f>
        <v>56</v>
      </c>
      <c r="J24" s="125">
        <f t="shared" ca="1" si="2"/>
        <v>0.58434354961319146</v>
      </c>
      <c r="K24" s="125">
        <f t="shared" ca="1" si="3"/>
        <v>32.723238778338725</v>
      </c>
      <c r="L24" s="126">
        <v>1120000</v>
      </c>
    </row>
    <row r="25" spans="1:12" x14ac:dyDescent="0.35">
      <c r="A25" s="89" t="s">
        <v>27</v>
      </c>
      <c r="B25" s="6"/>
      <c r="C25" s="134">
        <f ca="1">C23*D25</f>
        <v>503.89019999999994</v>
      </c>
      <c r="D25" s="37">
        <f>0.011%</f>
        <v>1.0999999999999999E-4</v>
      </c>
      <c r="E25" s="6"/>
      <c r="F25" s="8"/>
      <c r="G25" s="2" t="s">
        <v>43</v>
      </c>
      <c r="H25" s="135"/>
      <c r="I25" s="135"/>
      <c r="J25" s="135"/>
      <c r="K25" s="135"/>
      <c r="L25" s="136">
        <v>988656.04035999998</v>
      </c>
    </row>
    <row r="26" spans="1:12" x14ac:dyDescent="0.35">
      <c r="A26" s="89" t="s">
        <v>28</v>
      </c>
      <c r="C26" s="134">
        <f ca="1">C24*D26</f>
        <v>0</v>
      </c>
      <c r="D26" s="37">
        <f>16%*0</f>
        <v>0</v>
      </c>
      <c r="F26" s="8"/>
      <c r="G26" s="8"/>
      <c r="H26" s="8"/>
      <c r="I26" s="8"/>
      <c r="J26" s="8"/>
      <c r="K26" s="8"/>
      <c r="L26" s="8"/>
    </row>
    <row r="27" spans="1:12" x14ac:dyDescent="0.35">
      <c r="A27" s="93" t="s">
        <v>29</v>
      </c>
      <c r="B27" s="6"/>
      <c r="C27" s="137">
        <f ca="1">C24+C25+C26</f>
        <v>1603.2869999999998</v>
      </c>
      <c r="D27" s="37"/>
      <c r="E27" s="6"/>
      <c r="F27" s="8"/>
      <c r="G27" s="8"/>
      <c r="H27" s="8"/>
      <c r="I27" s="8"/>
      <c r="J27" s="8"/>
      <c r="K27" s="8"/>
      <c r="L27" s="8"/>
    </row>
    <row r="28" spans="1:12" ht="15" thickBot="1" x14ac:dyDescent="0.4">
      <c r="A28" s="89" t="s">
        <v>30</v>
      </c>
      <c r="B28" s="6"/>
      <c r="C28" s="95">
        <f ca="1">C23+C27</f>
        <v>4582423.2869999995</v>
      </c>
      <c r="D28" s="6"/>
      <c r="E28" s="6"/>
      <c r="F28" s="8"/>
      <c r="G28" s="8"/>
      <c r="H28" s="8"/>
      <c r="I28" s="8"/>
      <c r="J28" s="8"/>
      <c r="K28" s="8"/>
      <c r="L28" s="8"/>
    </row>
    <row r="29" spans="1:12" ht="15.5" thickTop="1" thickBot="1" x14ac:dyDescent="0.4">
      <c r="A29" s="99" t="s">
        <v>31</v>
      </c>
      <c r="B29" s="6"/>
      <c r="C29" s="95">
        <f ca="1">C23-C27</f>
        <v>4579216.7130000005</v>
      </c>
      <c r="D29" s="6"/>
      <c r="E29" s="6"/>
      <c r="F29" s="8"/>
      <c r="G29" s="8"/>
      <c r="H29" s="8"/>
      <c r="I29" s="8"/>
      <c r="J29" s="8"/>
      <c r="K29" s="8"/>
    </row>
    <row r="30" spans="1:12" ht="15" thickTop="1" x14ac:dyDescent="0.35"/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EE2F0-BE70-4859-9983-7152F0259434}">
  <dimension ref="B1:N31"/>
  <sheetViews>
    <sheetView workbookViewId="0">
      <selection activeCell="D13" sqref="D13"/>
    </sheetView>
  </sheetViews>
  <sheetFormatPr defaultRowHeight="14.5" x14ac:dyDescent="0.35"/>
  <cols>
    <col min="2" max="2" width="24.1796875" bestFit="1" customWidth="1"/>
    <col min="3" max="3" width="1.26953125" customWidth="1"/>
    <col min="4" max="4" width="21.08984375" customWidth="1"/>
    <col min="5" max="5" width="27.36328125" bestFit="1" customWidth="1"/>
    <col min="6" max="6" width="24.81640625" bestFit="1" customWidth="1"/>
    <col min="7" max="7" width="14.26953125" bestFit="1" customWidth="1"/>
    <col min="8" max="8" width="20.08984375" bestFit="1" customWidth="1"/>
    <col min="9" max="9" width="18.08984375" bestFit="1" customWidth="1"/>
    <col min="10" max="10" width="7.453125" customWidth="1"/>
    <col min="11" max="11" width="9.26953125" customWidth="1"/>
    <col min="12" max="12" width="10.1796875" customWidth="1"/>
    <col min="13" max="13" width="9.54296875" customWidth="1"/>
    <col min="14" max="14" width="17" customWidth="1"/>
  </cols>
  <sheetData>
    <row r="1" spans="2:14" x14ac:dyDescent="0.35">
      <c r="B1" s="4" t="s">
        <v>51</v>
      </c>
      <c r="C1" s="4"/>
      <c r="D1" s="5"/>
      <c r="E1" s="5"/>
      <c r="F1" s="52"/>
      <c r="G1" s="6"/>
      <c r="H1" s="7"/>
      <c r="I1" s="138"/>
      <c r="J1" s="8"/>
      <c r="K1" s="8"/>
      <c r="L1" s="8"/>
      <c r="M1" s="8"/>
    </row>
    <row r="2" spans="2:14" x14ac:dyDescent="0.35">
      <c r="B2" s="6"/>
      <c r="C2" s="6"/>
      <c r="D2" s="6"/>
      <c r="E2" s="6"/>
      <c r="F2" s="6"/>
      <c r="G2" s="6"/>
      <c r="H2" s="8"/>
      <c r="I2" s="8"/>
      <c r="J2" s="8"/>
      <c r="K2" s="8"/>
      <c r="L2" s="8"/>
      <c r="M2" s="8"/>
      <c r="N2" s="8"/>
    </row>
    <row r="3" spans="2:14" x14ac:dyDescent="0.35">
      <c r="B3" s="9" t="s">
        <v>1</v>
      </c>
      <c r="C3" s="6"/>
      <c r="D3" s="10" t="s">
        <v>52</v>
      </c>
      <c r="E3" s="6"/>
      <c r="F3" s="6"/>
      <c r="G3" s="6"/>
      <c r="H3" s="8"/>
      <c r="I3" s="8"/>
      <c r="J3" s="8"/>
      <c r="K3" s="8"/>
      <c r="L3" s="8"/>
      <c r="M3" s="8"/>
      <c r="N3" s="8"/>
    </row>
    <row r="4" spans="2:14" ht="15" thickBot="1" x14ac:dyDescent="0.4">
      <c r="B4" s="11" t="s">
        <v>4</v>
      </c>
      <c r="C4" s="6"/>
      <c r="D4" s="12" t="s">
        <v>53</v>
      </c>
      <c r="E4" s="13"/>
      <c r="F4" s="13"/>
      <c r="G4" s="13"/>
      <c r="H4" s="8"/>
      <c r="I4" s="8"/>
      <c r="J4" s="8"/>
      <c r="K4" s="8"/>
      <c r="L4" s="8"/>
      <c r="M4" s="8"/>
      <c r="N4" s="8"/>
    </row>
    <row r="5" spans="2:14" ht="15" thickBot="1" x14ac:dyDescent="0.4">
      <c r="B5" s="11" t="s">
        <v>6</v>
      </c>
      <c r="C5" s="15"/>
      <c r="D5" s="66">
        <v>45243</v>
      </c>
      <c r="E5" s="6"/>
      <c r="F5" s="6"/>
      <c r="G5" s="6"/>
      <c r="I5" s="139" t="s">
        <v>52</v>
      </c>
    </row>
    <row r="6" spans="2:14" ht="15" thickBot="1" x14ac:dyDescent="0.4">
      <c r="B6" s="11"/>
      <c r="C6" s="15"/>
      <c r="D6" s="66"/>
      <c r="E6" s="6"/>
      <c r="F6" s="6"/>
      <c r="G6" s="6"/>
      <c r="I6" s="139" t="s">
        <v>54</v>
      </c>
    </row>
    <row r="7" spans="2:14" x14ac:dyDescent="0.35">
      <c r="B7" s="11" t="s">
        <v>7</v>
      </c>
      <c r="C7" s="15"/>
      <c r="D7" s="66">
        <f>D5+(364*6.5)</f>
        <v>47609</v>
      </c>
      <c r="E7" s="6"/>
      <c r="F7" s="6"/>
      <c r="G7" s="6"/>
      <c r="H7" s="140" t="s">
        <v>55</v>
      </c>
      <c r="I7" s="141" t="s">
        <v>8</v>
      </c>
      <c r="J7" s="112" t="s">
        <v>9</v>
      </c>
      <c r="K7" s="113" t="s">
        <v>10</v>
      </c>
      <c r="L7" s="113" t="s">
        <v>11</v>
      </c>
      <c r="M7" s="113" t="s">
        <v>12</v>
      </c>
      <c r="N7" s="114" t="s">
        <v>13</v>
      </c>
    </row>
    <row r="8" spans="2:14" x14ac:dyDescent="0.35">
      <c r="B8" s="11" t="s">
        <v>14</v>
      </c>
      <c r="C8" s="15"/>
      <c r="D8" s="66">
        <f ca="1">LOOKUP(D12,I8:I24)</f>
        <v>45789</v>
      </c>
      <c r="E8" s="6"/>
      <c r="F8" s="6"/>
      <c r="G8" s="6"/>
      <c r="H8" s="142"/>
      <c r="I8" s="143">
        <f>D5</f>
        <v>45243</v>
      </c>
      <c r="J8" s="53">
        <f t="shared" ref="J8:J15" ca="1" si="0">+(I8-$D$12)/364</f>
        <v>-1.7802197802197801</v>
      </c>
      <c r="K8" s="21">
        <f t="shared" ref="K8:K15" si="1">+$D$14*$D$15/2</f>
        <v>8.9663499999999985</v>
      </c>
      <c r="L8" s="22">
        <f t="shared" ref="L8:L24" ca="1" si="2">1/((1+$D$17/2)^(2*J8))</f>
        <v>1.2618337388230512</v>
      </c>
      <c r="M8" s="22">
        <f t="shared" ref="M8:M15" ca="1" si="3">IF(I8&lt;=$D$12,0,+K8*L8)</f>
        <v>0</v>
      </c>
      <c r="N8" s="1"/>
    </row>
    <row r="9" spans="2:14" x14ac:dyDescent="0.35">
      <c r="B9" s="11" t="s">
        <v>15</v>
      </c>
      <c r="C9" s="15"/>
      <c r="D9" s="66">
        <f ca="1">LOOKUP(D12,I8:I24)+182</f>
        <v>45971</v>
      </c>
      <c r="E9" s="6"/>
      <c r="F9" s="6"/>
      <c r="G9" s="6"/>
      <c r="H9" s="142"/>
      <c r="I9" s="143">
        <f t="shared" ref="I9:I15" si="4">I8+182</f>
        <v>45425</v>
      </c>
      <c r="J9" s="53">
        <f t="shared" ca="1" si="0"/>
        <v>-1.2802197802197801</v>
      </c>
      <c r="K9" s="21">
        <f t="shared" si="1"/>
        <v>8.9663499999999985</v>
      </c>
      <c r="L9" s="22">
        <f t="shared" ca="1" si="2"/>
        <v>1.1820456569770972</v>
      </c>
      <c r="M9" s="22">
        <f t="shared" ca="1" si="3"/>
        <v>0</v>
      </c>
      <c r="N9" s="116"/>
    </row>
    <row r="10" spans="2:14" x14ac:dyDescent="0.35">
      <c r="B10" s="11"/>
      <c r="C10" s="15"/>
      <c r="D10" s="16"/>
      <c r="E10" s="6"/>
      <c r="F10" s="6"/>
      <c r="G10" s="6"/>
      <c r="H10" s="142"/>
      <c r="I10" s="143">
        <f t="shared" si="4"/>
        <v>45607</v>
      </c>
      <c r="J10" s="53">
        <f t="shared" ca="1" si="0"/>
        <v>-0.78021978021978022</v>
      </c>
      <c r="K10" s="21">
        <f t="shared" si="1"/>
        <v>8.9663499999999985</v>
      </c>
      <c r="L10" s="22">
        <f t="shared" ca="1" si="2"/>
        <v>1.1073027231635573</v>
      </c>
      <c r="M10" s="22">
        <f t="shared" ca="1" si="3"/>
        <v>0</v>
      </c>
      <c r="N10" s="116"/>
    </row>
    <row r="11" spans="2:14" x14ac:dyDescent="0.35">
      <c r="B11" s="23" t="s">
        <v>16</v>
      </c>
      <c r="C11" s="15"/>
      <c r="D11" s="24">
        <f ca="1">D12</f>
        <v>45891</v>
      </c>
      <c r="E11" s="6"/>
      <c r="F11" s="6"/>
      <c r="G11" s="6"/>
      <c r="H11" s="142"/>
      <c r="I11" s="143">
        <f t="shared" si="4"/>
        <v>45789</v>
      </c>
      <c r="J11" s="53">
        <f t="shared" ca="1" si="0"/>
        <v>-0.28021978021978022</v>
      </c>
      <c r="K11" s="21">
        <f t="shared" si="1"/>
        <v>8.9663499999999985</v>
      </c>
      <c r="L11" s="22">
        <f t="shared" ca="1" si="2"/>
        <v>1.037285923338227</v>
      </c>
      <c r="M11" s="22">
        <f t="shared" ca="1" si="3"/>
        <v>0</v>
      </c>
      <c r="N11" s="116"/>
    </row>
    <row r="12" spans="2:14" x14ac:dyDescent="0.35">
      <c r="B12" s="23" t="s">
        <v>17</v>
      </c>
      <c r="C12" s="25"/>
      <c r="D12" s="24">
        <f ca="1">TODAY()</f>
        <v>45891</v>
      </c>
      <c r="E12" s="6"/>
      <c r="F12" s="6"/>
      <c r="G12" s="6"/>
      <c r="H12" s="142"/>
      <c r="I12" s="143">
        <f t="shared" si="4"/>
        <v>45971</v>
      </c>
      <c r="J12" s="53">
        <f t="shared" ca="1" si="0"/>
        <v>0.21978021978021978</v>
      </c>
      <c r="K12" s="21">
        <f t="shared" si="1"/>
        <v>8.9663499999999985</v>
      </c>
      <c r="L12" s="22">
        <f t="shared" ca="1" si="2"/>
        <v>0.97169641530513085</v>
      </c>
      <c r="M12" s="22">
        <f t="shared" ca="1" si="3"/>
        <v>8.7125701533711588</v>
      </c>
      <c r="N12" s="116">
        <f t="shared" ref="N12:N15" si="5">K12*$D$23/100</f>
        <v>4483.1749999999993</v>
      </c>
    </row>
    <row r="13" spans="2:14" x14ac:dyDescent="0.35">
      <c r="B13" s="23"/>
      <c r="C13" s="25"/>
      <c r="D13" s="144"/>
      <c r="E13" s="6"/>
      <c r="F13" s="6"/>
      <c r="G13" s="83"/>
      <c r="H13" s="142"/>
      <c r="I13" s="143">
        <f t="shared" si="4"/>
        <v>46153</v>
      </c>
      <c r="J13" s="53">
        <f t="shared" ca="1" si="0"/>
        <v>0.71978021978021978</v>
      </c>
      <c r="K13" s="21">
        <f t="shared" si="1"/>
        <v>8.9663499999999985</v>
      </c>
      <c r="L13" s="22">
        <f t="shared" ca="1" si="2"/>
        <v>0.91025425321323739</v>
      </c>
      <c r="M13" s="22">
        <f t="shared" ca="1" si="3"/>
        <v>8.1616582232985095</v>
      </c>
      <c r="N13" s="116">
        <f t="shared" si="5"/>
        <v>4483.1749999999993</v>
      </c>
    </row>
    <row r="14" spans="2:14" x14ac:dyDescent="0.35">
      <c r="B14" s="11" t="s">
        <v>18</v>
      </c>
      <c r="C14" s="15"/>
      <c r="D14" s="79">
        <v>0.17932699999999999</v>
      </c>
      <c r="E14" s="6"/>
      <c r="F14" s="6"/>
      <c r="G14" s="6"/>
      <c r="H14" s="142"/>
      <c r="I14" s="143">
        <f t="shared" si="4"/>
        <v>46335</v>
      </c>
      <c r="J14" s="53">
        <f t="shared" ca="1" si="0"/>
        <v>1.2197802197802199</v>
      </c>
      <c r="K14" s="21">
        <f t="shared" si="1"/>
        <v>8.9663499999999985</v>
      </c>
      <c r="L14" s="22">
        <f t="shared" ca="1" si="2"/>
        <v>0.85269719270560895</v>
      </c>
      <c r="M14" s="22">
        <f t="shared" ca="1" si="3"/>
        <v>7.6455814738159358</v>
      </c>
      <c r="N14" s="116">
        <f t="shared" si="5"/>
        <v>4483.1749999999993</v>
      </c>
    </row>
    <row r="15" spans="2:14" x14ac:dyDescent="0.35">
      <c r="B15" s="11" t="s">
        <v>19</v>
      </c>
      <c r="C15" s="15"/>
      <c r="D15" s="145">
        <v>100</v>
      </c>
      <c r="E15" s="6"/>
      <c r="F15" s="6"/>
      <c r="G15" s="6"/>
      <c r="H15" s="142"/>
      <c r="I15" s="143">
        <f t="shared" si="4"/>
        <v>46517</v>
      </c>
      <c r="J15" s="53">
        <f t="shared" ca="1" si="0"/>
        <v>1.7197802197802199</v>
      </c>
      <c r="K15" s="21">
        <f t="shared" si="1"/>
        <v>8.9663499999999985</v>
      </c>
      <c r="L15" s="22">
        <f t="shared" ca="1" si="2"/>
        <v>0.79877957162117941</v>
      </c>
      <c r="M15" s="22">
        <f t="shared" ca="1" si="3"/>
        <v>7.1621372120055611</v>
      </c>
      <c r="N15" s="116">
        <f t="shared" si="5"/>
        <v>4483.1749999999993</v>
      </c>
    </row>
    <row r="16" spans="2:14" x14ac:dyDescent="0.35">
      <c r="B16" s="11"/>
      <c r="C16" s="15"/>
      <c r="D16" s="146"/>
      <c r="E16" s="6"/>
      <c r="F16" s="6"/>
      <c r="G16" s="58"/>
      <c r="H16" s="147" t="s">
        <v>56</v>
      </c>
      <c r="I16" s="148">
        <f>I15</f>
        <v>46517</v>
      </c>
      <c r="J16" s="131">
        <f ca="1">+(I16-$D$12)/364</f>
        <v>1.7197802197802199</v>
      </c>
      <c r="K16" s="124">
        <f ca="1">IF(D12&lt;I16,(+$D$15*0.5),0)</f>
        <v>50</v>
      </c>
      <c r="L16" s="125">
        <f t="shared" ca="1" si="2"/>
        <v>0.79877957162117941</v>
      </c>
      <c r="M16" s="125">
        <f ca="1">IF(I16&lt;=$D$12,0,+K16*L16)</f>
        <v>39.938978581058969</v>
      </c>
      <c r="N16" s="126">
        <f>IF($D$23&lt;=1000000,$D$23,K16/100*$D$23)</f>
        <v>50000</v>
      </c>
    </row>
    <row r="17" spans="2:14" x14ac:dyDescent="0.35">
      <c r="B17" s="23" t="s">
        <v>20</v>
      </c>
      <c r="C17" s="25"/>
      <c r="D17" s="81">
        <v>0.13500000000000001</v>
      </c>
      <c r="E17" s="6"/>
      <c r="F17" s="58"/>
      <c r="G17" s="58"/>
      <c r="H17" s="142"/>
      <c r="I17" s="143">
        <f>I16+182</f>
        <v>46699</v>
      </c>
      <c r="J17" s="53">
        <f ca="1">+(I17-$D$12)/364</f>
        <v>2.2197802197802199</v>
      </c>
      <c r="K17" s="21">
        <f ca="1">+($D$15-$K$16)*$D$14/2</f>
        <v>4.4831749999999992</v>
      </c>
      <c r="L17" s="22">
        <f t="shared" ca="1" si="2"/>
        <v>0.74827126147183087</v>
      </c>
      <c r="M17" s="22">
        <f ca="1">IF(I17&lt;=$D$12,0,+K17*L17)</f>
        <v>3.3546310126489747</v>
      </c>
      <c r="N17" s="116">
        <f>IF($D$23&lt;=1000000,0,K17/100*$D$23)</f>
        <v>0</v>
      </c>
    </row>
    <row r="18" spans="2:14" ht="15" thickBot="1" x14ac:dyDescent="0.4">
      <c r="B18" s="23"/>
      <c r="C18" s="25"/>
      <c r="D18" s="149"/>
      <c r="E18" s="6"/>
      <c r="F18" s="58"/>
      <c r="G18" s="58"/>
      <c r="H18" s="142" t="s">
        <v>57</v>
      </c>
      <c r="I18" s="143">
        <f>I17+182</f>
        <v>46881</v>
      </c>
      <c r="J18" s="53">
        <f ca="1">+(I18-$D$12)/364</f>
        <v>2.7197802197802199</v>
      </c>
      <c r="K18" s="21">
        <f ca="1">+($D$15-$K$16)*$D$14/2</f>
        <v>4.4831749999999992</v>
      </c>
      <c r="L18" s="22">
        <f t="shared" ca="1" si="2"/>
        <v>0.70095668521951371</v>
      </c>
      <c r="M18" s="22">
        <f ca="1">IF(I18&lt;=$D$12,0,+K18*L18)</f>
        <v>3.142511487258993</v>
      </c>
      <c r="N18" s="116">
        <f t="shared" ref="N18:N20" si="6">IF($D$23&lt;=1000000,0,K18/100*$D$23)</f>
        <v>0</v>
      </c>
    </row>
    <row r="19" spans="2:14" ht="15" thickBot="1" x14ac:dyDescent="0.4">
      <c r="B19" s="23" t="s">
        <v>21</v>
      </c>
      <c r="C19" s="25"/>
      <c r="D19" s="129">
        <f ca="1">ROUND(SUM(M8:M24)/D15*100,4)</f>
        <v>115.4409</v>
      </c>
      <c r="E19" s="6"/>
      <c r="F19" s="6"/>
      <c r="G19" s="58"/>
      <c r="H19" s="142"/>
      <c r="I19" s="143">
        <f t="shared" ref="I19:I20" si="7">I18+182</f>
        <v>47063</v>
      </c>
      <c r="J19" s="53">
        <f t="shared" ref="J19:J20" ca="1" si="8">+(I19-$D$12)/364</f>
        <v>3.2197802197802199</v>
      </c>
      <c r="K19" s="21">
        <f ca="1">+($D$15-$K$16)*$D$14/2</f>
        <v>4.4831749999999992</v>
      </c>
      <c r="L19" s="22">
        <f t="shared" ca="1" si="2"/>
        <v>0.65663389716113707</v>
      </c>
      <c r="M19" s="22">
        <f t="shared" ref="M19:M20" ca="1" si="9">IF(I19&lt;=$D$12,0,+K19*L19)</f>
        <v>2.9438046719053803</v>
      </c>
      <c r="N19" s="116">
        <f t="shared" si="6"/>
        <v>0</v>
      </c>
    </row>
    <row r="20" spans="2:14" x14ac:dyDescent="0.35">
      <c r="B20" s="11" t="s">
        <v>22</v>
      </c>
      <c r="C20" s="15"/>
      <c r="D20" s="29">
        <f ca="1">(D12-D8)/364*D14*100</f>
        <v>5.0250972527472522</v>
      </c>
      <c r="E20" s="6"/>
      <c r="F20" s="58"/>
      <c r="G20" s="58"/>
      <c r="H20" s="142"/>
      <c r="I20" s="143">
        <f t="shared" si="7"/>
        <v>47245</v>
      </c>
      <c r="J20" s="53">
        <f t="shared" ca="1" si="8"/>
        <v>3.7197802197802199</v>
      </c>
      <c r="K20" s="21">
        <f ca="1">+($D$15-$K$16)*$D$14/2</f>
        <v>4.4831749999999992</v>
      </c>
      <c r="L20" s="22">
        <f t="shared" ca="1" si="2"/>
        <v>0.61511372099403938</v>
      </c>
      <c r="M20" s="22">
        <f t="shared" ca="1" si="9"/>
        <v>2.7576624561174521</v>
      </c>
      <c r="N20" s="116">
        <f t="shared" si="6"/>
        <v>0</v>
      </c>
    </row>
    <row r="21" spans="2:14" x14ac:dyDescent="0.35">
      <c r="B21" s="30" t="s">
        <v>23</v>
      </c>
      <c r="C21" s="25"/>
      <c r="D21" s="84">
        <f ca="1">+D19-D20</f>
        <v>110.41580274725274</v>
      </c>
      <c r="E21" s="6"/>
      <c r="F21" s="6"/>
      <c r="G21" s="6"/>
      <c r="H21" s="147" t="s">
        <v>58</v>
      </c>
      <c r="I21" s="148">
        <f>I20</f>
        <v>47245</v>
      </c>
      <c r="J21" s="131">
        <f ca="1">+(I21-$D$12)/364</f>
        <v>3.7197802197802199</v>
      </c>
      <c r="K21" s="124">
        <f ca="1">IF(D12&lt;I21,(0.3*($D$15-$K$16)),0)</f>
        <v>15</v>
      </c>
      <c r="L21" s="125">
        <f t="shared" ca="1" si="2"/>
        <v>0.61511372099403938</v>
      </c>
      <c r="M21" s="125">
        <f ca="1">IF(I21&lt;=$D$12,0,+K21*L21)</f>
        <v>9.2267058149105914</v>
      </c>
      <c r="N21" s="126">
        <f>IF(($D$23-$N$16)&lt;=1000000,($D$23-$N$16),K21/100*$D$23)</f>
        <v>0</v>
      </c>
    </row>
    <row r="22" spans="2:14" x14ac:dyDescent="0.35">
      <c r="B22" s="6"/>
      <c r="C22" s="6"/>
      <c r="D22" s="150"/>
      <c r="E22" s="6"/>
      <c r="F22" s="58"/>
      <c r="G22" s="83"/>
      <c r="H22" s="142"/>
      <c r="I22" s="143">
        <f>I21+182</f>
        <v>47427</v>
      </c>
      <c r="J22" s="53">
        <f ca="1">+(I22-$D$12)/364</f>
        <v>4.2197802197802199</v>
      </c>
      <c r="K22" s="21">
        <f ca="1">($D$15-($K$16+$K$21))*$D$14/2</f>
        <v>3.1382224999999999</v>
      </c>
      <c r="L22" s="22">
        <f t="shared" ca="1" si="2"/>
        <v>0.57621894238317528</v>
      </c>
      <c r="M22" s="22">
        <f ca="1">IF(I22&lt;=$D$12,0,+K22*L22)</f>
        <v>1.8083032499130842</v>
      </c>
      <c r="N22" s="132">
        <f>IF(($D$23-$N$16)&lt;=1000000,0,K22/100*$D$23)</f>
        <v>0</v>
      </c>
    </row>
    <row r="23" spans="2:14" x14ac:dyDescent="0.35">
      <c r="B23" s="151" t="s">
        <v>24</v>
      </c>
      <c r="C23" s="6"/>
      <c r="D23" s="133">
        <v>50000</v>
      </c>
      <c r="E23" s="6"/>
      <c r="F23" s="6"/>
      <c r="G23" s="6"/>
      <c r="H23" s="142"/>
      <c r="I23" s="143">
        <f>I22+182</f>
        <v>47609</v>
      </c>
      <c r="J23" s="53">
        <f ca="1">+(I23-$D$12)/364</f>
        <v>4.7197802197802199</v>
      </c>
      <c r="K23" s="21">
        <f ca="1">($D$15-($K$16+$K$21))*$D$14/2</f>
        <v>3.1382224999999999</v>
      </c>
      <c r="L23" s="22">
        <f t="shared" ca="1" si="2"/>
        <v>0.53978355258377064</v>
      </c>
      <c r="M23" s="22">
        <f ca="1">IF(I23&lt;=$D$12,0,+K23*L23)</f>
        <v>1.693960889848322</v>
      </c>
      <c r="N23" s="132">
        <f>IF(($D$23-$N$16)&lt;=1000000,0,K23/100*$D$23)</f>
        <v>0</v>
      </c>
    </row>
    <row r="24" spans="2:14" ht="15" thickBot="1" x14ac:dyDescent="0.4">
      <c r="B24" s="152" t="s">
        <v>25</v>
      </c>
      <c r="C24" s="87"/>
      <c r="D24" s="153">
        <f ca="1">D23*D19/100</f>
        <v>57720.45</v>
      </c>
      <c r="E24" s="6"/>
      <c r="F24" s="6"/>
      <c r="G24" s="6"/>
      <c r="H24" s="154" t="s">
        <v>59</v>
      </c>
      <c r="I24" s="148">
        <f>I23</f>
        <v>47609</v>
      </c>
      <c r="J24" s="131">
        <f ca="1">+(I24-$D$12)/364</f>
        <v>4.7197802197802199</v>
      </c>
      <c r="K24" s="124">
        <f ca="1">$D$15-($K$16+$K$21)</f>
        <v>35</v>
      </c>
      <c r="L24" s="125">
        <f t="shared" ca="1" si="2"/>
        <v>0.53978355258377064</v>
      </c>
      <c r="M24" s="125">
        <f ca="1">IF(I24&lt;=$D$12,0,+K24*L24)</f>
        <v>18.892424340431972</v>
      </c>
      <c r="N24" s="126">
        <f>D23-N21-N16</f>
        <v>0</v>
      </c>
    </row>
    <row r="25" spans="2:14" ht="15" thickBot="1" x14ac:dyDescent="0.4">
      <c r="B25" s="155" t="s">
        <v>26</v>
      </c>
      <c r="C25" s="6"/>
      <c r="D25" s="134">
        <f>1000</f>
        <v>1000</v>
      </c>
      <c r="E25" s="34">
        <f>0.024%</f>
        <v>2.4000000000000001E-4</v>
      </c>
      <c r="F25" s="34"/>
      <c r="G25" s="6"/>
      <c r="H25" s="8"/>
      <c r="I25" s="156" t="s">
        <v>60</v>
      </c>
      <c r="J25" s="106"/>
      <c r="K25" s="106"/>
      <c r="L25" s="106"/>
      <c r="M25" s="106"/>
      <c r="N25" s="157">
        <f>SUM(N11:N24)</f>
        <v>67932.7</v>
      </c>
    </row>
    <row r="26" spans="2:14" x14ac:dyDescent="0.35">
      <c r="B26" s="155" t="s">
        <v>27</v>
      </c>
      <c r="C26" s="6"/>
      <c r="D26" s="134">
        <f ca="1">D24*E26</f>
        <v>6.3492494999999991</v>
      </c>
      <c r="E26" s="37">
        <f>0.011%</f>
        <v>1.0999999999999999E-4</v>
      </c>
      <c r="F26" s="37"/>
      <c r="G26" s="6"/>
      <c r="H26" s="8"/>
      <c r="I26" s="8"/>
      <c r="J26" s="8"/>
      <c r="K26" s="8"/>
      <c r="L26" s="8"/>
      <c r="M26" s="8"/>
      <c r="N26" s="8"/>
    </row>
    <row r="27" spans="2:14" x14ac:dyDescent="0.35">
      <c r="B27" s="155" t="s">
        <v>28</v>
      </c>
      <c r="D27" s="134">
        <f>D25*E27</f>
        <v>0</v>
      </c>
      <c r="E27" s="37">
        <f>16%*0</f>
        <v>0</v>
      </c>
      <c r="F27" s="37"/>
      <c r="H27" s="8"/>
      <c r="I27" s="8"/>
      <c r="J27" s="8"/>
      <c r="K27" s="8"/>
      <c r="L27" s="8"/>
      <c r="M27" s="8"/>
      <c r="N27" s="8"/>
    </row>
    <row r="28" spans="2:14" x14ac:dyDescent="0.35">
      <c r="B28" s="158" t="s">
        <v>29</v>
      </c>
      <c r="C28" s="6"/>
      <c r="D28" s="137">
        <f ca="1">SUM(D25:D27)</f>
        <v>1006.3492495</v>
      </c>
      <c r="E28" s="37"/>
      <c r="F28" s="37"/>
      <c r="G28" s="6"/>
      <c r="H28" s="8"/>
      <c r="I28" s="159"/>
    </row>
    <row r="29" spans="2:14" ht="15" thickBot="1" x14ac:dyDescent="0.4">
      <c r="B29" s="155" t="s">
        <v>30</v>
      </c>
      <c r="C29" s="6"/>
      <c r="D29" s="95">
        <f ca="1">D24+D28</f>
        <v>58726.7992495</v>
      </c>
      <c r="E29" s="6"/>
      <c r="F29" s="6"/>
      <c r="G29" s="6"/>
      <c r="H29" s="8"/>
      <c r="I29" s="160"/>
    </row>
    <row r="30" spans="2:14" ht="15.5" thickTop="1" thickBot="1" x14ac:dyDescent="0.4">
      <c r="B30" s="161" t="s">
        <v>31</v>
      </c>
      <c r="C30" s="87"/>
      <c r="D30" s="162">
        <f ca="1">D24-D28</f>
        <v>56714.100750499994</v>
      </c>
      <c r="E30" s="6"/>
      <c r="F30" s="6"/>
      <c r="G30" s="6"/>
      <c r="H30" s="8"/>
      <c r="I30" s="138"/>
      <c r="J30" s="8"/>
      <c r="K30" s="8"/>
      <c r="L30" s="8"/>
      <c r="M30" s="8"/>
    </row>
    <row r="31" spans="2:14" ht="15" thickTop="1" x14ac:dyDescent="0.35"/>
  </sheetData>
  <mergeCells count="1">
    <mergeCell ref="B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F3B33-588F-47B8-B4BE-4DDC6D0A6C5D}">
  <dimension ref="A1:L30"/>
  <sheetViews>
    <sheetView topLeftCell="A15" workbookViewId="0">
      <selection activeCell="D14" sqref="D14"/>
    </sheetView>
  </sheetViews>
  <sheetFormatPr defaultRowHeight="14.5" x14ac:dyDescent="0.35"/>
  <cols>
    <col min="1" max="1" width="19.26953125" customWidth="1"/>
    <col min="2" max="2" width="5.26953125" customWidth="1"/>
    <col min="3" max="3" width="21.1796875" customWidth="1"/>
    <col min="4" max="4" width="10.6328125" customWidth="1"/>
    <col min="5" max="5" width="13.90625" customWidth="1"/>
    <col min="6" max="6" width="12.7265625" customWidth="1"/>
    <col min="7" max="7" width="9.08984375" customWidth="1"/>
    <col min="8" max="8" width="14.1796875" customWidth="1"/>
    <col min="9" max="9" width="9.26953125" customWidth="1"/>
    <col min="10" max="10" width="10.1796875" customWidth="1"/>
    <col min="11" max="11" width="11.26953125" customWidth="1"/>
    <col min="12" max="12" width="18.90625" customWidth="1"/>
  </cols>
  <sheetData>
    <row r="1" spans="1:12" x14ac:dyDescent="0.35">
      <c r="A1" s="4" t="s">
        <v>61</v>
      </c>
      <c r="B1" s="4"/>
      <c r="C1" s="5"/>
      <c r="D1" s="5"/>
      <c r="E1" s="6"/>
      <c r="G1" s="8"/>
      <c r="H1" s="8"/>
      <c r="I1" s="8"/>
      <c r="J1" s="8"/>
      <c r="K1" s="8"/>
    </row>
    <row r="2" spans="1:12" x14ac:dyDescent="0.35">
      <c r="A2" s="6"/>
      <c r="B2" s="6"/>
      <c r="C2" s="6"/>
      <c r="D2" s="6"/>
      <c r="E2" s="6"/>
      <c r="G2" s="8"/>
      <c r="H2" s="8"/>
      <c r="I2" s="8"/>
      <c r="J2" s="8"/>
      <c r="K2" s="8"/>
    </row>
    <row r="3" spans="1:12" x14ac:dyDescent="0.35">
      <c r="A3" s="9" t="s">
        <v>1</v>
      </c>
      <c r="B3" s="6"/>
      <c r="C3" s="10" t="s">
        <v>62</v>
      </c>
      <c r="D3" s="6"/>
      <c r="E3" s="6"/>
      <c r="G3" s="8"/>
      <c r="H3" s="8"/>
      <c r="I3" s="8"/>
      <c r="J3" s="8"/>
      <c r="K3" s="8"/>
    </row>
    <row r="4" spans="1:12" ht="15" thickBot="1" x14ac:dyDescent="0.4">
      <c r="A4" s="11" t="s">
        <v>4</v>
      </c>
      <c r="B4" s="6"/>
      <c r="C4" s="12" t="s">
        <v>63</v>
      </c>
      <c r="D4" s="13"/>
      <c r="E4" s="13"/>
      <c r="G4" s="163"/>
      <c r="H4" s="8"/>
      <c r="I4" s="8"/>
      <c r="J4" s="8"/>
      <c r="K4" s="8"/>
    </row>
    <row r="5" spans="1:12" ht="15" thickBot="1" x14ac:dyDescent="0.4">
      <c r="A5" s="11" t="s">
        <v>6</v>
      </c>
      <c r="B5" s="15"/>
      <c r="C5" s="66">
        <v>45341</v>
      </c>
      <c r="D5" s="6"/>
      <c r="E5" s="6"/>
      <c r="G5" s="164" t="s">
        <v>64</v>
      </c>
      <c r="H5" s="165"/>
      <c r="I5" s="165"/>
      <c r="J5" s="165"/>
      <c r="K5" s="165"/>
      <c r="L5" s="165"/>
    </row>
    <row r="6" spans="1:12" x14ac:dyDescent="0.35">
      <c r="A6" s="11" t="s">
        <v>7</v>
      </c>
      <c r="B6" s="15"/>
      <c r="C6" s="66">
        <f>C5+(364*8.5)</f>
        <v>48435</v>
      </c>
      <c r="D6" s="6"/>
      <c r="E6" s="6"/>
      <c r="G6" s="111" t="s">
        <v>8</v>
      </c>
      <c r="H6" s="112" t="s">
        <v>9</v>
      </c>
      <c r="I6" s="113" t="s">
        <v>10</v>
      </c>
      <c r="J6" s="113" t="s">
        <v>11</v>
      </c>
      <c r="K6" s="113" t="s">
        <v>12</v>
      </c>
      <c r="L6" s="114" t="s">
        <v>13</v>
      </c>
    </row>
    <row r="7" spans="1:12" x14ac:dyDescent="0.35">
      <c r="A7" s="11" t="s">
        <v>14</v>
      </c>
      <c r="B7" s="15"/>
      <c r="C7" s="66">
        <f ca="1">LOOKUP(C11,G7:G27)</f>
        <v>45887</v>
      </c>
      <c r="D7" s="6"/>
      <c r="E7" s="6"/>
      <c r="G7" s="76">
        <f>C5</f>
        <v>45341</v>
      </c>
      <c r="H7" s="53">
        <f t="shared" ref="H7:H27" ca="1" si="0">+(G7-$C$11)/364</f>
        <v>-1.5137362637362637</v>
      </c>
      <c r="I7" s="21">
        <f t="shared" ref="I7:I13" si="1">+$C$13*$C$14/2</f>
        <v>9.2303499999999996</v>
      </c>
      <c r="J7" s="22">
        <f t="shared" ref="J7:J27" ca="1" si="2">1/((1+$C$16/2)^(2*H7))</f>
        <v>1.2114280431423283</v>
      </c>
      <c r="K7" s="22">
        <f t="shared" ref="K7:K27" ca="1" si="3">IF(G7&lt;=$C$11,0,+I7*J7)</f>
        <v>0</v>
      </c>
      <c r="L7" s="1"/>
    </row>
    <row r="8" spans="1:12" x14ac:dyDescent="0.35">
      <c r="A8" s="11" t="s">
        <v>15</v>
      </c>
      <c r="B8" s="15"/>
      <c r="C8" s="66">
        <f ca="1">LOOKUP(C11,G7:G27)+182</f>
        <v>46069</v>
      </c>
      <c r="D8" s="6"/>
      <c r="E8" s="6"/>
      <c r="G8" s="76">
        <f t="shared" ref="G8:G13" si="4">G7+182</f>
        <v>45523</v>
      </c>
      <c r="H8" s="53">
        <f t="shared" ca="1" si="0"/>
        <v>-1.0137362637362637</v>
      </c>
      <c r="I8" s="21">
        <f t="shared" si="1"/>
        <v>9.2303499999999996</v>
      </c>
      <c r="J8" s="22">
        <f t="shared" ca="1" si="2"/>
        <v>1.1370608522243022</v>
      </c>
      <c r="K8" s="22">
        <f t="shared" ca="1" si="3"/>
        <v>0</v>
      </c>
      <c r="L8" s="116"/>
    </row>
    <row r="9" spans="1:12" x14ac:dyDescent="0.35">
      <c r="A9" s="11"/>
      <c r="B9" s="15"/>
      <c r="C9" s="16"/>
      <c r="D9" s="6"/>
      <c r="E9" s="6"/>
      <c r="G9" s="76">
        <f t="shared" si="4"/>
        <v>45705</v>
      </c>
      <c r="H9" s="53">
        <f t="shared" ca="1" si="0"/>
        <v>-0.51373626373626369</v>
      </c>
      <c r="I9" s="21">
        <f t="shared" si="1"/>
        <v>9.2303499999999996</v>
      </c>
      <c r="J9" s="22">
        <f t="shared" ca="1" si="2"/>
        <v>1.0672589172588234</v>
      </c>
      <c r="K9" s="22">
        <f t="shared" ca="1" si="3"/>
        <v>0</v>
      </c>
      <c r="L9" s="116"/>
    </row>
    <row r="10" spans="1:12" x14ac:dyDescent="0.35">
      <c r="A10" s="23" t="s">
        <v>16</v>
      </c>
      <c r="B10" s="15"/>
      <c r="C10" s="24">
        <f ca="1">C11</f>
        <v>45892</v>
      </c>
      <c r="D10" s="6"/>
      <c r="E10" s="6"/>
      <c r="G10" s="76">
        <f t="shared" si="4"/>
        <v>45887</v>
      </c>
      <c r="H10" s="53">
        <f t="shared" ca="1" si="0"/>
        <v>-1.3736263736263736E-2</v>
      </c>
      <c r="I10" s="21">
        <f t="shared" si="1"/>
        <v>9.2303499999999996</v>
      </c>
      <c r="J10" s="22">
        <f t="shared" ca="1" si="2"/>
        <v>1.0017419861393513</v>
      </c>
      <c r="K10" s="22">
        <f t="shared" ca="1" si="3"/>
        <v>0</v>
      </c>
      <c r="L10" s="116">
        <f t="shared" ref="L10:L13" si="5">I10*$C$22/100</f>
        <v>92303.5</v>
      </c>
    </row>
    <row r="11" spans="1:12" x14ac:dyDescent="0.35">
      <c r="A11" s="23" t="s">
        <v>17</v>
      </c>
      <c r="B11" s="25"/>
      <c r="C11" s="24">
        <f ca="1">TODAY()+1</f>
        <v>45892</v>
      </c>
      <c r="D11" s="6"/>
      <c r="E11" s="58"/>
      <c r="G11" s="76">
        <f t="shared" si="4"/>
        <v>46069</v>
      </c>
      <c r="H11" s="53">
        <f t="shared" ca="1" si="0"/>
        <v>0.48626373626373626</v>
      </c>
      <c r="I11" s="21">
        <f t="shared" si="1"/>
        <v>9.2303499999999996</v>
      </c>
      <c r="J11" s="22">
        <f t="shared" ca="1" si="2"/>
        <v>0.94024701088635121</v>
      </c>
      <c r="K11" s="22">
        <f t="shared" ca="1" si="3"/>
        <v>8.6788089969348317</v>
      </c>
      <c r="L11" s="116">
        <f t="shared" si="5"/>
        <v>92303.5</v>
      </c>
    </row>
    <row r="12" spans="1:12" x14ac:dyDescent="0.35">
      <c r="A12" s="23"/>
      <c r="B12" s="25"/>
      <c r="C12" s="26"/>
      <c r="D12" s="6"/>
      <c r="E12" s="6"/>
      <c r="G12" s="76">
        <f t="shared" si="4"/>
        <v>46251</v>
      </c>
      <c r="H12" s="53">
        <f t="shared" ca="1" si="0"/>
        <v>0.98626373626373631</v>
      </c>
      <c r="I12" s="21">
        <f t="shared" si="1"/>
        <v>9.2303499999999996</v>
      </c>
      <c r="J12" s="22">
        <f t="shared" ca="1" si="2"/>
        <v>0.88252709151968878</v>
      </c>
      <c r="K12" s="22">
        <f t="shared" ca="1" si="3"/>
        <v>8.1460339392087597</v>
      </c>
      <c r="L12" s="116">
        <f t="shared" si="5"/>
        <v>92303.5</v>
      </c>
    </row>
    <row r="13" spans="1:12" x14ac:dyDescent="0.35">
      <c r="A13" s="11" t="s">
        <v>18</v>
      </c>
      <c r="B13" s="15"/>
      <c r="C13" s="79">
        <v>0.18460699999999999</v>
      </c>
      <c r="D13" s="6"/>
      <c r="E13" s="83"/>
      <c r="G13" s="119">
        <f t="shared" si="4"/>
        <v>46433</v>
      </c>
      <c r="H13" s="53">
        <f t="shared" ca="1" si="0"/>
        <v>1.4862637362637363</v>
      </c>
      <c r="I13" s="21">
        <f t="shared" si="1"/>
        <v>9.2303499999999996</v>
      </c>
      <c r="J13" s="22">
        <f t="shared" ca="1" si="2"/>
        <v>0.8283504847646278</v>
      </c>
      <c r="K13" s="22">
        <f t="shared" ca="1" si="3"/>
        <v>7.6459648970471816</v>
      </c>
      <c r="L13" s="116">
        <f t="shared" si="5"/>
        <v>92303.5</v>
      </c>
    </row>
    <row r="14" spans="1:12" x14ac:dyDescent="0.35">
      <c r="A14" s="11" t="s">
        <v>19</v>
      </c>
      <c r="B14" s="15"/>
      <c r="C14" s="145">
        <v>100</v>
      </c>
      <c r="D14" s="6"/>
      <c r="E14" s="83"/>
      <c r="F14" s="3" t="s">
        <v>65</v>
      </c>
      <c r="G14" s="130">
        <f>G13</f>
        <v>46433</v>
      </c>
      <c r="H14" s="131">
        <f t="shared" ca="1" si="0"/>
        <v>1.4862637362637363</v>
      </c>
      <c r="I14" s="124">
        <f ca="1">IF(C11&lt;G14,(+$C$14*0.2),0)</f>
        <v>20</v>
      </c>
      <c r="J14" s="125">
        <f t="shared" ca="1" si="2"/>
        <v>0.8283504847646278</v>
      </c>
      <c r="K14" s="125">
        <f t="shared" ca="1" si="3"/>
        <v>16.567009695292555</v>
      </c>
      <c r="L14" s="126">
        <f>IF($C$22&lt;=1000000,$C$22,I14/100*$C$22)</f>
        <v>1000000</v>
      </c>
    </row>
    <row r="15" spans="1:12" x14ac:dyDescent="0.35">
      <c r="A15" s="11"/>
      <c r="B15" s="15"/>
      <c r="C15" s="146"/>
      <c r="D15" s="6"/>
      <c r="E15" s="83"/>
      <c r="G15" s="127">
        <f t="shared" ref="G15:G20" si="6">G14+182</f>
        <v>46615</v>
      </c>
      <c r="H15" s="53">
        <f t="shared" ca="1" si="0"/>
        <v>1.9862637362637363</v>
      </c>
      <c r="I15" s="21">
        <f t="shared" ref="I15:I20" ca="1" si="7">+($C$14-$I$14)*$C$13/2</f>
        <v>7.3842799999999995</v>
      </c>
      <c r="J15" s="22">
        <f t="shared" ca="1" si="2"/>
        <v>0.77749967361141992</v>
      </c>
      <c r="K15" s="22">
        <f t="shared" ca="1" si="3"/>
        <v>5.7412752898553352</v>
      </c>
      <c r="L15" s="116">
        <f t="shared" ref="L15:L20" si="8">IF($C$22&lt;=1000000,0,I15/100*$C$22)</f>
        <v>0</v>
      </c>
    </row>
    <row r="16" spans="1:12" x14ac:dyDescent="0.35">
      <c r="A16" s="23" t="s">
        <v>20</v>
      </c>
      <c r="B16" s="25"/>
      <c r="C16" s="81">
        <v>0.13080600000000001</v>
      </c>
      <c r="D16" s="6"/>
      <c r="E16" s="58"/>
      <c r="G16" s="76">
        <f t="shared" si="6"/>
        <v>46797</v>
      </c>
      <c r="H16" s="53">
        <f t="shared" ca="1" si="0"/>
        <v>2.4862637362637363</v>
      </c>
      <c r="I16" s="21">
        <f t="shared" ca="1" si="7"/>
        <v>7.3842799999999995</v>
      </c>
      <c r="J16" s="22">
        <f t="shared" ca="1" si="2"/>
        <v>0.72977049399280824</v>
      </c>
      <c r="K16" s="22">
        <f t="shared" ca="1" si="3"/>
        <v>5.3888296633812134</v>
      </c>
      <c r="L16" s="116">
        <f t="shared" si="8"/>
        <v>0</v>
      </c>
    </row>
    <row r="17" spans="1:12" ht="15" thickBot="1" x14ac:dyDescent="0.4">
      <c r="A17" s="23"/>
      <c r="B17" s="25"/>
      <c r="C17" s="149"/>
      <c r="D17" s="6"/>
      <c r="E17" s="58"/>
      <c r="G17" s="76">
        <f t="shared" si="6"/>
        <v>46979</v>
      </c>
      <c r="H17" s="53">
        <f t="shared" ca="1" si="0"/>
        <v>2.9862637362637363</v>
      </c>
      <c r="I17" s="21">
        <f t="shared" ca="1" si="7"/>
        <v>7.3842799999999995</v>
      </c>
      <c r="J17" s="22">
        <f t="shared" ca="1" si="2"/>
        <v>0.6849713150730834</v>
      </c>
      <c r="K17" s="22">
        <f t="shared" ca="1" si="3"/>
        <v>5.0580199824678678</v>
      </c>
      <c r="L17" s="116">
        <f t="shared" si="8"/>
        <v>0</v>
      </c>
    </row>
    <row r="18" spans="1:12" ht="15" thickBot="1" x14ac:dyDescent="0.4">
      <c r="A18" s="23" t="s">
        <v>21</v>
      </c>
      <c r="B18" s="25"/>
      <c r="C18" s="129">
        <f ca="1">ROUND(SUM(K7:K27)/C14*100,4)</f>
        <v>119.46680000000001</v>
      </c>
      <c r="D18" s="58"/>
      <c r="E18" s="58"/>
      <c r="G18" s="76">
        <f t="shared" si="6"/>
        <v>47161</v>
      </c>
      <c r="H18" s="53">
        <f t="shared" ca="1" si="0"/>
        <v>3.4862637362637363</v>
      </c>
      <c r="I18" s="21">
        <f t="shared" ca="1" si="7"/>
        <v>7.3842799999999995</v>
      </c>
      <c r="J18" s="22">
        <f t="shared" ca="1" si="2"/>
        <v>0.64292226985758749</v>
      </c>
      <c r="K18" s="22">
        <f t="shared" ca="1" si="3"/>
        <v>4.747518058863986</v>
      </c>
      <c r="L18" s="116">
        <f t="shared" si="8"/>
        <v>0</v>
      </c>
    </row>
    <row r="19" spans="1:12" x14ac:dyDescent="0.35">
      <c r="A19" s="11" t="s">
        <v>22</v>
      </c>
      <c r="B19" s="15"/>
      <c r="C19" s="29">
        <f ca="1">(C11-C7)/364*C13*100</f>
        <v>0.25358104395604397</v>
      </c>
      <c r="D19" s="58"/>
      <c r="E19" s="58"/>
      <c r="G19" s="76">
        <f t="shared" si="6"/>
        <v>47343</v>
      </c>
      <c r="H19" s="53">
        <f t="shared" ca="1" si="0"/>
        <v>3.9862637362637363</v>
      </c>
      <c r="I19" s="21">
        <f t="shared" ca="1" si="7"/>
        <v>7.3842799999999995</v>
      </c>
      <c r="J19" s="22">
        <f t="shared" ca="1" si="2"/>
        <v>0.60345453303359153</v>
      </c>
      <c r="K19" s="22">
        <f t="shared" ca="1" si="3"/>
        <v>4.4560772391892893</v>
      </c>
      <c r="L19" s="116">
        <f t="shared" si="8"/>
        <v>0</v>
      </c>
    </row>
    <row r="20" spans="1:12" x14ac:dyDescent="0.35">
      <c r="A20" s="30" t="s">
        <v>23</v>
      </c>
      <c r="B20" s="25"/>
      <c r="C20" s="84">
        <f ca="1">+C18-C19</f>
        <v>119.21321895604396</v>
      </c>
      <c r="D20" s="6"/>
      <c r="E20" s="83"/>
      <c r="G20" s="119">
        <f t="shared" si="6"/>
        <v>47525</v>
      </c>
      <c r="H20" s="53">
        <f t="shared" ca="1" si="0"/>
        <v>4.4862637362637363</v>
      </c>
      <c r="I20" s="21">
        <f t="shared" ca="1" si="7"/>
        <v>7.3842799999999995</v>
      </c>
      <c r="J20" s="22">
        <f t="shared" ca="1" si="2"/>
        <v>0.56640964314310305</v>
      </c>
      <c r="K20" s="22">
        <f t="shared" ca="1" si="3"/>
        <v>4.1825273996687526</v>
      </c>
      <c r="L20" s="116">
        <f t="shared" si="8"/>
        <v>0</v>
      </c>
    </row>
    <row r="21" spans="1:12" x14ac:dyDescent="0.35">
      <c r="A21" s="6"/>
      <c r="B21" s="6"/>
      <c r="C21" s="6"/>
      <c r="D21" s="6"/>
      <c r="E21" s="83"/>
      <c r="F21" s="3" t="s">
        <v>66</v>
      </c>
      <c r="G21" s="130">
        <f>G20</f>
        <v>47525</v>
      </c>
      <c r="H21" s="131">
        <f t="shared" ca="1" si="0"/>
        <v>4.4862637362637363</v>
      </c>
      <c r="I21" s="124">
        <f ca="1">IF(C11&lt;G21,(0.3*($C$14-$I$14)),0)</f>
        <v>24</v>
      </c>
      <c r="J21" s="125">
        <f t="shared" ca="1" si="2"/>
        <v>0.56640964314310305</v>
      </c>
      <c r="K21" s="125">
        <f t="shared" ca="1" si="3"/>
        <v>13.593831435434474</v>
      </c>
      <c r="L21" s="126">
        <f>IF(($C$22-$L$14)&lt;=1000000,($C$22-$L$14),I21/100*$C$22)</f>
        <v>0</v>
      </c>
    </row>
    <row r="22" spans="1:12" x14ac:dyDescent="0.35">
      <c r="A22" s="151" t="s">
        <v>24</v>
      </c>
      <c r="B22" s="6"/>
      <c r="C22" s="133">
        <v>1000000</v>
      </c>
      <c r="D22" s="6"/>
      <c r="E22" s="6"/>
      <c r="G22" s="127">
        <f>G21+182</f>
        <v>47707</v>
      </c>
      <c r="H22" s="53">
        <f t="shared" ca="1" si="0"/>
        <v>4.9862637362637363</v>
      </c>
      <c r="I22" s="21">
        <f ca="1">($C$14-($I$14+$I$21))*$C$13/2</f>
        <v>5.1689959999999999</v>
      </c>
      <c r="J22" s="22">
        <f t="shared" ca="1" si="2"/>
        <v>0.5316388663661572</v>
      </c>
      <c r="K22" s="22">
        <f t="shared" ca="1" si="3"/>
        <v>2.7480391736912009</v>
      </c>
      <c r="L22" s="132">
        <f t="shared" ref="L22:L27" si="9">IF(($C$22-$L$14)&lt;=1000000,0,I22/100*$C$22)</f>
        <v>0</v>
      </c>
    </row>
    <row r="23" spans="1:12" x14ac:dyDescent="0.35">
      <c r="A23" s="166" t="s">
        <v>25</v>
      </c>
      <c r="B23" s="167"/>
      <c r="C23" s="168">
        <f ca="1">C22*C18/100</f>
        <v>1194668</v>
      </c>
      <c r="D23" s="6"/>
      <c r="E23" s="6"/>
      <c r="G23" s="76">
        <f>G22+182</f>
        <v>47889</v>
      </c>
      <c r="H23" s="53">
        <f t="shared" ca="1" si="0"/>
        <v>5.4862637362637363</v>
      </c>
      <c r="I23" s="21">
        <f ca="1">($C$14-($I$14+$I$21))*$C$13/2</f>
        <v>5.1689959999999999</v>
      </c>
      <c r="J23" s="22">
        <f t="shared" ca="1" si="2"/>
        <v>0.49900259936020186</v>
      </c>
      <c r="K23" s="22">
        <f t="shared" ca="1" si="3"/>
        <v>2.579342440082486</v>
      </c>
      <c r="L23" s="132">
        <f t="shared" si="9"/>
        <v>0</v>
      </c>
    </row>
    <row r="24" spans="1:12" x14ac:dyDescent="0.35">
      <c r="A24" s="155" t="s">
        <v>26</v>
      </c>
      <c r="B24" s="6"/>
      <c r="C24" s="134">
        <f ca="1">C23*D24</f>
        <v>143.36016000000001</v>
      </c>
      <c r="D24" s="34">
        <f>0.012%</f>
        <v>1.2E-4</v>
      </c>
      <c r="E24" s="6"/>
      <c r="G24" s="76">
        <f>G23+182</f>
        <v>48071</v>
      </c>
      <c r="H24" s="53">
        <f t="shared" ca="1" si="0"/>
        <v>5.9862637362637363</v>
      </c>
      <c r="I24" s="21">
        <f ca="1">($C$14-($I$14+$I$21))*$C$13/2</f>
        <v>5.1689959999999999</v>
      </c>
      <c r="J24" s="22">
        <f t="shared" ca="1" si="2"/>
        <v>0.46836980875800222</v>
      </c>
      <c r="K24" s="22">
        <f t="shared" ca="1" si="3"/>
        <v>2.4210016679908786</v>
      </c>
      <c r="L24" s="132">
        <f t="shared" si="9"/>
        <v>0</v>
      </c>
    </row>
    <row r="25" spans="1:12" x14ac:dyDescent="0.35">
      <c r="A25" s="155" t="s">
        <v>27</v>
      </c>
      <c r="B25" s="6"/>
      <c r="C25" s="134">
        <f ca="1">C23*D25</f>
        <v>131.41347999999999</v>
      </c>
      <c r="D25" s="37">
        <f>0.011%</f>
        <v>1.0999999999999999E-4</v>
      </c>
      <c r="E25" s="6"/>
      <c r="G25" s="76">
        <f>G24+182</f>
        <v>48253</v>
      </c>
      <c r="H25" s="53">
        <f t="shared" ca="1" si="0"/>
        <v>6.4862637362637363</v>
      </c>
      <c r="I25" s="21">
        <f ca="1">($C$14-($I$14+$I$21))*$C$13/2</f>
        <v>5.1689959999999999</v>
      </c>
      <c r="J25" s="22">
        <f t="shared" ca="1" si="2"/>
        <v>0.43961750507366898</v>
      </c>
      <c r="K25" s="22">
        <f t="shared" ca="1" si="3"/>
        <v>2.2723811252557748</v>
      </c>
      <c r="L25" s="132">
        <f t="shared" si="9"/>
        <v>0</v>
      </c>
    </row>
    <row r="26" spans="1:12" x14ac:dyDescent="0.35">
      <c r="A26" s="155" t="s">
        <v>28</v>
      </c>
      <c r="C26" s="134">
        <f ca="1">C24*D26</f>
        <v>0</v>
      </c>
      <c r="D26" s="37">
        <f>16%*0</f>
        <v>0</v>
      </c>
      <c r="G26" s="119">
        <f>G25+182</f>
        <v>48435</v>
      </c>
      <c r="H26" s="53">
        <f t="shared" ca="1" si="0"/>
        <v>6.9862637362637363</v>
      </c>
      <c r="I26" s="21">
        <f ca="1">($C$14-($I$14+$I$21))*$C$13/2</f>
        <v>5.1689959999999999</v>
      </c>
      <c r="J26" s="22">
        <f t="shared" ca="1" si="2"/>
        <v>0.41263024890456379</v>
      </c>
      <c r="K26" s="22">
        <f t="shared" ca="1" si="3"/>
        <v>2.1328841060666948</v>
      </c>
      <c r="L26" s="132">
        <f t="shared" si="9"/>
        <v>0</v>
      </c>
    </row>
    <row r="27" spans="1:12" ht="15" thickBot="1" x14ac:dyDescent="0.4">
      <c r="A27" s="158" t="s">
        <v>29</v>
      </c>
      <c r="B27" s="6"/>
      <c r="C27" s="137">
        <f ca="1">C24+C25+C26</f>
        <v>274.77364</v>
      </c>
      <c r="D27" s="37"/>
      <c r="E27" s="83"/>
      <c r="F27" s="3" t="s">
        <v>67</v>
      </c>
      <c r="G27" s="130">
        <f>G26</f>
        <v>48435</v>
      </c>
      <c r="H27" s="169">
        <f t="shared" ca="1" si="0"/>
        <v>6.9862637362637363</v>
      </c>
      <c r="I27" s="170">
        <f ca="1">$C$14-($I$14+$I$21)</f>
        <v>56</v>
      </c>
      <c r="J27" s="171">
        <f t="shared" ca="1" si="2"/>
        <v>0.41263024890456379</v>
      </c>
      <c r="K27" s="171">
        <f t="shared" ca="1" si="3"/>
        <v>23.107293938655573</v>
      </c>
      <c r="L27" s="172">
        <f t="shared" si="9"/>
        <v>0</v>
      </c>
    </row>
    <row r="28" spans="1:12" ht="15" thickBot="1" x14ac:dyDescent="0.4">
      <c r="A28" s="155" t="s">
        <v>30</v>
      </c>
      <c r="B28" s="6"/>
      <c r="C28" s="95">
        <f ca="1">C23+C27</f>
        <v>1194942.77364</v>
      </c>
      <c r="D28" s="6"/>
      <c r="E28" s="6"/>
      <c r="G28" s="173"/>
      <c r="H28" s="174"/>
      <c r="I28" s="174"/>
      <c r="J28" s="174"/>
      <c r="K28" s="174"/>
      <c r="L28" s="175">
        <f ca="1">SUM(L10:L27)-C28</f>
        <v>174271.22635999997</v>
      </c>
    </row>
    <row r="29" spans="1:12" ht="15.5" thickTop="1" thickBot="1" x14ac:dyDescent="0.4">
      <c r="A29" s="176" t="s">
        <v>31</v>
      </c>
      <c r="B29" s="6"/>
      <c r="C29" s="95">
        <f ca="1">C23-C27</f>
        <v>1194393.22636</v>
      </c>
      <c r="D29" s="6"/>
      <c r="E29" s="6"/>
      <c r="G29" s="8"/>
      <c r="H29" s="8"/>
      <c r="I29" s="8"/>
      <c r="J29" s="8"/>
      <c r="K29" s="8"/>
      <c r="L29" s="117"/>
    </row>
    <row r="30" spans="1:12" ht="15" thickTop="1" x14ac:dyDescent="0.35"/>
  </sheetData>
  <mergeCells count="2">
    <mergeCell ref="A1:D1"/>
    <mergeCell ref="G5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IFB1.2018.15</vt:lpstr>
      <vt:lpstr>IFB1.2023.17</vt:lpstr>
      <vt:lpstr>IFB1.2023.07</vt:lpstr>
      <vt:lpstr>IFB1.2023.6.5</vt:lpstr>
      <vt:lpstr>IFB1.2024.8.5</vt:lpstr>
    </vt:vector>
  </TitlesOfParts>
  <Company>The Cooperative Bank of Kenya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Asena Moffat [KSL]</dc:creator>
  <cp:lastModifiedBy>Asena Moffat [KSL]</cp:lastModifiedBy>
  <dcterms:created xsi:type="dcterms:W3CDTF">2025-08-22T09:52:24Z</dcterms:created>
  <dcterms:modified xsi:type="dcterms:W3CDTF">2025-08-22T11:27:20Z</dcterms:modified>
</cp:coreProperties>
</file>