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vanl\OneDrive\Рабочий стол\"/>
    </mc:Choice>
  </mc:AlternateContent>
  <xr:revisionPtr revIDLastSave="0" documentId="13_ncr:1_{92061090-912D-4BC9-B8E9-01FF135AAA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1" r:id="rId1"/>
    <sheet name="№1" sheetId="2" r:id="rId2"/>
    <sheet name="№2" sheetId="3" r:id="rId3"/>
    <sheet name="№3" sheetId="4" r:id="rId4"/>
    <sheet name="№4" sheetId="5" r:id="rId5"/>
    <sheet name="№5" sheetId="6" r:id="rId6"/>
    <sheet name="№6" sheetId="7" r:id="rId7"/>
    <sheet name="№7" sheetId="8" r:id="rId8"/>
    <sheet name="№8" sheetId="9" r:id="rId9"/>
    <sheet name="№9" sheetId="10" r:id="rId10"/>
    <sheet name="№10" sheetId="11" r:id="rId11"/>
    <sheet name="№11" sheetId="12" r:id="rId12"/>
    <sheet name="№12" sheetId="13" r:id="rId13"/>
    <sheet name="№13" sheetId="14" r:id="rId14"/>
    <sheet name="№14" sheetId="15" r:id="rId15"/>
    <sheet name="№15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6" l="1"/>
  <c r="G32" i="16" l="1"/>
  <c r="M15" i="8"/>
  <c r="G17" i="16"/>
  <c r="J28" i="16" s="1"/>
  <c r="G15" i="16"/>
  <c r="K2" i="16"/>
  <c r="G8" i="16"/>
  <c r="G9" i="16"/>
  <c r="D2" i="16" a="1"/>
  <c r="D2" i="16" s="1"/>
  <c r="F2" i="14"/>
  <c r="E2" i="14"/>
  <c r="G18" i="16" l="1"/>
  <c r="J17" i="16" s="1"/>
  <c r="J23" i="16"/>
  <c r="J24" i="16"/>
  <c r="J27" i="16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8" i="13"/>
  <c r="D8" i="13"/>
  <c r="F8" i="13" s="1"/>
  <c r="G5" i="13"/>
  <c r="B3" i="12"/>
  <c r="B2" i="12"/>
  <c r="D5" i="12"/>
  <c r="J16" i="16" l="1"/>
  <c r="F13" i="13"/>
  <c r="F12" i="13"/>
  <c r="F10" i="13"/>
  <c r="F11" i="13"/>
  <c r="F15" i="13"/>
  <c r="G6" i="13"/>
  <c r="G7" i="13" s="1"/>
  <c r="F14" i="13"/>
  <c r="F17" i="13"/>
  <c r="F16" i="13"/>
  <c r="G11" i="13"/>
  <c r="F9" i="13"/>
  <c r="G13" i="13" l="1"/>
  <c r="G16" i="13"/>
  <c r="G9" i="13"/>
  <c r="G12" i="13"/>
  <c r="G15" i="13"/>
  <c r="G8" i="13"/>
  <c r="H5" i="13"/>
  <c r="G10" i="13"/>
  <c r="G17" i="13"/>
  <c r="G14" i="13"/>
  <c r="H6" i="13" l="1"/>
  <c r="I5" i="13" s="1"/>
  <c r="G18" i="13"/>
  <c r="H15" i="13" l="1"/>
  <c r="H17" i="13"/>
  <c r="H7" i="13"/>
  <c r="H14" i="13"/>
  <c r="H13" i="13"/>
  <c r="H12" i="13"/>
  <c r="I6" i="13"/>
  <c r="J5" i="13" s="1"/>
  <c r="H10" i="13"/>
  <c r="H9" i="13"/>
  <c r="H16" i="13"/>
  <c r="H8" i="13"/>
  <c r="H11" i="13"/>
  <c r="I8" i="13" l="1"/>
  <c r="H18" i="13"/>
  <c r="J6" i="13"/>
  <c r="K5" i="13" s="1"/>
  <c r="I13" i="13"/>
  <c r="I17" i="13"/>
  <c r="I7" i="13"/>
  <c r="I15" i="13"/>
  <c r="I14" i="13"/>
  <c r="I12" i="13"/>
  <c r="I16" i="13"/>
  <c r="I9" i="13"/>
  <c r="I11" i="13"/>
  <c r="I10" i="13"/>
  <c r="J9" i="13" l="1"/>
  <c r="J10" i="13"/>
  <c r="J7" i="13"/>
  <c r="J13" i="13"/>
  <c r="J17" i="13"/>
  <c r="J8" i="13"/>
  <c r="J16" i="13"/>
  <c r="K6" i="13"/>
  <c r="L5" i="13" s="1"/>
  <c r="J15" i="13"/>
  <c r="I18" i="13"/>
  <c r="J14" i="13"/>
  <c r="J12" i="13"/>
  <c r="J11" i="13"/>
  <c r="J18" i="13" l="1"/>
  <c r="K15" i="13"/>
  <c r="K17" i="13"/>
  <c r="K11" i="13"/>
  <c r="K14" i="13"/>
  <c r="K13" i="13"/>
  <c r="L6" i="13"/>
  <c r="M5" i="13" s="1"/>
  <c r="K12" i="13"/>
  <c r="K9" i="13"/>
  <c r="K8" i="13"/>
  <c r="K16" i="13"/>
  <c r="K10" i="13"/>
  <c r="K7" i="13"/>
  <c r="L10" i="13" l="1"/>
  <c r="L12" i="13"/>
  <c r="L7" i="13"/>
  <c r="L11" i="13"/>
  <c r="K18" i="13"/>
  <c r="L16" i="13"/>
  <c r="L15" i="13"/>
  <c r="M6" i="13"/>
  <c r="N5" i="13" s="1"/>
  <c r="M10" i="13"/>
  <c r="M9" i="13"/>
  <c r="L14" i="13"/>
  <c r="L13" i="13"/>
  <c r="L17" i="13"/>
  <c r="L8" i="13"/>
  <c r="L9" i="13"/>
  <c r="M8" i="13" l="1"/>
  <c r="M7" i="13"/>
  <c r="M17" i="13"/>
  <c r="M16" i="13"/>
  <c r="L18" i="13"/>
  <c r="N6" i="13"/>
  <c r="O5" i="13" s="1"/>
  <c r="M11" i="13"/>
  <c r="M15" i="13"/>
  <c r="M12" i="13"/>
  <c r="M14" i="13"/>
  <c r="M13" i="13"/>
  <c r="N13" i="13" l="1"/>
  <c r="N10" i="13"/>
  <c r="N9" i="13"/>
  <c r="N11" i="13"/>
  <c r="N8" i="13"/>
  <c r="N12" i="13"/>
  <c r="N7" i="13"/>
  <c r="N14" i="13"/>
  <c r="N17" i="13"/>
  <c r="M18" i="13"/>
  <c r="N16" i="13"/>
  <c r="O6" i="13"/>
  <c r="P5" i="13" s="1"/>
  <c r="O12" i="13"/>
  <c r="O13" i="13"/>
  <c r="O14" i="13"/>
  <c r="O9" i="13"/>
  <c r="N15" i="13"/>
  <c r="N18" i="13" l="1"/>
  <c r="O15" i="13"/>
  <c r="O17" i="13"/>
  <c r="O7" i="13"/>
  <c r="O16" i="13"/>
  <c r="O11" i="13"/>
  <c r="O8" i="13"/>
  <c r="O10" i="13"/>
  <c r="P6" i="13"/>
  <c r="P17" i="13" s="1"/>
  <c r="Q17" i="13" s="1"/>
  <c r="P12" i="13"/>
  <c r="Q12" i="13" s="1"/>
  <c r="P14" i="13"/>
  <c r="Q14" i="13" s="1"/>
  <c r="P16" i="13"/>
  <c r="Q16" i="13" s="1"/>
  <c r="P9" i="13"/>
  <c r="Q9" i="13" s="1"/>
  <c r="P11" i="13"/>
  <c r="P10" i="13"/>
  <c r="Q10" i="13" s="1"/>
  <c r="P8" i="13"/>
  <c r="Q11" i="13" l="1"/>
  <c r="O18" i="13"/>
  <c r="P15" i="13"/>
  <c r="Q15" i="13" s="1"/>
  <c r="P13" i="13"/>
  <c r="Q13" i="13" s="1"/>
  <c r="Q8" i="13"/>
  <c r="P7" i="13"/>
  <c r="P18" i="13" l="1"/>
  <c r="R17" i="13"/>
  <c r="R14" i="13"/>
  <c r="R10" i="13"/>
  <c r="R8" i="13"/>
  <c r="R15" i="13"/>
  <c r="R9" i="13"/>
  <c r="R11" i="13"/>
  <c r="R16" i="13"/>
  <c r="R13" i="13"/>
  <c r="R12" i="13"/>
  <c r="R18" i="13" l="1"/>
  <c r="C3" i="11" l="1"/>
  <c r="E3" i="11"/>
  <c r="P3" i="11"/>
  <c r="E4" i="11"/>
  <c r="P4" i="11"/>
  <c r="Q4" i="11"/>
  <c r="C5" i="11"/>
  <c r="D5" i="11"/>
  <c r="E5" i="11"/>
  <c r="C16" i="11"/>
  <c r="D16" i="11"/>
  <c r="C17" i="11"/>
  <c r="G5" i="10" l="1"/>
  <c r="G6" i="10" s="1"/>
  <c r="D9" i="10"/>
  <c r="E9" i="10"/>
  <c r="D7" i="11" s="1"/>
  <c r="D10" i="10"/>
  <c r="E10" i="10"/>
  <c r="D8" i="11" s="1"/>
  <c r="D11" i="10"/>
  <c r="E11" i="10"/>
  <c r="D9" i="11" s="1"/>
  <c r="D12" i="10"/>
  <c r="E12" i="10"/>
  <c r="D10" i="11" s="1"/>
  <c r="D13" i="10"/>
  <c r="E13" i="10"/>
  <c r="D11" i="11" s="1"/>
  <c r="D14" i="10"/>
  <c r="E14" i="10"/>
  <c r="D12" i="11" s="1"/>
  <c r="D15" i="10"/>
  <c r="E15" i="10"/>
  <c r="D13" i="11" s="1"/>
  <c r="D16" i="10"/>
  <c r="E16" i="10"/>
  <c r="D14" i="11" s="1"/>
  <c r="D17" i="10"/>
  <c r="E17" i="10"/>
  <c r="D15" i="11" s="1"/>
  <c r="E8" i="10"/>
  <c r="D6" i="11" s="1"/>
  <c r="D8" i="10"/>
  <c r="D11" i="6"/>
  <c r="B11" i="6"/>
  <c r="G8" i="10" l="1"/>
  <c r="F4" i="11"/>
  <c r="H5" i="10"/>
  <c r="G10" i="10"/>
  <c r="F10" i="10"/>
  <c r="E8" i="11" s="1"/>
  <c r="C8" i="11"/>
  <c r="G9" i="10"/>
  <c r="F9" i="10"/>
  <c r="E7" i="11" s="1"/>
  <c r="C7" i="11"/>
  <c r="G14" i="10"/>
  <c r="C12" i="11"/>
  <c r="F14" i="10"/>
  <c r="E12" i="11" s="1"/>
  <c r="G15" i="10"/>
  <c r="C13" i="11"/>
  <c r="F15" i="10"/>
  <c r="E13" i="11" s="1"/>
  <c r="C6" i="11"/>
  <c r="F8" i="10"/>
  <c r="E6" i="11" s="1"/>
  <c r="G7" i="10"/>
  <c r="F5" i="11" s="1"/>
  <c r="F3" i="11"/>
  <c r="G13" i="10"/>
  <c r="F13" i="10"/>
  <c r="E11" i="11" s="1"/>
  <c r="C11" i="11"/>
  <c r="G12" i="10"/>
  <c r="F12" i="10"/>
  <c r="E10" i="11" s="1"/>
  <c r="C10" i="11"/>
  <c r="G11" i="10"/>
  <c r="F11" i="10"/>
  <c r="E9" i="11" s="1"/>
  <c r="C9" i="11"/>
  <c r="G17" i="10"/>
  <c r="C15" i="11"/>
  <c r="F17" i="10"/>
  <c r="E15" i="11" s="1"/>
  <c r="G16" i="10"/>
  <c r="C14" i="11"/>
  <c r="F16" i="10"/>
  <c r="E14" i="11" s="1"/>
  <c r="G11" i="8"/>
  <c r="G3" i="8"/>
  <c r="F4" i="8" s="1"/>
  <c r="G4" i="8" s="1"/>
  <c r="F5" i="8" s="1"/>
  <c r="G5" i="8" s="1"/>
  <c r="F6" i="8" s="1"/>
  <c r="G6" i="8" s="1"/>
  <c r="F7" i="8" s="1"/>
  <c r="G7" i="8" s="1"/>
  <c r="F8" i="8" s="1"/>
  <c r="G8" i="8" s="1"/>
  <c r="F9" i="8" s="1"/>
  <c r="G9" i="8" s="1"/>
  <c r="F10" i="8" s="1"/>
  <c r="G10" i="8" s="1"/>
  <c r="F11" i="8" s="1"/>
  <c r="D9" i="6"/>
  <c r="D7" i="6"/>
  <c r="D5" i="6"/>
  <c r="D3" i="6"/>
  <c r="D11" i="5"/>
  <c r="Z21" i="3"/>
  <c r="D3" i="5"/>
  <c r="C3" i="13" s="1"/>
  <c r="B3" i="5"/>
  <c r="X11" i="3"/>
  <c r="X12" i="3"/>
  <c r="T10" i="3"/>
  <c r="U10" i="3" s="1"/>
  <c r="T11" i="3" s="1"/>
  <c r="U11" i="3" s="1"/>
  <c r="T12" i="3" s="1"/>
  <c r="U12" i="3" s="1"/>
  <c r="T13" i="3" s="1"/>
  <c r="U13" i="3" s="1"/>
  <c r="T14" i="3" s="1"/>
  <c r="U14" i="3" s="1"/>
  <c r="T15" i="3" s="1"/>
  <c r="U15" i="3" s="1"/>
  <c r="T16" i="3" s="1"/>
  <c r="U16" i="3" s="1"/>
  <c r="T17" i="3" s="1"/>
  <c r="U17" i="3" s="1"/>
  <c r="T18" i="3" s="1"/>
  <c r="U18" i="3" s="1"/>
  <c r="T19" i="3" s="1"/>
  <c r="U19" i="3" s="1"/>
  <c r="H3" i="8" l="1" a="1"/>
  <c r="H3" i="8" s="1"/>
  <c r="D5" i="5"/>
  <c r="B5" i="5"/>
  <c r="B2" i="13" s="1"/>
  <c r="B3" i="13"/>
  <c r="F13" i="11"/>
  <c r="F9" i="11"/>
  <c r="F15" i="11"/>
  <c r="F11" i="11"/>
  <c r="F14" i="11"/>
  <c r="F7" i="11"/>
  <c r="F6" i="11"/>
  <c r="G18" i="10"/>
  <c r="F8" i="11"/>
  <c r="F12" i="11"/>
  <c r="H6" i="10"/>
  <c r="H7" i="10" s="1"/>
  <c r="G5" i="11" s="1"/>
  <c r="G3" i="11"/>
  <c r="F10" i="11"/>
  <c r="X10" i="3"/>
  <c r="X19" i="3"/>
  <c r="X18" i="3"/>
  <c r="X17" i="3"/>
  <c r="X16" i="3"/>
  <c r="V10" i="3" a="1"/>
  <c r="X15" i="3"/>
  <c r="X14" i="3"/>
  <c r="X13" i="3"/>
  <c r="C2" i="13" l="1"/>
  <c r="K22" i="13" s="1"/>
  <c r="O19" i="11"/>
  <c r="D9" i="5"/>
  <c r="D7" i="5"/>
  <c r="F16" i="11"/>
  <c r="G19" i="10"/>
  <c r="F17" i="11" s="1"/>
  <c r="G4" i="11"/>
  <c r="I5" i="10"/>
  <c r="H14" i="10"/>
  <c r="H12" i="10"/>
  <c r="H9" i="10"/>
  <c r="H16" i="10"/>
  <c r="H10" i="10"/>
  <c r="H15" i="10"/>
  <c r="H13" i="10"/>
  <c r="H17" i="10"/>
  <c r="H8" i="10"/>
  <c r="H11" i="10"/>
  <c r="V10" i="3"/>
  <c r="W10" i="3" s="1"/>
  <c r="W19" i="3"/>
  <c r="W11" i="3"/>
  <c r="W12" i="3"/>
  <c r="W13" i="3"/>
  <c r="W14" i="3"/>
  <c r="W17" i="3"/>
  <c r="W15" i="3"/>
  <c r="W16" i="3"/>
  <c r="W18" i="3"/>
  <c r="Y16" i="3"/>
  <c r="Z16" i="3" s="1"/>
  <c r="Y17" i="3"/>
  <c r="Z17" i="3" s="1"/>
  <c r="Y14" i="3"/>
  <c r="Z14" i="3" s="1"/>
  <c r="Y18" i="3"/>
  <c r="Z18" i="3" s="1"/>
  <c r="Y10" i="3"/>
  <c r="Z10" i="3" s="1"/>
  <c r="Y13" i="3"/>
  <c r="Z13" i="3" s="1"/>
  <c r="Y15" i="3"/>
  <c r="Z15" i="3" s="1"/>
  <c r="Y19" i="3"/>
  <c r="Z19" i="3" s="1"/>
  <c r="Y11" i="3"/>
  <c r="Z11" i="3" s="1"/>
  <c r="Y12" i="3"/>
  <c r="Z12" i="3" s="1"/>
  <c r="B1" i="15" l="1"/>
  <c r="K24" i="13"/>
  <c r="G9" i="11"/>
  <c r="G6" i="11"/>
  <c r="H18" i="10"/>
  <c r="G15" i="11"/>
  <c r="G13" i="11"/>
  <c r="G8" i="11"/>
  <c r="G14" i="11"/>
  <c r="H3" i="11"/>
  <c r="I6" i="10"/>
  <c r="I11" i="10" s="1"/>
  <c r="G12" i="11"/>
  <c r="G7" i="11"/>
  <c r="G10" i="11"/>
  <c r="G11" i="11"/>
  <c r="AA12" i="3"/>
  <c r="AA13" i="3"/>
  <c r="AA14" i="3"/>
  <c r="AA15" i="3"/>
  <c r="AA16" i="3"/>
  <c r="AA17" i="3"/>
  <c r="AA18" i="3"/>
  <c r="AA19" i="3"/>
  <c r="AA11" i="3"/>
  <c r="AA10" i="3"/>
  <c r="P33" i="13" l="1"/>
  <c r="B2" i="14"/>
  <c r="K23" i="13"/>
  <c r="B1" i="14" s="1"/>
  <c r="H9" i="11"/>
  <c r="I7" i="10"/>
  <c r="H5" i="11" s="1"/>
  <c r="I14" i="10"/>
  <c r="I12" i="10"/>
  <c r="G16" i="11"/>
  <c r="H19" i="10"/>
  <c r="G17" i="11" s="1"/>
  <c r="I8" i="10"/>
  <c r="I15" i="10"/>
  <c r="I9" i="10"/>
  <c r="J5" i="10"/>
  <c r="H4" i="11"/>
  <c r="I17" i="10"/>
  <c r="I16" i="10"/>
  <c r="I10" i="10"/>
  <c r="I13" i="10"/>
  <c r="F3" i="14" l="1"/>
  <c r="E3" i="14"/>
  <c r="H14" i="11"/>
  <c r="H7" i="11"/>
  <c r="H8" i="11"/>
  <c r="J6" i="10"/>
  <c r="I3" i="11"/>
  <c r="J7" i="10"/>
  <c r="I5" i="11" s="1"/>
  <c r="J13" i="10"/>
  <c r="I11" i="11" s="1"/>
  <c r="J16" i="10"/>
  <c r="I14" i="11" s="1"/>
  <c r="J14" i="10"/>
  <c r="I12" i="11" s="1"/>
  <c r="J9" i="10"/>
  <c r="I7" i="11" s="1"/>
  <c r="J12" i="10"/>
  <c r="I10" i="11" s="1"/>
  <c r="J8" i="10"/>
  <c r="J10" i="10"/>
  <c r="I8" i="11" s="1"/>
  <c r="I18" i="10"/>
  <c r="H6" i="11"/>
  <c r="H13" i="11"/>
  <c r="H12" i="11"/>
  <c r="H15" i="11"/>
  <c r="H10" i="11"/>
  <c r="H11" i="11"/>
  <c r="I6" i="11" l="1"/>
  <c r="K5" i="10"/>
  <c r="I4" i="11"/>
  <c r="H16" i="11"/>
  <c r="I19" i="10"/>
  <c r="H17" i="11" s="1"/>
  <c r="J17" i="10"/>
  <c r="J11" i="10"/>
  <c r="J15" i="10"/>
  <c r="I9" i="11" l="1"/>
  <c r="K6" i="10"/>
  <c r="K7" i="10" s="1"/>
  <c r="J5" i="11" s="1"/>
  <c r="J3" i="11"/>
  <c r="K13" i="10"/>
  <c r="K17" i="10"/>
  <c r="J15" i="11" s="1"/>
  <c r="K9" i="10"/>
  <c r="K16" i="10"/>
  <c r="K10" i="10"/>
  <c r="K14" i="10"/>
  <c r="K15" i="10"/>
  <c r="J13" i="11" s="1"/>
  <c r="K8" i="10"/>
  <c r="K12" i="10"/>
  <c r="I15" i="11"/>
  <c r="J18" i="10"/>
  <c r="I13" i="11"/>
  <c r="K11" i="10" l="1"/>
  <c r="J9" i="11" s="1"/>
  <c r="J10" i="11"/>
  <c r="J6" i="11"/>
  <c r="J12" i="11"/>
  <c r="J7" i="11"/>
  <c r="J8" i="11"/>
  <c r="J14" i="11"/>
  <c r="L5" i="10"/>
  <c r="J4" i="11"/>
  <c r="J19" i="10"/>
  <c r="I17" i="11" s="1"/>
  <c r="I16" i="11"/>
  <c r="J11" i="11"/>
  <c r="K18" i="10" l="1"/>
  <c r="L6" i="10"/>
  <c r="K3" i="11"/>
  <c r="L7" i="10"/>
  <c r="K5" i="11" s="1"/>
  <c r="L9" i="10"/>
  <c r="K7" i="11" s="1"/>
  <c r="L12" i="10"/>
  <c r="K10" i="11" s="1"/>
  <c r="L13" i="10"/>
  <c r="K11" i="11" s="1"/>
  <c r="L16" i="10"/>
  <c r="K14" i="11" s="1"/>
  <c r="L17" i="10"/>
  <c r="K15" i="11" s="1"/>
  <c r="L8" i="10"/>
  <c r="L11" i="10"/>
  <c r="K9" i="11" s="1"/>
  <c r="L10" i="10"/>
  <c r="K8" i="11" s="1"/>
  <c r="L15" i="10"/>
  <c r="K13" i="11" s="1"/>
  <c r="L14" i="10"/>
  <c r="K12" i="11" s="1"/>
  <c r="J16" i="11"/>
  <c r="K19" i="10"/>
  <c r="J17" i="11" s="1"/>
  <c r="L18" i="10" l="1"/>
  <c r="K6" i="11"/>
  <c r="M5" i="10"/>
  <c r="K4" i="11"/>
  <c r="M6" i="10" l="1"/>
  <c r="M7" i="10" s="1"/>
  <c r="L5" i="11" s="1"/>
  <c r="L3" i="11"/>
  <c r="M8" i="10"/>
  <c r="M17" i="10"/>
  <c r="L15" i="11" s="1"/>
  <c r="M9" i="10"/>
  <c r="L7" i="11" s="1"/>
  <c r="M14" i="10"/>
  <c r="L12" i="11" s="1"/>
  <c r="L19" i="10"/>
  <c r="K17" i="11" s="1"/>
  <c r="K16" i="11"/>
  <c r="M16" i="10" l="1"/>
  <c r="L14" i="11" s="1"/>
  <c r="M15" i="10"/>
  <c r="L13" i="11" s="1"/>
  <c r="M13" i="10"/>
  <c r="L11" i="11" s="1"/>
  <c r="M10" i="10"/>
  <c r="L8" i="11" s="1"/>
  <c r="M12" i="10"/>
  <c r="L10" i="11" s="1"/>
  <c r="M11" i="10"/>
  <c r="L9" i="11" s="1"/>
  <c r="L6" i="11"/>
  <c r="N5" i="10"/>
  <c r="L4" i="11"/>
  <c r="M18" i="10" l="1"/>
  <c r="L16" i="11" s="1"/>
  <c r="N6" i="10"/>
  <c r="N7" i="10" s="1"/>
  <c r="M5" i="11" s="1"/>
  <c r="M3" i="11"/>
  <c r="N11" i="10"/>
  <c r="M9" i="11" s="1"/>
  <c r="M19" i="10"/>
  <c r="L17" i="11" s="1"/>
  <c r="N12" i="10" l="1"/>
  <c r="M10" i="11" s="1"/>
  <c r="N14" i="10"/>
  <c r="M12" i="11" s="1"/>
  <c r="N13" i="10"/>
  <c r="M11" i="11" s="1"/>
  <c r="N16" i="10"/>
  <c r="M14" i="11" s="1"/>
  <c r="N15" i="10"/>
  <c r="M13" i="11" s="1"/>
  <c r="N17" i="10"/>
  <c r="M15" i="11" s="1"/>
  <c r="N9" i="10"/>
  <c r="M7" i="11" s="1"/>
  <c r="N8" i="10"/>
  <c r="N18" i="10" s="1"/>
  <c r="N10" i="10"/>
  <c r="M8" i="11" s="1"/>
  <c r="O5" i="10"/>
  <c r="M4" i="11"/>
  <c r="M6" i="11" l="1"/>
  <c r="O6" i="10"/>
  <c r="O7" i="10" s="1"/>
  <c r="N5" i="11" s="1"/>
  <c r="N3" i="11"/>
  <c r="N19" i="10"/>
  <c r="M17" i="11" s="1"/>
  <c r="M16" i="11"/>
  <c r="O11" i="10" l="1"/>
  <c r="N9" i="11" s="1"/>
  <c r="O16" i="10"/>
  <c r="N14" i="11" s="1"/>
  <c r="O17" i="10"/>
  <c r="N15" i="11" s="1"/>
  <c r="O14" i="10"/>
  <c r="N12" i="11" s="1"/>
  <c r="O15" i="10"/>
  <c r="N13" i="11" s="1"/>
  <c r="O13" i="10"/>
  <c r="N11" i="11" s="1"/>
  <c r="O12" i="10"/>
  <c r="N10" i="11" s="1"/>
  <c r="O10" i="10"/>
  <c r="N8" i="11" s="1"/>
  <c r="O8" i="10"/>
  <c r="O18" i="10" s="1"/>
  <c r="O9" i="10"/>
  <c r="N7" i="11" s="1"/>
  <c r="P5" i="10"/>
  <c r="N4" i="11"/>
  <c r="N6" i="11" l="1"/>
  <c r="P6" i="10"/>
  <c r="O4" i="11" s="1"/>
  <c r="P7" i="10"/>
  <c r="O5" i="11" s="1"/>
  <c r="O3" i="11"/>
  <c r="P11" i="10"/>
  <c r="P9" i="10"/>
  <c r="P16" i="10"/>
  <c r="P8" i="10"/>
  <c r="P12" i="10"/>
  <c r="P13" i="10"/>
  <c r="P10" i="10"/>
  <c r="P14" i="10"/>
  <c r="P17" i="10"/>
  <c r="P15" i="10"/>
  <c r="N16" i="11"/>
  <c r="O19" i="10"/>
  <c r="N17" i="11" s="1"/>
  <c r="O13" i="11" l="1"/>
  <c r="Q15" i="10"/>
  <c r="O15" i="11"/>
  <c r="Q17" i="10"/>
  <c r="O12" i="11"/>
  <c r="Q14" i="10"/>
  <c r="O11" i="11"/>
  <c r="Q13" i="10"/>
  <c r="O8" i="11"/>
  <c r="Q10" i="10"/>
  <c r="O10" i="11"/>
  <c r="Q12" i="10"/>
  <c r="O14" i="11"/>
  <c r="Q16" i="10"/>
  <c r="O6" i="11"/>
  <c r="P18" i="10"/>
  <c r="Q8" i="10"/>
  <c r="O7" i="11"/>
  <c r="Q9" i="10"/>
  <c r="O9" i="11"/>
  <c r="Q11" i="10"/>
  <c r="R12" i="10" l="1"/>
  <c r="Q10" i="11" s="1"/>
  <c r="P10" i="11"/>
  <c r="S10" i="11" s="1"/>
  <c r="R17" i="10"/>
  <c r="Q15" i="11" s="1"/>
  <c r="P15" i="11"/>
  <c r="S15" i="11" s="1"/>
  <c r="R13" i="10"/>
  <c r="Q11" i="11" s="1"/>
  <c r="P11" i="11"/>
  <c r="S11" i="11" s="1"/>
  <c r="R16" i="10"/>
  <c r="Q14" i="11" s="1"/>
  <c r="P14" i="11"/>
  <c r="P8" i="11"/>
  <c r="R10" i="10"/>
  <c r="Q8" i="11" s="1"/>
  <c r="P12" i="11"/>
  <c r="R14" i="10"/>
  <c r="Q12" i="11" s="1"/>
  <c r="R15" i="10"/>
  <c r="Q13" i="11" s="1"/>
  <c r="P13" i="11"/>
  <c r="O16" i="11"/>
  <c r="P19" i="10"/>
  <c r="O17" i="11" s="1"/>
  <c r="Q18" i="10"/>
  <c r="S19" i="10" s="1"/>
  <c r="P9" i="11"/>
  <c r="R11" i="10"/>
  <c r="Q9" i="11" s="1"/>
  <c r="P7" i="11"/>
  <c r="R9" i="10"/>
  <c r="Q7" i="11" s="1"/>
  <c r="R8" i="10"/>
  <c r="Q6" i="11" s="1"/>
  <c r="P6" i="11"/>
  <c r="S9" i="11" l="1"/>
  <c r="S12" i="11"/>
  <c r="S8" i="11"/>
  <c r="S13" i="11"/>
  <c r="S14" i="11"/>
  <c r="Q16" i="11"/>
  <c r="S20" i="11" s="1"/>
  <c r="S6" i="11"/>
  <c r="S7" i="11"/>
  <c r="S19" i="11" l="1"/>
  <c r="S21" i="11" s="1"/>
  <c r="G22" i="11" s="1"/>
  <c r="B2" i="15"/>
  <c r="D4" i="12"/>
  <c r="F10" i="3" a="1"/>
  <c r="F10" i="3" s="1"/>
  <c r="F3" i="8"/>
  <c r="F35" i="7"/>
  <c r="F34" i="7"/>
  <c r="B40" i="7"/>
  <c r="C40" i="7" s="1"/>
  <c r="B41" i="7"/>
  <c r="C41" i="7" s="1"/>
  <c r="B42" i="7"/>
  <c r="C42" i="7" s="1"/>
  <c r="B43" i="7"/>
  <c r="C43" i="7" s="1"/>
  <c r="B44" i="7"/>
  <c r="C44" i="7" s="1"/>
  <c r="B45" i="7"/>
  <c r="C45" i="7" s="1"/>
  <c r="B46" i="7"/>
  <c r="C46" i="7" s="1"/>
  <c r="B47" i="7"/>
  <c r="C47" i="7" s="1"/>
  <c r="B48" i="7"/>
  <c r="C48" i="7" s="1"/>
  <c r="B39" i="7"/>
  <c r="F27" i="7"/>
  <c r="F28" i="7"/>
  <c r="B7" i="7"/>
  <c r="B6" i="7"/>
  <c r="F13" i="7" s="1"/>
  <c r="B5" i="7"/>
  <c r="C14" i="7"/>
  <c r="C39" i="7" l="1"/>
  <c r="C49" i="7"/>
  <c r="F49" i="7" s="1"/>
  <c r="F48" i="7" l="1"/>
  <c r="G3" i="2" a="1"/>
  <c r="B3" i="2" a="1"/>
  <c r="B3" i="2" l="1"/>
  <c r="D7" i="3"/>
  <c r="G3" i="2"/>
  <c r="T7" i="3"/>
  <c r="B9" i="6" l="1"/>
  <c r="B7" i="6"/>
  <c r="B5" i="6"/>
  <c r="B3" i="6"/>
  <c r="D10" i="3"/>
  <c r="E10" i="3" l="1"/>
  <c r="H10" i="3"/>
  <c r="D11" i="3" l="1"/>
  <c r="E11" i="3" l="1"/>
  <c r="H11" i="3"/>
  <c r="D12" i="3" l="1"/>
  <c r="E12" i="3" l="1"/>
  <c r="H12" i="3"/>
  <c r="D13" i="3" l="1"/>
  <c r="E13" i="3" s="1"/>
  <c r="H13" i="3" l="1"/>
  <c r="D14" i="3"/>
  <c r="E14" i="3" l="1"/>
  <c r="H14" i="3"/>
  <c r="D15" i="3" l="1"/>
  <c r="E15" i="3" s="1"/>
  <c r="H15" i="3" l="1"/>
  <c r="D16" i="3"/>
  <c r="E16" i="3" l="1"/>
  <c r="D17" i="3" s="1"/>
  <c r="H16" i="3"/>
  <c r="E17" i="3" l="1"/>
  <c r="D18" i="3" s="1"/>
  <c r="H17" i="3"/>
  <c r="E18" i="3" l="1"/>
  <c r="H18" i="3"/>
  <c r="D19" i="3" l="1"/>
  <c r="E19" i="3" s="1"/>
  <c r="H19" i="3" s="1"/>
  <c r="G18" i="3" l="1"/>
  <c r="G19" i="3"/>
  <c r="G12" i="3"/>
  <c r="G16" i="3"/>
  <c r="G17" i="3"/>
  <c r="I15" i="3"/>
  <c r="J15" i="3" s="1"/>
  <c r="G13" i="3"/>
  <c r="I11" i="3"/>
  <c r="J11" i="3" s="1"/>
  <c r="I13" i="3"/>
  <c r="J13" i="3" s="1"/>
  <c r="G15" i="3"/>
  <c r="I16" i="3"/>
  <c r="J16" i="3" s="1"/>
  <c r="I17" i="3"/>
  <c r="J17" i="3" s="1"/>
  <c r="I18" i="3"/>
  <c r="J18" i="3" s="1"/>
  <c r="I12" i="3"/>
  <c r="J12" i="3" s="1"/>
  <c r="I14" i="3"/>
  <c r="J14" i="3" s="1"/>
  <c r="G14" i="3"/>
  <c r="G11" i="3"/>
  <c r="I19" i="3"/>
  <c r="J19" i="3" s="1"/>
  <c r="I10" i="3" l="1"/>
  <c r="G10" i="3"/>
  <c r="K12" i="3" l="1"/>
  <c r="K14" i="3"/>
  <c r="K15" i="3"/>
  <c r="K16" i="3"/>
  <c r="K18" i="3"/>
  <c r="K10" i="3"/>
  <c r="K13" i="3"/>
  <c r="K17" i="3"/>
  <c r="K19" i="3"/>
  <c r="B11" i="5"/>
  <c r="K11" i="3"/>
  <c r="J10" i="3"/>
  <c r="J21" i="3" s="1"/>
  <c r="B7" i="5" l="1"/>
  <c r="B2" i="7" s="1"/>
  <c r="B1" i="7"/>
  <c r="B3" i="8"/>
  <c r="F31" i="7" l="1"/>
  <c r="F30" i="7"/>
  <c r="B9" i="5"/>
  <c r="F17" i="7"/>
  <c r="F16" i="7"/>
  <c r="B4" i="8" l="1"/>
  <c r="B3" i="7"/>
  <c r="F20" i="7" s="1"/>
  <c r="I11" i="8" l="1"/>
  <c r="J11" i="8" s="1"/>
  <c r="I4" i="8"/>
  <c r="J4" i="8" s="1"/>
  <c r="I8" i="8"/>
  <c r="J8" i="8" s="1"/>
  <c r="I9" i="8"/>
  <c r="J9" i="8" s="1"/>
  <c r="I10" i="8"/>
  <c r="J10" i="8" s="1"/>
  <c r="I5" i="8"/>
  <c r="J5" i="8" s="1"/>
  <c r="I6" i="8"/>
  <c r="J6" i="8" s="1"/>
  <c r="I7" i="8"/>
  <c r="J7" i="8" s="1"/>
  <c r="I3" i="8"/>
  <c r="J3" i="8" s="1"/>
  <c r="F24" i="7"/>
  <c r="F23" i="7"/>
  <c r="K8" i="8" l="1"/>
  <c r="L8" i="8" s="1"/>
  <c r="M8" i="8" s="1"/>
  <c r="K5" i="8"/>
  <c r="L5" i="8" s="1"/>
  <c r="M5" i="8" s="1"/>
  <c r="K6" i="8"/>
  <c r="L6" i="8" s="1"/>
  <c r="M6" i="8" s="1"/>
  <c r="K4" i="8"/>
  <c r="L4" i="8" s="1"/>
  <c r="M4" i="8" s="1"/>
  <c r="K7" i="8"/>
  <c r="L7" i="8" s="1"/>
  <c r="M7" i="8" s="1"/>
  <c r="K9" i="8"/>
  <c r="L9" i="8" s="1"/>
  <c r="M9" i="8" s="1"/>
  <c r="K10" i="8"/>
  <c r="L10" i="8" s="1"/>
  <c r="M10" i="8" s="1"/>
  <c r="K11" i="8"/>
  <c r="L11" i="8" s="1"/>
  <c r="M11" i="8" s="1"/>
  <c r="K3" i="8"/>
  <c r="L3" i="8" s="1"/>
  <c r="M3" i="8" s="1"/>
  <c r="M14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<sst xmlns="http://schemas.openxmlformats.org/spreadsheetml/2006/main" count="256" uniqueCount="140">
  <si>
    <t>№</t>
  </si>
  <si>
    <t>Рост</t>
  </si>
  <si>
    <t>Вес</t>
  </si>
  <si>
    <t>Вариационный ряд для роста</t>
  </si>
  <si>
    <t>Вариационный ряд для веса</t>
  </si>
  <si>
    <t>Кол-во данных</t>
  </si>
  <si>
    <t>размер</t>
  </si>
  <si>
    <t>Интервальный вариационный ряд роста</t>
  </si>
  <si>
    <t>Интервальный вариационный ряд веса</t>
  </si>
  <si>
    <t>n</t>
  </si>
  <si>
    <t>v</t>
  </si>
  <si>
    <t>c</t>
  </si>
  <si>
    <t>cn</t>
  </si>
  <si>
    <t>Выборочная дисперсия</t>
  </si>
  <si>
    <t>Исправленная дисперсия</t>
  </si>
  <si>
    <t>Исправленные выб. ср.кв.откл</t>
  </si>
  <si>
    <t xml:space="preserve">Мода </t>
  </si>
  <si>
    <t>(с^2)n</t>
  </si>
  <si>
    <t>Выборочное среднее</t>
  </si>
  <si>
    <t>F(c)</t>
  </si>
  <si>
    <t>left</t>
  </si>
  <si>
    <t>right</t>
  </si>
  <si>
    <t>кол-во интервалов</t>
  </si>
  <si>
    <t>надежность</t>
  </si>
  <si>
    <t>sqrt(размер выборки)</t>
  </si>
  <si>
    <t>a)</t>
  </si>
  <si>
    <t>Характеристики</t>
  </si>
  <si>
    <t>σ^2</t>
  </si>
  <si>
    <t>σ</t>
  </si>
  <si>
    <t>Границы доверительного интервала</t>
  </si>
  <si>
    <t>length/2</t>
  </si>
  <si>
    <t>б)</t>
  </si>
  <si>
    <t>-</t>
  </si>
  <si>
    <t>размер выборки (n)</t>
  </si>
  <si>
    <t>кол-во степеней свободы</t>
  </si>
  <si>
    <t>в)</t>
  </si>
  <si>
    <t>a</t>
  </si>
  <si>
    <t>ХИ2_1</t>
  </si>
  <si>
    <t>ХИ2_2</t>
  </si>
  <si>
    <t>г)</t>
  </si>
  <si>
    <t>Параметр - a</t>
  </si>
  <si>
    <t>Параметр - σ^2</t>
  </si>
  <si>
    <t>(c-a)^2</t>
  </si>
  <si>
    <t>(c-a)^2 * n</t>
  </si>
  <si>
    <t>Сумма (n *σ^2)</t>
  </si>
  <si>
    <t>Исправленные выб. ср.кв.откл (S)</t>
  </si>
  <si>
    <t>Выборочное среднее (X)</t>
  </si>
  <si>
    <t>(a-X)/S</t>
  </si>
  <si>
    <t>F_0((a-X)/S)</t>
  </si>
  <si>
    <t>P</t>
  </si>
  <si>
    <t>n'</t>
  </si>
  <si>
    <t>((n-n')^2)/n'</t>
  </si>
  <si>
    <t>СУММА</t>
  </si>
  <si>
    <t>размер (минимальный для корректной работы метода)</t>
  </si>
  <si>
    <t>кол-во</t>
  </si>
  <si>
    <t>частота</t>
  </si>
  <si>
    <t>Примечание: для удобства сразу предподсчитаем статистику для пунктов 3-5</t>
  </si>
  <si>
    <t>Выборочный второй момент</t>
  </si>
  <si>
    <t>среднее</t>
  </si>
  <si>
    <t>(c^2)n</t>
  </si>
  <si>
    <t>РОСТ</t>
  </si>
  <si>
    <t>ВЕС</t>
  </si>
  <si>
    <t>Медиана</t>
  </si>
  <si>
    <t>X_рост/Y_вес</t>
  </si>
  <si>
    <t>n_Y</t>
  </si>
  <si>
    <t>n_X</t>
  </si>
  <si>
    <t>Условные средние</t>
  </si>
  <si>
    <t>Среднее</t>
  </si>
  <si>
    <t>Условные средние растут =&gt; прямая корреляция</t>
  </si>
  <si>
    <t>Вывод:</t>
  </si>
  <si>
    <t>Сумма</t>
  </si>
  <si>
    <t>Сумма == 200</t>
  </si>
  <si>
    <t>Дисперсия</t>
  </si>
  <si>
    <t>Межгрупповая</t>
  </si>
  <si>
    <t>Выб.сред.</t>
  </si>
  <si>
    <t>Cумма</t>
  </si>
  <si>
    <t>Дисперсия веса</t>
  </si>
  <si>
    <t>теорема о разложении дисперсии выполняется</t>
  </si>
  <si>
    <t>уровень значимости (α)</t>
  </si>
  <si>
    <t>t_кр</t>
  </si>
  <si>
    <t>уровень значимости</t>
  </si>
  <si>
    <t>K</t>
  </si>
  <si>
    <t>гипотеза о независимости отвергается в пользу альтернативной</t>
  </si>
  <si>
    <t>степень свободы</t>
  </si>
  <si>
    <t>,=&gt; K &gt; t_кр =&gt;</t>
  </si>
  <si>
    <t>X_рост</t>
  </si>
  <si>
    <t>Y_вес</t>
  </si>
  <si>
    <t>выборочный коэффициент (r)</t>
  </si>
  <si>
    <t>b</t>
  </si>
  <si>
    <t>выб.сред (X)</t>
  </si>
  <si>
    <t>Шкала Чеддока</t>
  </si>
  <si>
    <t>тип</t>
  </si>
  <si>
    <t>заметная</t>
  </si>
  <si>
    <t>слабая</t>
  </si>
  <si>
    <t>умерен</t>
  </si>
  <si>
    <t>высокая</t>
  </si>
  <si>
    <t>оч высок</t>
  </si>
  <si>
    <t>У нас имеет место заметная корреляция по шкале Чеддока</t>
  </si>
  <si>
    <t>Уравнение:</t>
  </si>
  <si>
    <t>0,5 &lt; r &lt; 0,7 =&gt;</t>
  </si>
  <si>
    <t>x</t>
  </si>
  <si>
    <t>y</t>
  </si>
  <si>
    <t>r</t>
  </si>
  <si>
    <t>выб.корреляционное соотн</t>
  </si>
  <si>
    <t>, т.к. они примерно равны =&gt;</t>
  </si>
  <si>
    <t>значит стянем последние два интервала в один</t>
  </si>
  <si>
    <t>стандарт.ошибка a</t>
  </si>
  <si>
    <t>стандарт.ошибка b</t>
  </si>
  <si>
    <t>коэф. детерминации</t>
  </si>
  <si>
    <t>стандарт.ошибка регрессии</t>
  </si>
  <si>
    <t>F-статистика</t>
  </si>
  <si>
    <t>ЛИНЕЙН</t>
  </si>
  <si>
    <t>Дисперсия расчетных значений</t>
  </si>
  <si>
    <t>Дисперсия остатков</t>
  </si>
  <si>
    <t>, значит уравнение имеет вид:</t>
  </si>
  <si>
    <t>ХИ2_теоритическая</t>
  </si>
  <si>
    <t>Ошибка прогноза</t>
  </si>
  <si>
    <t>число степеней свободы</t>
  </si>
  <si>
    <t>доверительный интервал</t>
  </si>
  <si>
    <t>кол-во аргументов</t>
  </si>
  <si>
    <t>Доверительный интервал a</t>
  </si>
  <si>
    <t>Доверительный интервал b</t>
  </si>
  <si>
    <t>F-статистика &gt; t_кр =&gt;</t>
  </si>
  <si>
    <t>Гипотеза принимается</t>
  </si>
  <si>
    <t>ХИ2_фактическая</t>
  </si>
  <si>
    <t>ХИ2_факт &lt; ХИ2_теор =&gt;</t>
  </si>
  <si>
    <t>все сходится, лин.модель выбрана правильно</t>
  </si>
  <si>
    <t>значит нулевая гипотеза отклоняется в пользу альтернативной &lt;=&gt; Уравнение лин.регрессии статистически значимо.</t>
  </si>
  <si>
    <t>ответ на задание</t>
  </si>
  <si>
    <t>Примечание</t>
  </si>
  <si>
    <t>важное промежуточное объяснение, расчет</t>
  </si>
  <si>
    <t>константы из условия или с предыдущих листов</t>
  </si>
  <si>
    <t>Цвет</t>
  </si>
  <si>
    <t>Тип</t>
  </si>
  <si>
    <t>Далее будут использоваться следующие обозначения цветом</t>
  </si>
  <si>
    <t>сумма</t>
  </si>
  <si>
    <t>Внутригрупповая</t>
  </si>
  <si>
    <t>Сумма внутригропповой и межгрупповой дисперсий равна ранее посчитанной дисперсии веса =&gt;</t>
  </si>
  <si>
    <t>XY</t>
  </si>
  <si>
    <t>Распред. веса - нормальное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</si>
</sst>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medium">
        <color theme="4" tint="-0.249977111117893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medium">
        <color theme="4" tint="-0.249977111117893"/>
      </bottom>
      <diagonal/>
    </border>
    <border>
      <left style="medium">
        <color theme="1"/>
      </left>
      <right style="thin">
        <color theme="4" tint="-0.249977111117893"/>
      </right>
      <top style="medium">
        <color theme="1"/>
      </top>
      <bottom style="medium">
        <color theme="1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1"/>
      </top>
      <bottom style="medium">
        <color theme="1"/>
      </bottom>
      <diagonal/>
    </border>
    <border>
      <left style="thin">
        <color theme="4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 style="thin">
        <color indexed="64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3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5" borderId="1" xfId="0" applyFill="1" applyBorder="1" applyAlignment="1">
      <alignment horizontal="center"/>
    </xf>
    <xf numFmtId="0" fontId="0" fillId="0" borderId="14" xfId="0" applyBorder="1"/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21" xfId="0" applyBorder="1"/>
    <xf numFmtId="0" fontId="0" fillId="0" borderId="10" xfId="0" applyBorder="1"/>
    <xf numFmtId="0" fontId="0" fillId="3" borderId="1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5" xfId="0" applyFill="1" applyBorder="1"/>
    <xf numFmtId="0" fontId="0" fillId="12" borderId="14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0" fontId="0" fillId="9" borderId="8" xfId="0" applyFill="1" applyBorder="1"/>
    <xf numFmtId="0" fontId="0" fillId="8" borderId="44" xfId="0" applyFill="1" applyBorder="1" applyAlignment="1">
      <alignment horizontal="center"/>
    </xf>
    <xf numFmtId="0" fontId="0" fillId="8" borderId="44" xfId="0" applyFill="1" applyBorder="1"/>
    <xf numFmtId="0" fontId="0" fillId="13" borderId="0" xfId="0" applyFill="1"/>
    <xf numFmtId="0" fontId="0" fillId="12" borderId="46" xfId="0" applyFill="1" applyBorder="1"/>
    <xf numFmtId="0" fontId="0" fillId="9" borderId="0" xfId="0" applyFill="1"/>
    <xf numFmtId="0" fontId="0" fillId="0" borderId="0" xfId="0" applyAlignment="1">
      <alignment vertical="center"/>
    </xf>
    <xf numFmtId="0" fontId="0" fillId="14" borderId="14" xfId="0" applyFill="1" applyBorder="1" applyAlignment="1">
      <alignment horizontal="center" vertical="center"/>
    </xf>
    <xf numFmtId="0" fontId="0" fillId="12" borderId="49" xfId="0" applyFill="1" applyBorder="1"/>
    <xf numFmtId="0" fontId="0" fillId="12" borderId="56" xfId="0" applyFill="1" applyBorder="1"/>
    <xf numFmtId="0" fontId="0" fillId="12" borderId="51" xfId="0" applyFill="1" applyBorder="1"/>
    <xf numFmtId="0" fontId="0" fillId="8" borderId="48" xfId="0" applyFill="1" applyBorder="1" applyAlignment="1">
      <alignment horizontal="center"/>
    </xf>
    <xf numFmtId="0" fontId="0" fillId="8" borderId="53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0" fontId="0" fillId="8" borderId="56" xfId="0" applyFill="1" applyBorder="1" applyAlignment="1">
      <alignment horizontal="center"/>
    </xf>
    <xf numFmtId="0" fontId="0" fillId="8" borderId="50" xfId="0" applyFill="1" applyBorder="1" applyAlignment="1">
      <alignment horizontal="center"/>
    </xf>
    <xf numFmtId="0" fontId="0" fillId="8" borderId="54" xfId="0" applyFill="1" applyBorder="1" applyAlignment="1">
      <alignment horizontal="center"/>
    </xf>
    <xf numFmtId="0" fontId="0" fillId="8" borderId="5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5" borderId="62" xfId="0" applyFill="1" applyBorder="1" applyAlignment="1">
      <alignment horizontal="center"/>
    </xf>
    <xf numFmtId="0" fontId="0" fillId="5" borderId="63" xfId="0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59" xfId="0" applyBorder="1"/>
    <xf numFmtId="0" fontId="0" fillId="0" borderId="65" xfId="0" applyBorder="1"/>
    <xf numFmtId="0" fontId="0" fillId="0" borderId="66" xfId="0" applyBorder="1"/>
    <xf numFmtId="0" fontId="0" fillId="0" borderId="6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8" borderId="67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/>
    </xf>
    <xf numFmtId="0" fontId="0" fillId="4" borderId="44" xfId="0" applyFill="1" applyBorder="1"/>
    <xf numFmtId="0" fontId="0" fillId="5" borderId="44" xfId="0" applyFill="1" applyBorder="1" applyAlignment="1">
      <alignment horizontal="center" vertical="center"/>
    </xf>
    <xf numFmtId="0" fontId="0" fillId="5" borderId="44" xfId="0" applyFill="1" applyBorder="1"/>
    <xf numFmtId="0" fontId="0" fillId="12" borderId="7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0" borderId="73" xfId="0" applyBorder="1"/>
    <xf numFmtId="0" fontId="0" fillId="5" borderId="0" xfId="0" applyFill="1" applyAlignment="1">
      <alignment horizontal="center"/>
    </xf>
    <xf numFmtId="0" fontId="0" fillId="5" borderId="5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14" xfId="0" applyFill="1" applyBorder="1"/>
    <xf numFmtId="0" fontId="0" fillId="5" borderId="8" xfId="0" applyFill="1" applyBorder="1"/>
    <xf numFmtId="0" fontId="0" fillId="12" borderId="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2" borderId="0" xfId="0" applyFill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73" xfId="0" applyBorder="1" applyAlignment="1">
      <alignment horizontal="center"/>
    </xf>
    <xf numFmtId="0" fontId="0" fillId="8" borderId="19" xfId="0" applyFill="1" applyBorder="1"/>
    <xf numFmtId="0" fontId="0" fillId="0" borderId="2" xfId="0" applyBorder="1"/>
    <xf numFmtId="0" fontId="0" fillId="0" borderId="9" xfId="0" applyBorder="1"/>
    <xf numFmtId="0" fontId="0" fillId="0" borderId="3" xfId="0" applyBorder="1"/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2" borderId="76" xfId="0" applyFill="1" applyBorder="1"/>
    <xf numFmtId="0" fontId="0" fillId="12" borderId="78" xfId="0" applyFill="1" applyBorder="1"/>
    <xf numFmtId="0" fontId="0" fillId="12" borderId="81" xfId="0" applyFill="1" applyBorder="1"/>
    <xf numFmtId="0" fontId="3" fillId="6" borderId="52" xfId="0" applyFont="1" applyFill="1" applyBorder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8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77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2" borderId="79" xfId="0" applyFill="1" applyBorder="1" applyAlignment="1">
      <alignment horizontal="center"/>
    </xf>
    <xf numFmtId="0" fontId="0" fillId="12" borderId="80" xfId="0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0" fontId="0" fillId="9" borderId="45" xfId="0" applyFill="1" applyBorder="1" applyAlignment="1">
      <alignment horizontal="center"/>
    </xf>
    <xf numFmtId="0" fontId="0" fillId="9" borderId="46" xfId="0" applyFill="1" applyBorder="1" applyAlignment="1">
      <alignment horizontal="center"/>
    </xf>
    <xf numFmtId="0" fontId="0" fillId="12" borderId="46" xfId="0" applyFill="1" applyBorder="1" applyAlignment="1">
      <alignment horizontal="center"/>
    </xf>
    <xf numFmtId="0" fontId="0" fillId="12" borderId="47" xfId="0" applyFill="1" applyBorder="1" applyAlignment="1">
      <alignment horizontal="center"/>
    </xf>
    <xf numFmtId="0" fontId="0" fillId="12" borderId="74" xfId="0" applyFill="1" applyBorder="1" applyAlignment="1">
      <alignment horizontal="center"/>
    </xf>
    <xf numFmtId="0" fontId="0" fillId="12" borderId="7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2" borderId="50" xfId="0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5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0" fillId="12" borderId="53" xfId="0" applyFill="1" applyBorder="1" applyAlignment="1">
      <alignment horizontal="center"/>
    </xf>
    <xf numFmtId="0" fontId="0" fillId="12" borderId="71" xfId="0" applyFill="1" applyBorder="1" applyAlignment="1">
      <alignment horizontal="center" vertical="center"/>
    </xf>
    <xf numFmtId="0" fontId="0" fillId="12" borderId="72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12" borderId="6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5" borderId="70" xfId="0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3" xfId="0" applyFont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роста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№2!$H$10:$H$19</c:f>
              <c:numCache>
                <c:formatCode>General</c:formatCode>
                <c:ptCount val="10"/>
                <c:pt idx="0">
                  <c:v>156.4</c:v>
                </c:pt>
                <c:pt idx="1">
                  <c:v>159.20000000000002</c:v>
                </c:pt>
                <c:pt idx="2">
                  <c:v>162.00000000000003</c:v>
                </c:pt>
                <c:pt idx="3">
                  <c:v>164.80000000000004</c:v>
                </c:pt>
                <c:pt idx="4">
                  <c:v>167.60000000000005</c:v>
                </c:pt>
                <c:pt idx="5">
                  <c:v>170.40000000000006</c:v>
                </c:pt>
                <c:pt idx="6">
                  <c:v>173.20000000000007</c:v>
                </c:pt>
                <c:pt idx="7">
                  <c:v>176.00000000000009</c:v>
                </c:pt>
                <c:pt idx="8">
                  <c:v>178.8000000000001</c:v>
                </c:pt>
                <c:pt idx="9">
                  <c:v>181.60000000000011</c:v>
                </c:pt>
              </c:numCache>
            </c:numRef>
          </c:cat>
          <c:val>
            <c:numRef>
              <c:f>№2!$G$10:$G$19</c:f>
              <c:numCache>
                <c:formatCode>General</c:formatCode>
                <c:ptCount val="10"/>
                <c:pt idx="0">
                  <c:v>0.04</c:v>
                </c:pt>
                <c:pt idx="1">
                  <c:v>0.05</c:v>
                </c:pt>
                <c:pt idx="2">
                  <c:v>0.14499999999999999</c:v>
                </c:pt>
                <c:pt idx="3">
                  <c:v>0.20499999999999999</c:v>
                </c:pt>
                <c:pt idx="4">
                  <c:v>0.17</c:v>
                </c:pt>
                <c:pt idx="5">
                  <c:v>0.14499999999999999</c:v>
                </c:pt>
                <c:pt idx="6">
                  <c:v>0.13</c:v>
                </c:pt>
                <c:pt idx="7">
                  <c:v>5.5E-2</c:v>
                </c:pt>
                <c:pt idx="8">
                  <c:v>4.4999999999999998E-2</c:v>
                </c:pt>
                <c:pt idx="9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1-4D85-8D18-11BC45F46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06076736"/>
        <c:axId val="894487840"/>
      </c:barChart>
      <c:catAx>
        <c:axId val="100607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4487840"/>
        <c:crosses val="autoZero"/>
        <c:auto val="0"/>
        <c:lblAlgn val="ctr"/>
        <c:lblOffset val="100"/>
        <c:tickMarkSkip val="1"/>
        <c:noMultiLvlLbl val="0"/>
      </c:catAx>
      <c:valAx>
        <c:axId val="8944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6076736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роста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№2!$H$10:$H$19</c:f>
              <c:numCache>
                <c:formatCode>General</c:formatCode>
                <c:ptCount val="10"/>
                <c:pt idx="0">
                  <c:v>156.4</c:v>
                </c:pt>
                <c:pt idx="1">
                  <c:v>159.20000000000002</c:v>
                </c:pt>
                <c:pt idx="2">
                  <c:v>162.00000000000003</c:v>
                </c:pt>
                <c:pt idx="3">
                  <c:v>164.80000000000004</c:v>
                </c:pt>
                <c:pt idx="4">
                  <c:v>167.60000000000005</c:v>
                </c:pt>
                <c:pt idx="5">
                  <c:v>170.40000000000006</c:v>
                </c:pt>
                <c:pt idx="6">
                  <c:v>173.20000000000007</c:v>
                </c:pt>
                <c:pt idx="7">
                  <c:v>176.00000000000009</c:v>
                </c:pt>
                <c:pt idx="8">
                  <c:v>178.8000000000001</c:v>
                </c:pt>
                <c:pt idx="9">
                  <c:v>181.60000000000011</c:v>
                </c:pt>
              </c:numCache>
            </c:numRef>
          </c:cat>
          <c:val>
            <c:numRef>
              <c:f>№2!$G$10:$G$19</c:f>
              <c:numCache>
                <c:formatCode>General</c:formatCode>
                <c:ptCount val="10"/>
                <c:pt idx="0">
                  <c:v>0.04</c:v>
                </c:pt>
                <c:pt idx="1">
                  <c:v>0.05</c:v>
                </c:pt>
                <c:pt idx="2">
                  <c:v>0.14499999999999999</c:v>
                </c:pt>
                <c:pt idx="3">
                  <c:v>0.20499999999999999</c:v>
                </c:pt>
                <c:pt idx="4">
                  <c:v>0.17</c:v>
                </c:pt>
                <c:pt idx="5">
                  <c:v>0.14499999999999999</c:v>
                </c:pt>
                <c:pt idx="6">
                  <c:v>0.13</c:v>
                </c:pt>
                <c:pt idx="7">
                  <c:v>5.5E-2</c:v>
                </c:pt>
                <c:pt idx="8">
                  <c:v>4.4999999999999998E-2</c:v>
                </c:pt>
                <c:pt idx="9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CC-43C4-B49D-502FB3C5A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246064"/>
        <c:axId val="1031082832"/>
      </c:lineChart>
      <c:catAx>
        <c:axId val="10142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1082832"/>
        <c:crosses val="autoZero"/>
        <c:auto val="1"/>
        <c:lblAlgn val="ctr"/>
        <c:lblOffset val="100"/>
        <c:noMultiLvlLbl val="0"/>
      </c:catAx>
      <c:valAx>
        <c:axId val="10310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424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 ф-ция распределения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№2!$H$10:$H$19</c:f>
              <c:numCache>
                <c:formatCode>General</c:formatCode>
                <c:ptCount val="10"/>
                <c:pt idx="0">
                  <c:v>156.4</c:v>
                </c:pt>
                <c:pt idx="1">
                  <c:v>159.20000000000002</c:v>
                </c:pt>
                <c:pt idx="2">
                  <c:v>162.00000000000003</c:v>
                </c:pt>
                <c:pt idx="3">
                  <c:v>164.80000000000004</c:v>
                </c:pt>
                <c:pt idx="4">
                  <c:v>167.60000000000005</c:v>
                </c:pt>
                <c:pt idx="5">
                  <c:v>170.40000000000006</c:v>
                </c:pt>
                <c:pt idx="6">
                  <c:v>173.20000000000007</c:v>
                </c:pt>
                <c:pt idx="7">
                  <c:v>176.00000000000009</c:v>
                </c:pt>
                <c:pt idx="8">
                  <c:v>178.8000000000001</c:v>
                </c:pt>
                <c:pt idx="9">
                  <c:v>181.60000000000011</c:v>
                </c:pt>
              </c:numCache>
            </c:numRef>
          </c:cat>
          <c:val>
            <c:numRef>
              <c:f>№2!$K$10:$K$19</c:f>
              <c:numCache>
                <c:formatCode>General</c:formatCode>
                <c:ptCount val="10"/>
                <c:pt idx="0">
                  <c:v>0.04</c:v>
                </c:pt>
                <c:pt idx="1">
                  <c:v>0.09</c:v>
                </c:pt>
                <c:pt idx="2">
                  <c:v>0.23499999999999999</c:v>
                </c:pt>
                <c:pt idx="3">
                  <c:v>0.43999999999999995</c:v>
                </c:pt>
                <c:pt idx="4">
                  <c:v>0.61</c:v>
                </c:pt>
                <c:pt idx="5">
                  <c:v>0.755</c:v>
                </c:pt>
                <c:pt idx="6">
                  <c:v>0.88500000000000001</c:v>
                </c:pt>
                <c:pt idx="7">
                  <c:v>0.94000000000000006</c:v>
                </c:pt>
                <c:pt idx="8">
                  <c:v>0.9850000000000001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D-48A5-BC97-B9AF84668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240784"/>
        <c:axId val="1031086304"/>
      </c:lineChart>
      <c:catAx>
        <c:axId val="101424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1086304"/>
        <c:crosses val="autoZero"/>
        <c:auto val="1"/>
        <c:lblAlgn val="ctr"/>
        <c:lblOffset val="100"/>
        <c:noMultiLvlLbl val="0"/>
      </c:catAx>
      <c:valAx>
        <c:axId val="10310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424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Кореляционное</a:t>
            </a:r>
            <a:r>
              <a:rPr lang="ru-RU" baseline="0"/>
              <a:t> облако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Данные!$R$2:$R$201</c:f>
              <c:numCache>
                <c:formatCode>General</c:formatCode>
                <c:ptCount val="200"/>
                <c:pt idx="0">
                  <c:v>160</c:v>
                </c:pt>
                <c:pt idx="1">
                  <c:v>178</c:v>
                </c:pt>
                <c:pt idx="2">
                  <c:v>170</c:v>
                </c:pt>
                <c:pt idx="3">
                  <c:v>168</c:v>
                </c:pt>
                <c:pt idx="4">
                  <c:v>173</c:v>
                </c:pt>
                <c:pt idx="5">
                  <c:v>176</c:v>
                </c:pt>
                <c:pt idx="6">
                  <c:v>170</c:v>
                </c:pt>
                <c:pt idx="7">
                  <c:v>163</c:v>
                </c:pt>
                <c:pt idx="8">
                  <c:v>165</c:v>
                </c:pt>
                <c:pt idx="9">
                  <c:v>165</c:v>
                </c:pt>
                <c:pt idx="10">
                  <c:v>170</c:v>
                </c:pt>
                <c:pt idx="11">
                  <c:v>166</c:v>
                </c:pt>
                <c:pt idx="12">
                  <c:v>165</c:v>
                </c:pt>
                <c:pt idx="13">
                  <c:v>181</c:v>
                </c:pt>
                <c:pt idx="14">
                  <c:v>172</c:v>
                </c:pt>
                <c:pt idx="15">
                  <c:v>165</c:v>
                </c:pt>
                <c:pt idx="16">
                  <c:v>172</c:v>
                </c:pt>
                <c:pt idx="17">
                  <c:v>178</c:v>
                </c:pt>
                <c:pt idx="18">
                  <c:v>169</c:v>
                </c:pt>
                <c:pt idx="19">
                  <c:v>165</c:v>
                </c:pt>
                <c:pt idx="20">
                  <c:v>174</c:v>
                </c:pt>
                <c:pt idx="21">
                  <c:v>159</c:v>
                </c:pt>
                <c:pt idx="22">
                  <c:v>171</c:v>
                </c:pt>
                <c:pt idx="23">
                  <c:v>169</c:v>
                </c:pt>
                <c:pt idx="24">
                  <c:v>176</c:v>
                </c:pt>
                <c:pt idx="25">
                  <c:v>170</c:v>
                </c:pt>
                <c:pt idx="26">
                  <c:v>170</c:v>
                </c:pt>
                <c:pt idx="27">
                  <c:v>165</c:v>
                </c:pt>
                <c:pt idx="28">
                  <c:v>162</c:v>
                </c:pt>
                <c:pt idx="29">
                  <c:v>175</c:v>
                </c:pt>
                <c:pt idx="30">
                  <c:v>157</c:v>
                </c:pt>
                <c:pt idx="31">
                  <c:v>161</c:v>
                </c:pt>
                <c:pt idx="32">
                  <c:v>172</c:v>
                </c:pt>
                <c:pt idx="33">
                  <c:v>159</c:v>
                </c:pt>
                <c:pt idx="34">
                  <c:v>162</c:v>
                </c:pt>
                <c:pt idx="35">
                  <c:v>167</c:v>
                </c:pt>
                <c:pt idx="36">
                  <c:v>159</c:v>
                </c:pt>
                <c:pt idx="37">
                  <c:v>160</c:v>
                </c:pt>
                <c:pt idx="38">
                  <c:v>175</c:v>
                </c:pt>
                <c:pt idx="39">
                  <c:v>163</c:v>
                </c:pt>
                <c:pt idx="40">
                  <c:v>169</c:v>
                </c:pt>
                <c:pt idx="41">
                  <c:v>180</c:v>
                </c:pt>
                <c:pt idx="42">
                  <c:v>165</c:v>
                </c:pt>
                <c:pt idx="43">
                  <c:v>168</c:v>
                </c:pt>
                <c:pt idx="44">
                  <c:v>169</c:v>
                </c:pt>
                <c:pt idx="45">
                  <c:v>170</c:v>
                </c:pt>
                <c:pt idx="46">
                  <c:v>163</c:v>
                </c:pt>
                <c:pt idx="47">
                  <c:v>178</c:v>
                </c:pt>
                <c:pt idx="48">
                  <c:v>162</c:v>
                </c:pt>
                <c:pt idx="49">
                  <c:v>178</c:v>
                </c:pt>
                <c:pt idx="50">
                  <c:v>165</c:v>
                </c:pt>
                <c:pt idx="51">
                  <c:v>162</c:v>
                </c:pt>
                <c:pt idx="52">
                  <c:v>171</c:v>
                </c:pt>
                <c:pt idx="53">
                  <c:v>172</c:v>
                </c:pt>
                <c:pt idx="54">
                  <c:v>171</c:v>
                </c:pt>
                <c:pt idx="55">
                  <c:v>166</c:v>
                </c:pt>
                <c:pt idx="56">
                  <c:v>164</c:v>
                </c:pt>
                <c:pt idx="57">
                  <c:v>164</c:v>
                </c:pt>
                <c:pt idx="58">
                  <c:v>169</c:v>
                </c:pt>
                <c:pt idx="59">
                  <c:v>169</c:v>
                </c:pt>
                <c:pt idx="60">
                  <c:v>163</c:v>
                </c:pt>
                <c:pt idx="61">
                  <c:v>173</c:v>
                </c:pt>
                <c:pt idx="62">
                  <c:v>176</c:v>
                </c:pt>
                <c:pt idx="63">
                  <c:v>168</c:v>
                </c:pt>
                <c:pt idx="64">
                  <c:v>169</c:v>
                </c:pt>
                <c:pt idx="65">
                  <c:v>168</c:v>
                </c:pt>
                <c:pt idx="66">
                  <c:v>166</c:v>
                </c:pt>
                <c:pt idx="67">
                  <c:v>178</c:v>
                </c:pt>
                <c:pt idx="68">
                  <c:v>165</c:v>
                </c:pt>
                <c:pt idx="69">
                  <c:v>164</c:v>
                </c:pt>
                <c:pt idx="70">
                  <c:v>161</c:v>
                </c:pt>
                <c:pt idx="71">
                  <c:v>170</c:v>
                </c:pt>
                <c:pt idx="72">
                  <c:v>164</c:v>
                </c:pt>
                <c:pt idx="73">
                  <c:v>171</c:v>
                </c:pt>
                <c:pt idx="74">
                  <c:v>171</c:v>
                </c:pt>
                <c:pt idx="75">
                  <c:v>163</c:v>
                </c:pt>
                <c:pt idx="76">
                  <c:v>167</c:v>
                </c:pt>
                <c:pt idx="77">
                  <c:v>165</c:v>
                </c:pt>
                <c:pt idx="78">
                  <c:v>175</c:v>
                </c:pt>
                <c:pt idx="79">
                  <c:v>171</c:v>
                </c:pt>
                <c:pt idx="80">
                  <c:v>174</c:v>
                </c:pt>
                <c:pt idx="81">
                  <c:v>164</c:v>
                </c:pt>
                <c:pt idx="82">
                  <c:v>166</c:v>
                </c:pt>
                <c:pt idx="83">
                  <c:v>161</c:v>
                </c:pt>
                <c:pt idx="84">
                  <c:v>169</c:v>
                </c:pt>
                <c:pt idx="85">
                  <c:v>163</c:v>
                </c:pt>
                <c:pt idx="86">
                  <c:v>168</c:v>
                </c:pt>
                <c:pt idx="87">
                  <c:v>166</c:v>
                </c:pt>
                <c:pt idx="88">
                  <c:v>172</c:v>
                </c:pt>
                <c:pt idx="89">
                  <c:v>165</c:v>
                </c:pt>
                <c:pt idx="90">
                  <c:v>166</c:v>
                </c:pt>
                <c:pt idx="91">
                  <c:v>171</c:v>
                </c:pt>
                <c:pt idx="92">
                  <c:v>161</c:v>
                </c:pt>
                <c:pt idx="93">
                  <c:v>163</c:v>
                </c:pt>
                <c:pt idx="94">
                  <c:v>165</c:v>
                </c:pt>
                <c:pt idx="95">
                  <c:v>172</c:v>
                </c:pt>
                <c:pt idx="96">
                  <c:v>167</c:v>
                </c:pt>
                <c:pt idx="97">
                  <c:v>168</c:v>
                </c:pt>
                <c:pt idx="98">
                  <c:v>157</c:v>
                </c:pt>
                <c:pt idx="99">
                  <c:v>169</c:v>
                </c:pt>
                <c:pt idx="100">
                  <c:v>168</c:v>
                </c:pt>
                <c:pt idx="101">
                  <c:v>157</c:v>
                </c:pt>
                <c:pt idx="102">
                  <c:v>164</c:v>
                </c:pt>
                <c:pt idx="103">
                  <c:v>170</c:v>
                </c:pt>
                <c:pt idx="104">
                  <c:v>171</c:v>
                </c:pt>
                <c:pt idx="105">
                  <c:v>160</c:v>
                </c:pt>
                <c:pt idx="106">
                  <c:v>162</c:v>
                </c:pt>
                <c:pt idx="107">
                  <c:v>163</c:v>
                </c:pt>
                <c:pt idx="108">
                  <c:v>171</c:v>
                </c:pt>
                <c:pt idx="109">
                  <c:v>161</c:v>
                </c:pt>
                <c:pt idx="110">
                  <c:v>173</c:v>
                </c:pt>
                <c:pt idx="111">
                  <c:v>175</c:v>
                </c:pt>
                <c:pt idx="112">
                  <c:v>164</c:v>
                </c:pt>
                <c:pt idx="113">
                  <c:v>174</c:v>
                </c:pt>
                <c:pt idx="114">
                  <c:v>167</c:v>
                </c:pt>
                <c:pt idx="115">
                  <c:v>176</c:v>
                </c:pt>
                <c:pt idx="116">
                  <c:v>163</c:v>
                </c:pt>
                <c:pt idx="117">
                  <c:v>156</c:v>
                </c:pt>
                <c:pt idx="118">
                  <c:v>179</c:v>
                </c:pt>
                <c:pt idx="119">
                  <c:v>179</c:v>
                </c:pt>
                <c:pt idx="120">
                  <c:v>176</c:v>
                </c:pt>
                <c:pt idx="121">
                  <c:v>163</c:v>
                </c:pt>
                <c:pt idx="122">
                  <c:v>175</c:v>
                </c:pt>
                <c:pt idx="123">
                  <c:v>156</c:v>
                </c:pt>
                <c:pt idx="124">
                  <c:v>177</c:v>
                </c:pt>
                <c:pt idx="125">
                  <c:v>166</c:v>
                </c:pt>
                <c:pt idx="126">
                  <c:v>173</c:v>
                </c:pt>
                <c:pt idx="127">
                  <c:v>169</c:v>
                </c:pt>
                <c:pt idx="128">
                  <c:v>172</c:v>
                </c:pt>
                <c:pt idx="129">
                  <c:v>165</c:v>
                </c:pt>
                <c:pt idx="130">
                  <c:v>164</c:v>
                </c:pt>
                <c:pt idx="131">
                  <c:v>166</c:v>
                </c:pt>
                <c:pt idx="132">
                  <c:v>168</c:v>
                </c:pt>
                <c:pt idx="133">
                  <c:v>167</c:v>
                </c:pt>
                <c:pt idx="134">
                  <c:v>166</c:v>
                </c:pt>
                <c:pt idx="135">
                  <c:v>169</c:v>
                </c:pt>
                <c:pt idx="136">
                  <c:v>169</c:v>
                </c:pt>
                <c:pt idx="137">
                  <c:v>169</c:v>
                </c:pt>
                <c:pt idx="138">
                  <c:v>164</c:v>
                </c:pt>
                <c:pt idx="139">
                  <c:v>179</c:v>
                </c:pt>
                <c:pt idx="140">
                  <c:v>156</c:v>
                </c:pt>
                <c:pt idx="141">
                  <c:v>168</c:v>
                </c:pt>
                <c:pt idx="142">
                  <c:v>171</c:v>
                </c:pt>
                <c:pt idx="143">
                  <c:v>166</c:v>
                </c:pt>
                <c:pt idx="144">
                  <c:v>171</c:v>
                </c:pt>
                <c:pt idx="145">
                  <c:v>172</c:v>
                </c:pt>
                <c:pt idx="146">
                  <c:v>171</c:v>
                </c:pt>
                <c:pt idx="147">
                  <c:v>169</c:v>
                </c:pt>
                <c:pt idx="148">
                  <c:v>174</c:v>
                </c:pt>
                <c:pt idx="149">
                  <c:v>165</c:v>
                </c:pt>
                <c:pt idx="150">
                  <c:v>172</c:v>
                </c:pt>
                <c:pt idx="151">
                  <c:v>166</c:v>
                </c:pt>
                <c:pt idx="152">
                  <c:v>163</c:v>
                </c:pt>
                <c:pt idx="153">
                  <c:v>173</c:v>
                </c:pt>
                <c:pt idx="154">
                  <c:v>161</c:v>
                </c:pt>
                <c:pt idx="155">
                  <c:v>159</c:v>
                </c:pt>
                <c:pt idx="156">
                  <c:v>166</c:v>
                </c:pt>
                <c:pt idx="157">
                  <c:v>163</c:v>
                </c:pt>
                <c:pt idx="158">
                  <c:v>163</c:v>
                </c:pt>
                <c:pt idx="159">
                  <c:v>165</c:v>
                </c:pt>
                <c:pt idx="160">
                  <c:v>170</c:v>
                </c:pt>
                <c:pt idx="161">
                  <c:v>172</c:v>
                </c:pt>
                <c:pt idx="162">
                  <c:v>161</c:v>
                </c:pt>
                <c:pt idx="163">
                  <c:v>171</c:v>
                </c:pt>
                <c:pt idx="164">
                  <c:v>166</c:v>
                </c:pt>
                <c:pt idx="165">
                  <c:v>170</c:v>
                </c:pt>
                <c:pt idx="166">
                  <c:v>183</c:v>
                </c:pt>
                <c:pt idx="167">
                  <c:v>173</c:v>
                </c:pt>
                <c:pt idx="168">
                  <c:v>167</c:v>
                </c:pt>
                <c:pt idx="169">
                  <c:v>167</c:v>
                </c:pt>
                <c:pt idx="170">
                  <c:v>162</c:v>
                </c:pt>
                <c:pt idx="171">
                  <c:v>156</c:v>
                </c:pt>
                <c:pt idx="172">
                  <c:v>167</c:v>
                </c:pt>
                <c:pt idx="173">
                  <c:v>160</c:v>
                </c:pt>
                <c:pt idx="174">
                  <c:v>170</c:v>
                </c:pt>
                <c:pt idx="175">
                  <c:v>171</c:v>
                </c:pt>
                <c:pt idx="176">
                  <c:v>174</c:v>
                </c:pt>
                <c:pt idx="177">
                  <c:v>167</c:v>
                </c:pt>
                <c:pt idx="178">
                  <c:v>170</c:v>
                </c:pt>
                <c:pt idx="179">
                  <c:v>170</c:v>
                </c:pt>
                <c:pt idx="180">
                  <c:v>172</c:v>
                </c:pt>
                <c:pt idx="181">
                  <c:v>166</c:v>
                </c:pt>
                <c:pt idx="182">
                  <c:v>164</c:v>
                </c:pt>
                <c:pt idx="183">
                  <c:v>172</c:v>
                </c:pt>
                <c:pt idx="184">
                  <c:v>167</c:v>
                </c:pt>
                <c:pt idx="185">
                  <c:v>155</c:v>
                </c:pt>
                <c:pt idx="186">
                  <c:v>159</c:v>
                </c:pt>
                <c:pt idx="187">
                  <c:v>173</c:v>
                </c:pt>
                <c:pt idx="188">
                  <c:v>170</c:v>
                </c:pt>
                <c:pt idx="189">
                  <c:v>165</c:v>
                </c:pt>
                <c:pt idx="190">
                  <c:v>159</c:v>
                </c:pt>
                <c:pt idx="191">
                  <c:v>162</c:v>
                </c:pt>
                <c:pt idx="192">
                  <c:v>165</c:v>
                </c:pt>
                <c:pt idx="193">
                  <c:v>173</c:v>
                </c:pt>
                <c:pt idx="194">
                  <c:v>173</c:v>
                </c:pt>
                <c:pt idx="195">
                  <c:v>162</c:v>
                </c:pt>
                <c:pt idx="196">
                  <c:v>169</c:v>
                </c:pt>
                <c:pt idx="197">
                  <c:v>171</c:v>
                </c:pt>
                <c:pt idx="198">
                  <c:v>181</c:v>
                </c:pt>
                <c:pt idx="199">
                  <c:v>162</c:v>
                </c:pt>
              </c:numCache>
            </c:numRef>
          </c:xVal>
          <c:yVal>
            <c:numRef>
              <c:f>Данные!$S$2:$S$201</c:f>
              <c:numCache>
                <c:formatCode>General</c:formatCode>
                <c:ptCount val="200"/>
                <c:pt idx="0">
                  <c:v>61</c:v>
                </c:pt>
                <c:pt idx="1">
                  <c:v>69</c:v>
                </c:pt>
                <c:pt idx="2">
                  <c:v>70</c:v>
                </c:pt>
                <c:pt idx="3">
                  <c:v>60</c:v>
                </c:pt>
                <c:pt idx="4">
                  <c:v>69</c:v>
                </c:pt>
                <c:pt idx="5">
                  <c:v>70</c:v>
                </c:pt>
                <c:pt idx="6">
                  <c:v>58</c:v>
                </c:pt>
                <c:pt idx="7">
                  <c:v>64</c:v>
                </c:pt>
                <c:pt idx="8">
                  <c:v>57</c:v>
                </c:pt>
                <c:pt idx="9">
                  <c:v>60</c:v>
                </c:pt>
                <c:pt idx="10">
                  <c:v>61</c:v>
                </c:pt>
                <c:pt idx="11">
                  <c:v>55</c:v>
                </c:pt>
                <c:pt idx="12">
                  <c:v>63</c:v>
                </c:pt>
                <c:pt idx="13">
                  <c:v>77</c:v>
                </c:pt>
                <c:pt idx="14">
                  <c:v>64</c:v>
                </c:pt>
                <c:pt idx="15">
                  <c:v>63</c:v>
                </c:pt>
                <c:pt idx="16">
                  <c:v>78</c:v>
                </c:pt>
                <c:pt idx="17">
                  <c:v>75</c:v>
                </c:pt>
                <c:pt idx="18">
                  <c:v>74</c:v>
                </c:pt>
                <c:pt idx="19">
                  <c:v>63</c:v>
                </c:pt>
                <c:pt idx="20">
                  <c:v>75</c:v>
                </c:pt>
                <c:pt idx="21">
                  <c:v>54</c:v>
                </c:pt>
                <c:pt idx="22">
                  <c:v>66</c:v>
                </c:pt>
                <c:pt idx="23">
                  <c:v>67</c:v>
                </c:pt>
                <c:pt idx="24">
                  <c:v>62</c:v>
                </c:pt>
                <c:pt idx="25">
                  <c:v>65</c:v>
                </c:pt>
                <c:pt idx="26">
                  <c:v>66</c:v>
                </c:pt>
                <c:pt idx="27">
                  <c:v>61</c:v>
                </c:pt>
                <c:pt idx="28">
                  <c:v>66</c:v>
                </c:pt>
                <c:pt idx="29">
                  <c:v>75</c:v>
                </c:pt>
                <c:pt idx="30">
                  <c:v>53</c:v>
                </c:pt>
                <c:pt idx="31">
                  <c:v>55</c:v>
                </c:pt>
                <c:pt idx="32">
                  <c:v>66</c:v>
                </c:pt>
                <c:pt idx="33">
                  <c:v>55</c:v>
                </c:pt>
                <c:pt idx="34">
                  <c:v>65</c:v>
                </c:pt>
                <c:pt idx="35">
                  <c:v>63</c:v>
                </c:pt>
                <c:pt idx="36">
                  <c:v>68</c:v>
                </c:pt>
                <c:pt idx="37">
                  <c:v>62</c:v>
                </c:pt>
                <c:pt idx="38">
                  <c:v>75</c:v>
                </c:pt>
                <c:pt idx="39">
                  <c:v>67</c:v>
                </c:pt>
                <c:pt idx="40">
                  <c:v>56</c:v>
                </c:pt>
                <c:pt idx="41">
                  <c:v>65</c:v>
                </c:pt>
                <c:pt idx="42">
                  <c:v>63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57</c:v>
                </c:pt>
                <c:pt idx="47">
                  <c:v>75</c:v>
                </c:pt>
                <c:pt idx="48">
                  <c:v>53</c:v>
                </c:pt>
                <c:pt idx="49">
                  <c:v>69</c:v>
                </c:pt>
                <c:pt idx="50">
                  <c:v>67</c:v>
                </c:pt>
                <c:pt idx="51">
                  <c:v>60</c:v>
                </c:pt>
                <c:pt idx="52">
                  <c:v>60</c:v>
                </c:pt>
                <c:pt idx="53">
                  <c:v>72</c:v>
                </c:pt>
                <c:pt idx="54">
                  <c:v>65</c:v>
                </c:pt>
                <c:pt idx="55">
                  <c:v>62</c:v>
                </c:pt>
                <c:pt idx="56">
                  <c:v>56</c:v>
                </c:pt>
                <c:pt idx="57">
                  <c:v>63</c:v>
                </c:pt>
                <c:pt idx="58">
                  <c:v>65</c:v>
                </c:pt>
                <c:pt idx="59">
                  <c:v>75</c:v>
                </c:pt>
                <c:pt idx="60">
                  <c:v>54</c:v>
                </c:pt>
                <c:pt idx="61">
                  <c:v>75</c:v>
                </c:pt>
                <c:pt idx="62">
                  <c:v>67</c:v>
                </c:pt>
                <c:pt idx="63">
                  <c:v>55</c:v>
                </c:pt>
                <c:pt idx="64">
                  <c:v>66</c:v>
                </c:pt>
                <c:pt idx="65">
                  <c:v>67</c:v>
                </c:pt>
                <c:pt idx="66">
                  <c:v>64</c:v>
                </c:pt>
                <c:pt idx="67">
                  <c:v>80</c:v>
                </c:pt>
                <c:pt idx="68">
                  <c:v>62</c:v>
                </c:pt>
                <c:pt idx="69">
                  <c:v>62</c:v>
                </c:pt>
                <c:pt idx="70">
                  <c:v>51</c:v>
                </c:pt>
                <c:pt idx="71">
                  <c:v>66</c:v>
                </c:pt>
                <c:pt idx="72">
                  <c:v>53</c:v>
                </c:pt>
                <c:pt idx="73">
                  <c:v>62</c:v>
                </c:pt>
                <c:pt idx="74">
                  <c:v>67</c:v>
                </c:pt>
                <c:pt idx="75">
                  <c:v>63</c:v>
                </c:pt>
                <c:pt idx="76">
                  <c:v>64</c:v>
                </c:pt>
                <c:pt idx="77">
                  <c:v>63</c:v>
                </c:pt>
                <c:pt idx="78">
                  <c:v>66</c:v>
                </c:pt>
                <c:pt idx="79">
                  <c:v>66</c:v>
                </c:pt>
                <c:pt idx="80">
                  <c:v>67</c:v>
                </c:pt>
                <c:pt idx="81">
                  <c:v>59</c:v>
                </c:pt>
                <c:pt idx="82">
                  <c:v>78</c:v>
                </c:pt>
                <c:pt idx="83">
                  <c:v>55</c:v>
                </c:pt>
                <c:pt idx="84">
                  <c:v>64</c:v>
                </c:pt>
                <c:pt idx="85">
                  <c:v>64</c:v>
                </c:pt>
                <c:pt idx="86">
                  <c:v>58</c:v>
                </c:pt>
                <c:pt idx="87">
                  <c:v>63</c:v>
                </c:pt>
                <c:pt idx="88">
                  <c:v>69</c:v>
                </c:pt>
                <c:pt idx="89">
                  <c:v>76</c:v>
                </c:pt>
                <c:pt idx="90">
                  <c:v>71</c:v>
                </c:pt>
                <c:pt idx="91">
                  <c:v>75</c:v>
                </c:pt>
                <c:pt idx="92">
                  <c:v>56</c:v>
                </c:pt>
                <c:pt idx="93">
                  <c:v>58</c:v>
                </c:pt>
                <c:pt idx="94">
                  <c:v>72</c:v>
                </c:pt>
                <c:pt idx="95">
                  <c:v>66</c:v>
                </c:pt>
                <c:pt idx="96">
                  <c:v>57</c:v>
                </c:pt>
                <c:pt idx="97">
                  <c:v>66</c:v>
                </c:pt>
                <c:pt idx="98">
                  <c:v>60</c:v>
                </c:pt>
                <c:pt idx="99">
                  <c:v>71</c:v>
                </c:pt>
                <c:pt idx="100">
                  <c:v>50</c:v>
                </c:pt>
                <c:pt idx="101">
                  <c:v>59</c:v>
                </c:pt>
                <c:pt idx="102">
                  <c:v>66</c:v>
                </c:pt>
                <c:pt idx="103">
                  <c:v>63</c:v>
                </c:pt>
                <c:pt idx="104">
                  <c:v>60</c:v>
                </c:pt>
                <c:pt idx="105">
                  <c:v>62</c:v>
                </c:pt>
                <c:pt idx="106">
                  <c:v>55</c:v>
                </c:pt>
                <c:pt idx="107">
                  <c:v>65</c:v>
                </c:pt>
                <c:pt idx="108">
                  <c:v>72</c:v>
                </c:pt>
                <c:pt idx="109">
                  <c:v>55</c:v>
                </c:pt>
                <c:pt idx="110">
                  <c:v>69</c:v>
                </c:pt>
                <c:pt idx="111">
                  <c:v>80</c:v>
                </c:pt>
                <c:pt idx="112">
                  <c:v>65</c:v>
                </c:pt>
                <c:pt idx="113">
                  <c:v>67</c:v>
                </c:pt>
                <c:pt idx="114">
                  <c:v>59</c:v>
                </c:pt>
                <c:pt idx="115">
                  <c:v>81</c:v>
                </c:pt>
                <c:pt idx="116">
                  <c:v>68</c:v>
                </c:pt>
                <c:pt idx="117">
                  <c:v>59</c:v>
                </c:pt>
                <c:pt idx="118">
                  <c:v>71</c:v>
                </c:pt>
                <c:pt idx="119">
                  <c:v>69</c:v>
                </c:pt>
                <c:pt idx="120">
                  <c:v>77</c:v>
                </c:pt>
                <c:pt idx="121">
                  <c:v>65</c:v>
                </c:pt>
                <c:pt idx="122">
                  <c:v>78</c:v>
                </c:pt>
                <c:pt idx="123">
                  <c:v>52</c:v>
                </c:pt>
                <c:pt idx="124">
                  <c:v>72</c:v>
                </c:pt>
                <c:pt idx="125">
                  <c:v>67</c:v>
                </c:pt>
                <c:pt idx="126">
                  <c:v>77</c:v>
                </c:pt>
                <c:pt idx="127">
                  <c:v>61</c:v>
                </c:pt>
                <c:pt idx="128">
                  <c:v>64</c:v>
                </c:pt>
                <c:pt idx="129">
                  <c:v>56</c:v>
                </c:pt>
                <c:pt idx="130">
                  <c:v>62</c:v>
                </c:pt>
                <c:pt idx="131">
                  <c:v>63</c:v>
                </c:pt>
                <c:pt idx="132">
                  <c:v>63</c:v>
                </c:pt>
                <c:pt idx="133">
                  <c:v>63</c:v>
                </c:pt>
                <c:pt idx="134">
                  <c:v>67</c:v>
                </c:pt>
                <c:pt idx="135">
                  <c:v>71</c:v>
                </c:pt>
                <c:pt idx="136">
                  <c:v>66</c:v>
                </c:pt>
                <c:pt idx="137">
                  <c:v>62</c:v>
                </c:pt>
                <c:pt idx="138">
                  <c:v>65</c:v>
                </c:pt>
                <c:pt idx="139">
                  <c:v>80</c:v>
                </c:pt>
                <c:pt idx="140">
                  <c:v>59</c:v>
                </c:pt>
                <c:pt idx="141">
                  <c:v>64</c:v>
                </c:pt>
                <c:pt idx="142">
                  <c:v>66</c:v>
                </c:pt>
                <c:pt idx="143">
                  <c:v>78</c:v>
                </c:pt>
                <c:pt idx="144">
                  <c:v>70</c:v>
                </c:pt>
                <c:pt idx="145">
                  <c:v>67</c:v>
                </c:pt>
                <c:pt idx="146">
                  <c:v>67</c:v>
                </c:pt>
                <c:pt idx="147">
                  <c:v>62</c:v>
                </c:pt>
                <c:pt idx="148">
                  <c:v>74</c:v>
                </c:pt>
                <c:pt idx="149">
                  <c:v>60</c:v>
                </c:pt>
                <c:pt idx="150">
                  <c:v>69</c:v>
                </c:pt>
                <c:pt idx="151">
                  <c:v>61</c:v>
                </c:pt>
                <c:pt idx="152">
                  <c:v>65</c:v>
                </c:pt>
                <c:pt idx="153">
                  <c:v>66</c:v>
                </c:pt>
                <c:pt idx="154">
                  <c:v>66</c:v>
                </c:pt>
                <c:pt idx="155">
                  <c:v>55</c:v>
                </c:pt>
                <c:pt idx="156">
                  <c:v>55</c:v>
                </c:pt>
                <c:pt idx="157">
                  <c:v>64</c:v>
                </c:pt>
                <c:pt idx="158">
                  <c:v>58</c:v>
                </c:pt>
                <c:pt idx="159">
                  <c:v>59</c:v>
                </c:pt>
                <c:pt idx="160">
                  <c:v>73</c:v>
                </c:pt>
                <c:pt idx="161">
                  <c:v>67</c:v>
                </c:pt>
                <c:pt idx="162">
                  <c:v>59</c:v>
                </c:pt>
                <c:pt idx="163">
                  <c:v>67</c:v>
                </c:pt>
                <c:pt idx="164">
                  <c:v>62</c:v>
                </c:pt>
                <c:pt idx="165">
                  <c:v>66</c:v>
                </c:pt>
                <c:pt idx="166">
                  <c:v>73</c:v>
                </c:pt>
                <c:pt idx="167">
                  <c:v>66</c:v>
                </c:pt>
                <c:pt idx="168">
                  <c:v>60</c:v>
                </c:pt>
                <c:pt idx="169">
                  <c:v>63</c:v>
                </c:pt>
                <c:pt idx="170">
                  <c:v>65</c:v>
                </c:pt>
                <c:pt idx="171">
                  <c:v>53</c:v>
                </c:pt>
                <c:pt idx="172">
                  <c:v>68</c:v>
                </c:pt>
                <c:pt idx="173">
                  <c:v>61</c:v>
                </c:pt>
                <c:pt idx="174">
                  <c:v>68</c:v>
                </c:pt>
                <c:pt idx="175">
                  <c:v>64</c:v>
                </c:pt>
                <c:pt idx="176">
                  <c:v>70</c:v>
                </c:pt>
                <c:pt idx="177">
                  <c:v>65</c:v>
                </c:pt>
                <c:pt idx="178">
                  <c:v>58</c:v>
                </c:pt>
                <c:pt idx="179">
                  <c:v>65</c:v>
                </c:pt>
                <c:pt idx="180">
                  <c:v>67</c:v>
                </c:pt>
                <c:pt idx="181">
                  <c:v>62</c:v>
                </c:pt>
                <c:pt idx="182">
                  <c:v>60</c:v>
                </c:pt>
                <c:pt idx="183">
                  <c:v>73</c:v>
                </c:pt>
                <c:pt idx="184">
                  <c:v>57</c:v>
                </c:pt>
                <c:pt idx="185">
                  <c:v>61</c:v>
                </c:pt>
                <c:pt idx="186">
                  <c:v>55</c:v>
                </c:pt>
                <c:pt idx="187">
                  <c:v>71</c:v>
                </c:pt>
                <c:pt idx="188">
                  <c:v>76</c:v>
                </c:pt>
                <c:pt idx="189">
                  <c:v>63</c:v>
                </c:pt>
                <c:pt idx="190">
                  <c:v>55</c:v>
                </c:pt>
                <c:pt idx="191">
                  <c:v>66</c:v>
                </c:pt>
                <c:pt idx="192">
                  <c:v>61</c:v>
                </c:pt>
                <c:pt idx="193">
                  <c:v>64</c:v>
                </c:pt>
                <c:pt idx="194">
                  <c:v>63</c:v>
                </c:pt>
                <c:pt idx="195">
                  <c:v>66</c:v>
                </c:pt>
                <c:pt idx="196">
                  <c:v>58</c:v>
                </c:pt>
                <c:pt idx="197">
                  <c:v>64</c:v>
                </c:pt>
                <c:pt idx="198">
                  <c:v>68</c:v>
                </c:pt>
                <c:pt idx="1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9-4E0D-941E-3777474EE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829743"/>
        <c:axId val="1682435583"/>
      </c:scatterChart>
      <c:valAx>
        <c:axId val="167882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Рост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2435583"/>
        <c:crosses val="autoZero"/>
        <c:crossBetween val="midCat"/>
      </c:valAx>
      <c:valAx>
        <c:axId val="1682435583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882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Линия регрессии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№13!$E$2:$F$2</c:f>
              <c:numCache>
                <c:formatCode>General</c:formatCode>
                <c:ptCount val="2"/>
                <c:pt idx="0">
                  <c:v>155</c:v>
                </c:pt>
                <c:pt idx="1">
                  <c:v>183</c:v>
                </c:pt>
              </c:numCache>
            </c:numRef>
          </c:xVal>
          <c:yVal>
            <c:numRef>
              <c:f>№13!$E$3:$F$3</c:f>
              <c:numCache>
                <c:formatCode>General</c:formatCode>
                <c:ptCount val="2"/>
                <c:pt idx="0">
                  <c:v>55.040052305304727</c:v>
                </c:pt>
                <c:pt idx="1">
                  <c:v>76.398343665249925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E-4CB1-A917-9333841D65D7}"/>
            </c:ext>
          </c:extLst>
        </c:ser>
        <c:ser>
          <c:idx val="1"/>
          <c:order val="1"/>
          <c:tx>
            <c:v>Точки усл.сред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№10!$E$6:$E$15</c:f>
              <c:numCache>
                <c:formatCode>General</c:formatCode>
                <c:ptCount val="10"/>
                <c:pt idx="0">
                  <c:v>156.4</c:v>
                </c:pt>
                <c:pt idx="1">
                  <c:v>159.20000000000002</c:v>
                </c:pt>
                <c:pt idx="2">
                  <c:v>162.00000000000003</c:v>
                </c:pt>
                <c:pt idx="3">
                  <c:v>164.80000000000004</c:v>
                </c:pt>
                <c:pt idx="4">
                  <c:v>167.60000000000005</c:v>
                </c:pt>
                <c:pt idx="5">
                  <c:v>170.40000000000006</c:v>
                </c:pt>
                <c:pt idx="6">
                  <c:v>173.20000000000007</c:v>
                </c:pt>
                <c:pt idx="7">
                  <c:v>176.00000000000009</c:v>
                </c:pt>
                <c:pt idx="8">
                  <c:v>178.8000000000001</c:v>
                </c:pt>
                <c:pt idx="9">
                  <c:v>181.60000000000011</c:v>
                </c:pt>
              </c:numCache>
            </c:numRef>
          </c:xVal>
          <c:yVal>
            <c:numRef>
              <c:f>№10!$Q$6:$Q$15</c:f>
              <c:numCache>
                <c:formatCode>General</c:formatCode>
                <c:ptCount val="10"/>
                <c:pt idx="0">
                  <c:v>56.2</c:v>
                </c:pt>
                <c:pt idx="1">
                  <c:v>58.370000000000005</c:v>
                </c:pt>
                <c:pt idx="2">
                  <c:v>60.422413793103445</c:v>
                </c:pt>
                <c:pt idx="3">
                  <c:v>63.118292682926842</c:v>
                </c:pt>
                <c:pt idx="4">
                  <c:v>63.402941176470584</c:v>
                </c:pt>
                <c:pt idx="5">
                  <c:v>66.301724137931046</c:v>
                </c:pt>
                <c:pt idx="6">
                  <c:v>69.553846153846166</c:v>
                </c:pt>
                <c:pt idx="7">
                  <c:v>73.249999999999986</c:v>
                </c:pt>
                <c:pt idx="8">
                  <c:v>72.905555555555537</c:v>
                </c:pt>
                <c:pt idx="9">
                  <c:v>72.216666666666654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AE-4CB1-A917-9333841D6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552127"/>
        <c:axId val="2087191007"/>
      </c:scatterChart>
      <c:valAx>
        <c:axId val="180855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Рост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191007"/>
        <c:crosses val="autoZero"/>
        <c:crossBetween val="midCat"/>
      </c:valAx>
      <c:valAx>
        <c:axId val="2087191007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8552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152400</xdr:rowOff>
    </xdr:from>
    <xdr:to>
      <xdr:col>8</xdr:col>
      <xdr:colOff>22860</xdr:colOff>
      <xdr:row>15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CD9EB98-5958-4372-A190-EB3F78198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320040</xdr:colOff>
      <xdr:row>0</xdr:row>
      <xdr:rowOff>53340</xdr:rowOff>
    </xdr:from>
    <xdr:to>
      <xdr:col>17</xdr:col>
      <xdr:colOff>15240</xdr:colOff>
      <xdr:row>15</xdr:row>
      <xdr:rowOff>53340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0A41C77-20CB-4F65-9552-56FFF82D2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403860</xdr:colOff>
      <xdr:row>18</xdr:row>
      <xdr:rowOff>15240</xdr:rowOff>
    </xdr:from>
    <xdr:to>
      <xdr:col>8</xdr:col>
      <xdr:colOff>99060</xdr:colOff>
      <xdr:row>33</xdr:row>
      <xdr:rowOff>15240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7B626A2-EE6B-48F4-A75D-82E665802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0</xdr:row>
      <xdr:rowOff>106680</xdr:rowOff>
    </xdr:from>
    <xdr:to>
      <xdr:col>15</xdr:col>
      <xdr:colOff>594360</xdr:colOff>
      <xdr:row>26</xdr:row>
      <xdr:rowOff>68580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95667C-8C9B-4FBF-BE65-D7607710A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144392</xdr:colOff>
      <xdr:row>5</xdr:row>
      <xdr:rowOff>117030</xdr:rowOff>
    </xdr:from>
    <xdr:to>
      <xdr:col>13</xdr:col>
      <xdr:colOff>132907</xdr:colOff>
      <xdr:row>29</xdr:row>
      <xdr:rowOff>35441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7DA38FE-9431-2969-50D1-72C2933AC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zoomScale="80" workbookViewId="0">
      <selection activeCell="V14" sqref="V14"/>
    </sheetView>
  </sheetViews>
  <sheetFormatPr defaultRowHeight="14.4" x14ac:dyDescent="0.3"/>
  <cols>
    <col min="21" max="21" width="14.109375" bestFit="1" customWidth="1"/>
  </cols>
  <sheetData>
    <row r="1" spans="1:21" x14ac:dyDescent="0.3">
      <c r="A1" s="143" t="s">
        <v>0</v>
      </c>
      <c r="B1" s="144" t="s">
        <v>1</v>
      </c>
      <c r="C1" s="144" t="s">
        <v>2</v>
      </c>
      <c r="D1" s="144" t="s">
        <v>0</v>
      </c>
      <c r="E1" s="144" t="s">
        <v>1</v>
      </c>
      <c r="F1" s="144" t="s">
        <v>2</v>
      </c>
      <c r="G1" s="144" t="s">
        <v>0</v>
      </c>
      <c r="H1" s="144" t="s">
        <v>1</v>
      </c>
      <c r="I1" s="144" t="s">
        <v>2</v>
      </c>
      <c r="J1" s="144" t="s">
        <v>0</v>
      </c>
      <c r="K1" s="144" t="s">
        <v>1</v>
      </c>
      <c r="L1" s="145" t="s">
        <v>2</v>
      </c>
      <c r="R1" t="s">
        <v>1</v>
      </c>
      <c r="S1" t="s">
        <v>2</v>
      </c>
      <c r="U1" s="142" t="s">
        <v>5</v>
      </c>
    </row>
    <row r="2" spans="1:21" ht="15" thickBot="1" x14ac:dyDescent="0.35">
      <c r="A2" s="45">
        <v>1</v>
      </c>
      <c r="B2">
        <v>160</v>
      </c>
      <c r="C2">
        <v>61</v>
      </c>
      <c r="D2">
        <v>51</v>
      </c>
      <c r="E2">
        <v>165</v>
      </c>
      <c r="F2">
        <v>67</v>
      </c>
      <c r="G2">
        <v>101</v>
      </c>
      <c r="H2">
        <v>168</v>
      </c>
      <c r="I2">
        <v>50</v>
      </c>
      <c r="J2">
        <v>151</v>
      </c>
      <c r="K2">
        <v>172</v>
      </c>
      <c r="L2" s="11">
        <v>69</v>
      </c>
      <c r="R2">
        <v>160</v>
      </c>
      <c r="S2">
        <v>61</v>
      </c>
      <c r="U2" s="33">
        <v>200</v>
      </c>
    </row>
    <row r="3" spans="1:21" x14ac:dyDescent="0.3">
      <c r="A3" s="45">
        <v>2</v>
      </c>
      <c r="B3">
        <v>178</v>
      </c>
      <c r="C3">
        <v>69</v>
      </c>
      <c r="D3">
        <v>52</v>
      </c>
      <c r="E3">
        <v>162</v>
      </c>
      <c r="F3">
        <v>60</v>
      </c>
      <c r="G3">
        <v>102</v>
      </c>
      <c r="H3">
        <v>157</v>
      </c>
      <c r="I3">
        <v>59</v>
      </c>
      <c r="J3">
        <v>152</v>
      </c>
      <c r="K3">
        <v>166</v>
      </c>
      <c r="L3" s="11">
        <v>61</v>
      </c>
      <c r="R3">
        <v>178</v>
      </c>
      <c r="S3">
        <v>69</v>
      </c>
    </row>
    <row r="4" spans="1:21" x14ac:dyDescent="0.3">
      <c r="A4" s="45">
        <v>3</v>
      </c>
      <c r="B4">
        <v>170</v>
      </c>
      <c r="C4">
        <v>70</v>
      </c>
      <c r="D4">
        <v>53</v>
      </c>
      <c r="E4">
        <v>171</v>
      </c>
      <c r="F4">
        <v>60</v>
      </c>
      <c r="G4">
        <v>103</v>
      </c>
      <c r="H4">
        <v>164</v>
      </c>
      <c r="I4">
        <v>66</v>
      </c>
      <c r="J4">
        <v>153</v>
      </c>
      <c r="K4">
        <v>163</v>
      </c>
      <c r="L4" s="11">
        <v>65</v>
      </c>
      <c r="R4">
        <v>170</v>
      </c>
      <c r="S4">
        <v>70</v>
      </c>
    </row>
    <row r="5" spans="1:21" x14ac:dyDescent="0.3">
      <c r="A5" s="45">
        <v>4</v>
      </c>
      <c r="B5">
        <v>168</v>
      </c>
      <c r="C5">
        <v>60</v>
      </c>
      <c r="D5">
        <v>54</v>
      </c>
      <c r="E5">
        <v>172</v>
      </c>
      <c r="F5">
        <v>72</v>
      </c>
      <c r="G5">
        <v>104</v>
      </c>
      <c r="H5">
        <v>170</v>
      </c>
      <c r="I5">
        <v>63</v>
      </c>
      <c r="J5">
        <v>154</v>
      </c>
      <c r="K5">
        <v>173</v>
      </c>
      <c r="L5" s="11">
        <v>66</v>
      </c>
      <c r="R5">
        <v>168</v>
      </c>
      <c r="S5">
        <v>60</v>
      </c>
    </row>
    <row r="6" spans="1:21" x14ac:dyDescent="0.3">
      <c r="A6" s="45">
        <v>5</v>
      </c>
      <c r="B6">
        <v>173</v>
      </c>
      <c r="C6">
        <v>69</v>
      </c>
      <c r="D6">
        <v>55</v>
      </c>
      <c r="E6">
        <v>171</v>
      </c>
      <c r="F6">
        <v>65</v>
      </c>
      <c r="G6">
        <v>105</v>
      </c>
      <c r="H6">
        <v>171</v>
      </c>
      <c r="I6">
        <v>60</v>
      </c>
      <c r="J6">
        <v>155</v>
      </c>
      <c r="K6">
        <v>161</v>
      </c>
      <c r="L6" s="11">
        <v>66</v>
      </c>
      <c r="R6">
        <v>173</v>
      </c>
      <c r="S6">
        <v>69</v>
      </c>
    </row>
    <row r="7" spans="1:21" x14ac:dyDescent="0.3">
      <c r="A7" s="45">
        <v>6</v>
      </c>
      <c r="B7">
        <v>176</v>
      </c>
      <c r="C7">
        <v>70</v>
      </c>
      <c r="D7">
        <v>56</v>
      </c>
      <c r="E7">
        <v>166</v>
      </c>
      <c r="F7">
        <v>62</v>
      </c>
      <c r="G7">
        <v>106</v>
      </c>
      <c r="H7">
        <v>160</v>
      </c>
      <c r="I7">
        <v>62</v>
      </c>
      <c r="J7">
        <v>156</v>
      </c>
      <c r="K7">
        <v>159</v>
      </c>
      <c r="L7" s="11">
        <v>55</v>
      </c>
      <c r="R7">
        <v>176</v>
      </c>
      <c r="S7">
        <v>70</v>
      </c>
    </row>
    <row r="8" spans="1:21" x14ac:dyDescent="0.3">
      <c r="A8" s="45">
        <v>7</v>
      </c>
      <c r="B8">
        <v>170</v>
      </c>
      <c r="C8">
        <v>58</v>
      </c>
      <c r="D8">
        <v>57</v>
      </c>
      <c r="E8">
        <v>164</v>
      </c>
      <c r="F8">
        <v>56</v>
      </c>
      <c r="G8">
        <v>107</v>
      </c>
      <c r="H8">
        <v>162</v>
      </c>
      <c r="I8">
        <v>55</v>
      </c>
      <c r="J8">
        <v>157</v>
      </c>
      <c r="K8">
        <v>166</v>
      </c>
      <c r="L8" s="11">
        <v>55</v>
      </c>
      <c r="R8">
        <v>170</v>
      </c>
      <c r="S8">
        <v>58</v>
      </c>
    </row>
    <row r="9" spans="1:21" x14ac:dyDescent="0.3">
      <c r="A9" s="45">
        <v>8</v>
      </c>
      <c r="B9">
        <v>163</v>
      </c>
      <c r="C9">
        <v>64</v>
      </c>
      <c r="D9">
        <v>58</v>
      </c>
      <c r="E9">
        <v>164</v>
      </c>
      <c r="F9">
        <v>63</v>
      </c>
      <c r="G9">
        <v>108</v>
      </c>
      <c r="H9">
        <v>163</v>
      </c>
      <c r="I9">
        <v>65</v>
      </c>
      <c r="J9">
        <v>158</v>
      </c>
      <c r="K9">
        <v>163</v>
      </c>
      <c r="L9" s="11">
        <v>64</v>
      </c>
      <c r="R9">
        <v>163</v>
      </c>
      <c r="S9">
        <v>64</v>
      </c>
    </row>
    <row r="10" spans="1:21" x14ac:dyDescent="0.3">
      <c r="A10" s="45">
        <v>9</v>
      </c>
      <c r="B10">
        <v>165</v>
      </c>
      <c r="C10">
        <v>57</v>
      </c>
      <c r="D10">
        <v>59</v>
      </c>
      <c r="E10">
        <v>169</v>
      </c>
      <c r="F10">
        <v>65</v>
      </c>
      <c r="G10">
        <v>109</v>
      </c>
      <c r="H10">
        <v>171</v>
      </c>
      <c r="I10">
        <v>72</v>
      </c>
      <c r="J10">
        <v>159</v>
      </c>
      <c r="K10">
        <v>163</v>
      </c>
      <c r="L10" s="11">
        <v>58</v>
      </c>
      <c r="R10">
        <v>165</v>
      </c>
      <c r="S10">
        <v>57</v>
      </c>
    </row>
    <row r="11" spans="1:21" x14ac:dyDescent="0.3">
      <c r="A11" s="45">
        <v>10</v>
      </c>
      <c r="B11">
        <v>165</v>
      </c>
      <c r="C11">
        <v>60</v>
      </c>
      <c r="D11">
        <v>60</v>
      </c>
      <c r="E11">
        <v>169</v>
      </c>
      <c r="F11">
        <v>75</v>
      </c>
      <c r="G11">
        <v>110</v>
      </c>
      <c r="H11">
        <v>161</v>
      </c>
      <c r="I11">
        <v>55</v>
      </c>
      <c r="J11">
        <v>160</v>
      </c>
      <c r="K11">
        <v>165</v>
      </c>
      <c r="L11" s="11">
        <v>59</v>
      </c>
      <c r="R11">
        <v>165</v>
      </c>
      <c r="S11">
        <v>60</v>
      </c>
    </row>
    <row r="12" spans="1:21" x14ac:dyDescent="0.3">
      <c r="A12" s="45">
        <v>11</v>
      </c>
      <c r="B12">
        <v>170</v>
      </c>
      <c r="C12">
        <v>61</v>
      </c>
      <c r="D12">
        <v>61</v>
      </c>
      <c r="E12">
        <v>163</v>
      </c>
      <c r="F12">
        <v>54</v>
      </c>
      <c r="G12">
        <v>111</v>
      </c>
      <c r="H12">
        <v>173</v>
      </c>
      <c r="I12">
        <v>69</v>
      </c>
      <c r="J12">
        <v>161</v>
      </c>
      <c r="K12">
        <v>170</v>
      </c>
      <c r="L12" s="11">
        <v>73</v>
      </c>
      <c r="R12">
        <v>170</v>
      </c>
      <c r="S12">
        <v>61</v>
      </c>
    </row>
    <row r="13" spans="1:21" x14ac:dyDescent="0.3">
      <c r="A13" s="45">
        <v>12</v>
      </c>
      <c r="B13">
        <v>166</v>
      </c>
      <c r="C13">
        <v>55</v>
      </c>
      <c r="D13">
        <v>62</v>
      </c>
      <c r="E13">
        <v>173</v>
      </c>
      <c r="F13">
        <v>75</v>
      </c>
      <c r="G13">
        <v>112</v>
      </c>
      <c r="H13">
        <v>175</v>
      </c>
      <c r="I13">
        <v>80</v>
      </c>
      <c r="J13">
        <v>162</v>
      </c>
      <c r="K13">
        <v>172</v>
      </c>
      <c r="L13" s="11">
        <v>67</v>
      </c>
      <c r="R13">
        <v>166</v>
      </c>
      <c r="S13">
        <v>55</v>
      </c>
    </row>
    <row r="14" spans="1:21" x14ac:dyDescent="0.3">
      <c r="A14" s="45">
        <v>13</v>
      </c>
      <c r="B14">
        <v>165</v>
      </c>
      <c r="C14">
        <v>63</v>
      </c>
      <c r="D14">
        <v>63</v>
      </c>
      <c r="E14">
        <v>176</v>
      </c>
      <c r="F14">
        <v>67</v>
      </c>
      <c r="G14">
        <v>113</v>
      </c>
      <c r="H14">
        <v>164</v>
      </c>
      <c r="I14">
        <v>65</v>
      </c>
      <c r="J14">
        <v>163</v>
      </c>
      <c r="K14">
        <v>161</v>
      </c>
      <c r="L14" s="11">
        <v>59</v>
      </c>
      <c r="R14">
        <v>165</v>
      </c>
      <c r="S14">
        <v>63</v>
      </c>
    </row>
    <row r="15" spans="1:21" x14ac:dyDescent="0.3">
      <c r="A15" s="45">
        <v>14</v>
      </c>
      <c r="B15">
        <v>181</v>
      </c>
      <c r="C15">
        <v>77</v>
      </c>
      <c r="D15">
        <v>64</v>
      </c>
      <c r="E15">
        <v>168</v>
      </c>
      <c r="F15">
        <v>55</v>
      </c>
      <c r="G15">
        <v>114</v>
      </c>
      <c r="H15">
        <v>174</v>
      </c>
      <c r="I15">
        <v>67</v>
      </c>
      <c r="J15">
        <v>164</v>
      </c>
      <c r="K15">
        <v>171</v>
      </c>
      <c r="L15" s="11">
        <v>67</v>
      </c>
      <c r="R15">
        <v>181</v>
      </c>
      <c r="S15">
        <v>77</v>
      </c>
    </row>
    <row r="16" spans="1:21" x14ac:dyDescent="0.3">
      <c r="A16" s="45">
        <v>15</v>
      </c>
      <c r="B16">
        <v>172</v>
      </c>
      <c r="C16">
        <v>64</v>
      </c>
      <c r="D16">
        <v>65</v>
      </c>
      <c r="E16">
        <v>169</v>
      </c>
      <c r="F16">
        <v>66</v>
      </c>
      <c r="G16">
        <v>115</v>
      </c>
      <c r="H16">
        <v>167</v>
      </c>
      <c r="I16">
        <v>59</v>
      </c>
      <c r="J16">
        <v>165</v>
      </c>
      <c r="K16">
        <v>166</v>
      </c>
      <c r="L16" s="11">
        <v>62</v>
      </c>
      <c r="R16">
        <v>172</v>
      </c>
      <c r="S16">
        <v>64</v>
      </c>
    </row>
    <row r="17" spans="1:19" x14ac:dyDescent="0.3">
      <c r="A17" s="45">
        <v>16</v>
      </c>
      <c r="B17">
        <v>165</v>
      </c>
      <c r="C17">
        <v>63</v>
      </c>
      <c r="D17">
        <v>66</v>
      </c>
      <c r="E17">
        <v>168</v>
      </c>
      <c r="F17">
        <v>67</v>
      </c>
      <c r="G17">
        <v>116</v>
      </c>
      <c r="H17">
        <v>176</v>
      </c>
      <c r="I17">
        <v>81</v>
      </c>
      <c r="J17">
        <v>166</v>
      </c>
      <c r="K17">
        <v>170</v>
      </c>
      <c r="L17" s="11">
        <v>66</v>
      </c>
      <c r="R17">
        <v>165</v>
      </c>
      <c r="S17">
        <v>63</v>
      </c>
    </row>
    <row r="18" spans="1:19" x14ac:dyDescent="0.3">
      <c r="A18" s="45">
        <v>17</v>
      </c>
      <c r="B18">
        <v>172</v>
      </c>
      <c r="C18">
        <v>78</v>
      </c>
      <c r="D18">
        <v>67</v>
      </c>
      <c r="E18">
        <v>166</v>
      </c>
      <c r="F18">
        <v>64</v>
      </c>
      <c r="G18">
        <v>117</v>
      </c>
      <c r="H18">
        <v>163</v>
      </c>
      <c r="I18">
        <v>68</v>
      </c>
      <c r="J18">
        <v>167</v>
      </c>
      <c r="K18">
        <v>183</v>
      </c>
      <c r="L18" s="11">
        <v>73</v>
      </c>
      <c r="R18">
        <v>172</v>
      </c>
      <c r="S18">
        <v>78</v>
      </c>
    </row>
    <row r="19" spans="1:19" x14ac:dyDescent="0.3">
      <c r="A19" s="45">
        <v>18</v>
      </c>
      <c r="B19">
        <v>178</v>
      </c>
      <c r="C19">
        <v>75</v>
      </c>
      <c r="D19">
        <v>68</v>
      </c>
      <c r="E19">
        <v>178</v>
      </c>
      <c r="F19">
        <v>80</v>
      </c>
      <c r="G19">
        <v>118</v>
      </c>
      <c r="H19">
        <v>156</v>
      </c>
      <c r="I19">
        <v>59</v>
      </c>
      <c r="J19">
        <v>168</v>
      </c>
      <c r="K19">
        <v>173</v>
      </c>
      <c r="L19" s="11">
        <v>66</v>
      </c>
      <c r="R19">
        <v>178</v>
      </c>
      <c r="S19">
        <v>75</v>
      </c>
    </row>
    <row r="20" spans="1:19" x14ac:dyDescent="0.3">
      <c r="A20" s="45">
        <v>19</v>
      </c>
      <c r="B20">
        <v>169</v>
      </c>
      <c r="C20">
        <v>74</v>
      </c>
      <c r="D20">
        <v>69</v>
      </c>
      <c r="E20">
        <v>165</v>
      </c>
      <c r="F20">
        <v>62</v>
      </c>
      <c r="G20">
        <v>119</v>
      </c>
      <c r="H20">
        <v>179</v>
      </c>
      <c r="I20">
        <v>71</v>
      </c>
      <c r="J20">
        <v>169</v>
      </c>
      <c r="K20">
        <v>167</v>
      </c>
      <c r="L20" s="11">
        <v>60</v>
      </c>
      <c r="R20">
        <v>169</v>
      </c>
      <c r="S20">
        <v>74</v>
      </c>
    </row>
    <row r="21" spans="1:19" x14ac:dyDescent="0.3">
      <c r="A21" s="45">
        <v>20</v>
      </c>
      <c r="B21">
        <v>165</v>
      </c>
      <c r="C21">
        <v>63</v>
      </c>
      <c r="D21">
        <v>70</v>
      </c>
      <c r="E21">
        <v>164</v>
      </c>
      <c r="F21">
        <v>62</v>
      </c>
      <c r="G21">
        <v>120</v>
      </c>
      <c r="H21">
        <v>179</v>
      </c>
      <c r="I21">
        <v>69</v>
      </c>
      <c r="J21">
        <v>170</v>
      </c>
      <c r="K21">
        <v>167</v>
      </c>
      <c r="L21" s="11">
        <v>63</v>
      </c>
      <c r="R21">
        <v>165</v>
      </c>
      <c r="S21">
        <v>63</v>
      </c>
    </row>
    <row r="22" spans="1:19" x14ac:dyDescent="0.3">
      <c r="A22" s="45">
        <v>21</v>
      </c>
      <c r="B22">
        <v>174</v>
      </c>
      <c r="C22">
        <v>75</v>
      </c>
      <c r="D22">
        <v>71</v>
      </c>
      <c r="E22">
        <v>161</v>
      </c>
      <c r="F22">
        <v>51</v>
      </c>
      <c r="G22">
        <v>121</v>
      </c>
      <c r="H22">
        <v>176</v>
      </c>
      <c r="I22">
        <v>77</v>
      </c>
      <c r="J22">
        <v>171</v>
      </c>
      <c r="K22">
        <v>162</v>
      </c>
      <c r="L22" s="11">
        <v>65</v>
      </c>
      <c r="R22">
        <v>174</v>
      </c>
      <c r="S22">
        <v>75</v>
      </c>
    </row>
    <row r="23" spans="1:19" x14ac:dyDescent="0.3">
      <c r="A23" s="45">
        <v>22</v>
      </c>
      <c r="B23">
        <v>159</v>
      </c>
      <c r="C23">
        <v>54</v>
      </c>
      <c r="D23">
        <v>72</v>
      </c>
      <c r="E23">
        <v>170</v>
      </c>
      <c r="F23">
        <v>66</v>
      </c>
      <c r="G23">
        <v>122</v>
      </c>
      <c r="H23">
        <v>163</v>
      </c>
      <c r="I23">
        <v>65</v>
      </c>
      <c r="J23">
        <v>172</v>
      </c>
      <c r="K23">
        <v>156</v>
      </c>
      <c r="L23" s="11">
        <v>53</v>
      </c>
      <c r="R23">
        <v>159</v>
      </c>
      <c r="S23">
        <v>54</v>
      </c>
    </row>
    <row r="24" spans="1:19" x14ac:dyDescent="0.3">
      <c r="A24" s="45">
        <v>23</v>
      </c>
      <c r="B24">
        <v>171</v>
      </c>
      <c r="C24">
        <v>66</v>
      </c>
      <c r="D24">
        <v>73</v>
      </c>
      <c r="E24">
        <v>164</v>
      </c>
      <c r="F24">
        <v>53</v>
      </c>
      <c r="G24">
        <v>123</v>
      </c>
      <c r="H24">
        <v>175</v>
      </c>
      <c r="I24">
        <v>78</v>
      </c>
      <c r="J24">
        <v>173</v>
      </c>
      <c r="K24">
        <v>167</v>
      </c>
      <c r="L24" s="11">
        <v>68</v>
      </c>
      <c r="R24">
        <v>171</v>
      </c>
      <c r="S24">
        <v>66</v>
      </c>
    </row>
    <row r="25" spans="1:19" x14ac:dyDescent="0.3">
      <c r="A25" s="45">
        <v>24</v>
      </c>
      <c r="B25">
        <v>169</v>
      </c>
      <c r="C25">
        <v>67</v>
      </c>
      <c r="D25">
        <v>74</v>
      </c>
      <c r="E25">
        <v>171</v>
      </c>
      <c r="F25">
        <v>62</v>
      </c>
      <c r="G25">
        <v>124</v>
      </c>
      <c r="H25">
        <v>156</v>
      </c>
      <c r="I25">
        <v>52</v>
      </c>
      <c r="J25">
        <v>174</v>
      </c>
      <c r="K25">
        <v>160</v>
      </c>
      <c r="L25" s="11">
        <v>61</v>
      </c>
      <c r="R25">
        <v>169</v>
      </c>
      <c r="S25">
        <v>67</v>
      </c>
    </row>
    <row r="26" spans="1:19" x14ac:dyDescent="0.3">
      <c r="A26" s="45">
        <v>25</v>
      </c>
      <c r="B26">
        <v>176</v>
      </c>
      <c r="C26">
        <v>62</v>
      </c>
      <c r="D26">
        <v>75</v>
      </c>
      <c r="E26">
        <v>171</v>
      </c>
      <c r="F26">
        <v>67</v>
      </c>
      <c r="G26">
        <v>125</v>
      </c>
      <c r="H26">
        <v>177</v>
      </c>
      <c r="I26">
        <v>72</v>
      </c>
      <c r="J26">
        <v>175</v>
      </c>
      <c r="K26">
        <v>170</v>
      </c>
      <c r="L26" s="11">
        <v>68</v>
      </c>
      <c r="R26">
        <v>176</v>
      </c>
      <c r="S26">
        <v>62</v>
      </c>
    </row>
    <row r="27" spans="1:19" x14ac:dyDescent="0.3">
      <c r="A27" s="45">
        <v>26</v>
      </c>
      <c r="B27">
        <v>170</v>
      </c>
      <c r="C27">
        <v>65</v>
      </c>
      <c r="D27">
        <v>76</v>
      </c>
      <c r="E27">
        <v>163</v>
      </c>
      <c r="F27">
        <v>63</v>
      </c>
      <c r="G27">
        <v>126</v>
      </c>
      <c r="H27">
        <v>166</v>
      </c>
      <c r="I27">
        <v>67</v>
      </c>
      <c r="J27">
        <v>176</v>
      </c>
      <c r="K27">
        <v>171</v>
      </c>
      <c r="L27" s="11">
        <v>64</v>
      </c>
      <c r="R27">
        <v>170</v>
      </c>
      <c r="S27">
        <v>65</v>
      </c>
    </row>
    <row r="28" spans="1:19" x14ac:dyDescent="0.3">
      <c r="A28" s="45">
        <v>27</v>
      </c>
      <c r="B28">
        <v>170</v>
      </c>
      <c r="C28">
        <v>66</v>
      </c>
      <c r="D28">
        <v>77</v>
      </c>
      <c r="E28">
        <v>167</v>
      </c>
      <c r="F28">
        <v>64</v>
      </c>
      <c r="G28">
        <v>127</v>
      </c>
      <c r="H28">
        <v>173</v>
      </c>
      <c r="I28">
        <v>77</v>
      </c>
      <c r="J28">
        <v>177</v>
      </c>
      <c r="K28">
        <v>174</v>
      </c>
      <c r="L28" s="11">
        <v>70</v>
      </c>
      <c r="R28">
        <v>170</v>
      </c>
      <c r="S28">
        <v>66</v>
      </c>
    </row>
    <row r="29" spans="1:19" x14ac:dyDescent="0.3">
      <c r="A29" s="45">
        <v>28</v>
      </c>
      <c r="B29">
        <v>165</v>
      </c>
      <c r="C29">
        <v>61</v>
      </c>
      <c r="D29">
        <v>78</v>
      </c>
      <c r="E29">
        <v>165</v>
      </c>
      <c r="F29">
        <v>63</v>
      </c>
      <c r="G29">
        <v>128</v>
      </c>
      <c r="H29">
        <v>169</v>
      </c>
      <c r="I29">
        <v>61</v>
      </c>
      <c r="J29">
        <v>178</v>
      </c>
      <c r="K29">
        <v>167</v>
      </c>
      <c r="L29" s="11">
        <v>65</v>
      </c>
      <c r="R29">
        <v>165</v>
      </c>
      <c r="S29">
        <v>61</v>
      </c>
    </row>
    <row r="30" spans="1:19" x14ac:dyDescent="0.3">
      <c r="A30" s="45">
        <v>29</v>
      </c>
      <c r="B30">
        <v>162</v>
      </c>
      <c r="C30">
        <v>66</v>
      </c>
      <c r="D30">
        <v>79</v>
      </c>
      <c r="E30">
        <v>175</v>
      </c>
      <c r="F30">
        <v>66</v>
      </c>
      <c r="G30">
        <v>129</v>
      </c>
      <c r="H30">
        <v>172</v>
      </c>
      <c r="I30">
        <v>64</v>
      </c>
      <c r="J30">
        <v>179</v>
      </c>
      <c r="K30">
        <v>170</v>
      </c>
      <c r="L30" s="11">
        <v>58</v>
      </c>
      <c r="R30">
        <v>162</v>
      </c>
      <c r="S30">
        <v>66</v>
      </c>
    </row>
    <row r="31" spans="1:19" x14ac:dyDescent="0.3">
      <c r="A31" s="45">
        <v>30</v>
      </c>
      <c r="B31">
        <v>175</v>
      </c>
      <c r="C31">
        <v>75</v>
      </c>
      <c r="D31">
        <v>80</v>
      </c>
      <c r="E31">
        <v>171</v>
      </c>
      <c r="F31">
        <v>66</v>
      </c>
      <c r="G31">
        <v>130</v>
      </c>
      <c r="H31">
        <v>165</v>
      </c>
      <c r="I31">
        <v>56</v>
      </c>
      <c r="J31">
        <v>180</v>
      </c>
      <c r="K31">
        <v>170</v>
      </c>
      <c r="L31" s="11">
        <v>65</v>
      </c>
      <c r="R31">
        <v>175</v>
      </c>
      <c r="S31">
        <v>75</v>
      </c>
    </row>
    <row r="32" spans="1:19" x14ac:dyDescent="0.3">
      <c r="A32" s="45">
        <v>31</v>
      </c>
      <c r="B32">
        <v>157</v>
      </c>
      <c r="C32">
        <v>53</v>
      </c>
      <c r="D32">
        <v>81</v>
      </c>
      <c r="E32">
        <v>174</v>
      </c>
      <c r="F32">
        <v>67</v>
      </c>
      <c r="G32">
        <v>131</v>
      </c>
      <c r="H32">
        <v>164</v>
      </c>
      <c r="I32">
        <v>62</v>
      </c>
      <c r="J32">
        <v>181</v>
      </c>
      <c r="K32">
        <v>172</v>
      </c>
      <c r="L32" s="11">
        <v>67</v>
      </c>
      <c r="R32">
        <v>157</v>
      </c>
      <c r="S32">
        <v>53</v>
      </c>
    </row>
    <row r="33" spans="1:19" x14ac:dyDescent="0.3">
      <c r="A33" s="45">
        <v>32</v>
      </c>
      <c r="B33">
        <v>161</v>
      </c>
      <c r="C33">
        <v>55</v>
      </c>
      <c r="D33">
        <v>82</v>
      </c>
      <c r="E33">
        <v>164</v>
      </c>
      <c r="F33">
        <v>59</v>
      </c>
      <c r="G33">
        <v>132</v>
      </c>
      <c r="H33">
        <v>166</v>
      </c>
      <c r="I33">
        <v>63</v>
      </c>
      <c r="J33">
        <v>182</v>
      </c>
      <c r="K33">
        <v>166</v>
      </c>
      <c r="L33" s="11">
        <v>62</v>
      </c>
      <c r="R33">
        <v>161</v>
      </c>
      <c r="S33">
        <v>55</v>
      </c>
    </row>
    <row r="34" spans="1:19" x14ac:dyDescent="0.3">
      <c r="A34" s="45">
        <v>33</v>
      </c>
      <c r="B34">
        <v>172</v>
      </c>
      <c r="C34">
        <v>66</v>
      </c>
      <c r="D34">
        <v>83</v>
      </c>
      <c r="E34">
        <v>166</v>
      </c>
      <c r="F34">
        <v>78</v>
      </c>
      <c r="G34">
        <v>133</v>
      </c>
      <c r="H34">
        <v>168</v>
      </c>
      <c r="I34">
        <v>63</v>
      </c>
      <c r="J34">
        <v>183</v>
      </c>
      <c r="K34">
        <v>164</v>
      </c>
      <c r="L34" s="11">
        <v>60</v>
      </c>
      <c r="R34">
        <v>172</v>
      </c>
      <c r="S34">
        <v>66</v>
      </c>
    </row>
    <row r="35" spans="1:19" x14ac:dyDescent="0.3">
      <c r="A35" s="45">
        <v>34</v>
      </c>
      <c r="B35">
        <v>159</v>
      </c>
      <c r="C35">
        <v>55</v>
      </c>
      <c r="D35">
        <v>84</v>
      </c>
      <c r="E35">
        <v>161</v>
      </c>
      <c r="F35">
        <v>55</v>
      </c>
      <c r="G35">
        <v>134</v>
      </c>
      <c r="H35">
        <v>167</v>
      </c>
      <c r="I35">
        <v>63</v>
      </c>
      <c r="J35">
        <v>184</v>
      </c>
      <c r="K35">
        <v>172</v>
      </c>
      <c r="L35" s="11">
        <v>73</v>
      </c>
      <c r="R35">
        <v>159</v>
      </c>
      <c r="S35">
        <v>55</v>
      </c>
    </row>
    <row r="36" spans="1:19" x14ac:dyDescent="0.3">
      <c r="A36" s="45">
        <v>35</v>
      </c>
      <c r="B36">
        <v>162</v>
      </c>
      <c r="C36">
        <v>65</v>
      </c>
      <c r="D36">
        <v>85</v>
      </c>
      <c r="E36">
        <v>169</v>
      </c>
      <c r="F36">
        <v>64</v>
      </c>
      <c r="G36">
        <v>135</v>
      </c>
      <c r="H36">
        <v>166</v>
      </c>
      <c r="I36">
        <v>67</v>
      </c>
      <c r="J36">
        <v>185</v>
      </c>
      <c r="K36">
        <v>167</v>
      </c>
      <c r="L36" s="11">
        <v>57</v>
      </c>
      <c r="R36">
        <v>162</v>
      </c>
      <c r="S36">
        <v>65</v>
      </c>
    </row>
    <row r="37" spans="1:19" x14ac:dyDescent="0.3">
      <c r="A37" s="45">
        <v>36</v>
      </c>
      <c r="B37">
        <v>167</v>
      </c>
      <c r="C37">
        <v>63</v>
      </c>
      <c r="D37">
        <v>86</v>
      </c>
      <c r="E37">
        <v>163</v>
      </c>
      <c r="F37">
        <v>64</v>
      </c>
      <c r="G37">
        <v>136</v>
      </c>
      <c r="H37">
        <v>169</v>
      </c>
      <c r="I37">
        <v>71</v>
      </c>
      <c r="J37">
        <v>186</v>
      </c>
      <c r="K37">
        <v>155</v>
      </c>
      <c r="L37" s="11">
        <v>61</v>
      </c>
      <c r="R37">
        <v>167</v>
      </c>
      <c r="S37">
        <v>63</v>
      </c>
    </row>
    <row r="38" spans="1:19" x14ac:dyDescent="0.3">
      <c r="A38" s="45">
        <v>37</v>
      </c>
      <c r="B38">
        <v>159</v>
      </c>
      <c r="C38">
        <v>68</v>
      </c>
      <c r="D38">
        <v>87</v>
      </c>
      <c r="E38">
        <v>168</v>
      </c>
      <c r="F38">
        <v>58</v>
      </c>
      <c r="G38">
        <v>137</v>
      </c>
      <c r="H38">
        <v>169</v>
      </c>
      <c r="I38">
        <v>66</v>
      </c>
      <c r="J38">
        <v>187</v>
      </c>
      <c r="K38">
        <v>159</v>
      </c>
      <c r="L38" s="11">
        <v>55</v>
      </c>
      <c r="R38">
        <v>159</v>
      </c>
      <c r="S38">
        <v>68</v>
      </c>
    </row>
    <row r="39" spans="1:19" x14ac:dyDescent="0.3">
      <c r="A39" s="45">
        <v>38</v>
      </c>
      <c r="B39">
        <v>160</v>
      </c>
      <c r="C39">
        <v>62</v>
      </c>
      <c r="D39">
        <v>88</v>
      </c>
      <c r="E39">
        <v>166</v>
      </c>
      <c r="F39">
        <v>63</v>
      </c>
      <c r="G39">
        <v>138</v>
      </c>
      <c r="H39">
        <v>169</v>
      </c>
      <c r="I39">
        <v>62</v>
      </c>
      <c r="J39">
        <v>188</v>
      </c>
      <c r="K39">
        <v>173</v>
      </c>
      <c r="L39" s="11">
        <v>71</v>
      </c>
      <c r="R39">
        <v>160</v>
      </c>
      <c r="S39">
        <v>62</v>
      </c>
    </row>
    <row r="40" spans="1:19" x14ac:dyDescent="0.3">
      <c r="A40" s="45">
        <v>39</v>
      </c>
      <c r="B40">
        <v>175</v>
      </c>
      <c r="C40">
        <v>75</v>
      </c>
      <c r="D40">
        <v>89</v>
      </c>
      <c r="E40">
        <v>172</v>
      </c>
      <c r="F40">
        <v>69</v>
      </c>
      <c r="G40">
        <v>139</v>
      </c>
      <c r="H40">
        <v>164</v>
      </c>
      <c r="I40">
        <v>65</v>
      </c>
      <c r="J40">
        <v>189</v>
      </c>
      <c r="K40">
        <v>170</v>
      </c>
      <c r="L40" s="11">
        <v>76</v>
      </c>
      <c r="R40">
        <v>175</v>
      </c>
      <c r="S40">
        <v>75</v>
      </c>
    </row>
    <row r="41" spans="1:19" x14ac:dyDescent="0.3">
      <c r="A41" s="45">
        <v>40</v>
      </c>
      <c r="B41">
        <v>163</v>
      </c>
      <c r="C41">
        <v>67</v>
      </c>
      <c r="D41">
        <v>90</v>
      </c>
      <c r="E41">
        <v>165</v>
      </c>
      <c r="F41">
        <v>76</v>
      </c>
      <c r="G41">
        <v>140</v>
      </c>
      <c r="H41">
        <v>179</v>
      </c>
      <c r="I41">
        <v>80</v>
      </c>
      <c r="J41">
        <v>190</v>
      </c>
      <c r="K41">
        <v>165</v>
      </c>
      <c r="L41" s="11">
        <v>63</v>
      </c>
      <c r="R41">
        <v>163</v>
      </c>
      <c r="S41">
        <v>67</v>
      </c>
    </row>
    <row r="42" spans="1:19" x14ac:dyDescent="0.3">
      <c r="A42" s="45">
        <v>41</v>
      </c>
      <c r="B42">
        <v>169</v>
      </c>
      <c r="C42">
        <v>56</v>
      </c>
      <c r="D42">
        <v>91</v>
      </c>
      <c r="E42">
        <v>166</v>
      </c>
      <c r="F42">
        <v>71</v>
      </c>
      <c r="G42">
        <v>141</v>
      </c>
      <c r="H42">
        <v>156</v>
      </c>
      <c r="I42">
        <v>59</v>
      </c>
      <c r="J42">
        <v>191</v>
      </c>
      <c r="K42">
        <v>159</v>
      </c>
      <c r="L42" s="11">
        <v>55</v>
      </c>
      <c r="R42">
        <v>169</v>
      </c>
      <c r="S42">
        <v>56</v>
      </c>
    </row>
    <row r="43" spans="1:19" x14ac:dyDescent="0.3">
      <c r="A43" s="45">
        <v>42</v>
      </c>
      <c r="B43">
        <v>180</v>
      </c>
      <c r="C43">
        <v>65</v>
      </c>
      <c r="D43">
        <v>92</v>
      </c>
      <c r="E43">
        <v>171</v>
      </c>
      <c r="F43">
        <v>75</v>
      </c>
      <c r="G43">
        <v>142</v>
      </c>
      <c r="H43">
        <v>168</v>
      </c>
      <c r="I43">
        <v>64</v>
      </c>
      <c r="J43">
        <v>192</v>
      </c>
      <c r="K43">
        <v>162</v>
      </c>
      <c r="L43" s="11">
        <v>66</v>
      </c>
      <c r="R43">
        <v>180</v>
      </c>
      <c r="S43">
        <v>65</v>
      </c>
    </row>
    <row r="44" spans="1:19" x14ac:dyDescent="0.3">
      <c r="A44" s="45">
        <v>43</v>
      </c>
      <c r="B44">
        <v>165</v>
      </c>
      <c r="C44">
        <v>63</v>
      </c>
      <c r="D44">
        <v>93</v>
      </c>
      <c r="E44">
        <v>161</v>
      </c>
      <c r="F44">
        <v>56</v>
      </c>
      <c r="G44">
        <v>143</v>
      </c>
      <c r="H44">
        <v>171</v>
      </c>
      <c r="I44">
        <v>66</v>
      </c>
      <c r="J44">
        <v>193</v>
      </c>
      <c r="K44">
        <v>165</v>
      </c>
      <c r="L44" s="11">
        <v>61</v>
      </c>
      <c r="R44">
        <v>165</v>
      </c>
      <c r="S44">
        <v>63</v>
      </c>
    </row>
    <row r="45" spans="1:19" x14ac:dyDescent="0.3">
      <c r="A45" s="45">
        <v>44</v>
      </c>
      <c r="B45">
        <v>168</v>
      </c>
      <c r="C45">
        <v>67</v>
      </c>
      <c r="D45">
        <v>94</v>
      </c>
      <c r="E45">
        <v>163</v>
      </c>
      <c r="F45">
        <v>58</v>
      </c>
      <c r="G45">
        <v>144</v>
      </c>
      <c r="H45">
        <v>166</v>
      </c>
      <c r="I45">
        <v>78</v>
      </c>
      <c r="J45">
        <v>194</v>
      </c>
      <c r="K45">
        <v>173</v>
      </c>
      <c r="L45" s="11">
        <v>64</v>
      </c>
      <c r="R45">
        <v>168</v>
      </c>
      <c r="S45">
        <v>67</v>
      </c>
    </row>
    <row r="46" spans="1:19" x14ac:dyDescent="0.3">
      <c r="A46" s="45">
        <v>45</v>
      </c>
      <c r="B46">
        <v>169</v>
      </c>
      <c r="C46">
        <v>68</v>
      </c>
      <c r="D46">
        <v>95</v>
      </c>
      <c r="E46">
        <v>165</v>
      </c>
      <c r="F46">
        <v>72</v>
      </c>
      <c r="G46">
        <v>145</v>
      </c>
      <c r="H46">
        <v>171</v>
      </c>
      <c r="I46">
        <v>70</v>
      </c>
      <c r="J46">
        <v>195</v>
      </c>
      <c r="K46">
        <v>173</v>
      </c>
      <c r="L46" s="11">
        <v>63</v>
      </c>
      <c r="R46">
        <v>169</v>
      </c>
      <c r="S46">
        <v>68</v>
      </c>
    </row>
    <row r="47" spans="1:19" x14ac:dyDescent="0.3">
      <c r="A47" s="45">
        <v>46</v>
      </c>
      <c r="B47">
        <v>170</v>
      </c>
      <c r="C47">
        <v>69</v>
      </c>
      <c r="D47">
        <v>96</v>
      </c>
      <c r="E47">
        <v>172</v>
      </c>
      <c r="F47">
        <v>66</v>
      </c>
      <c r="G47">
        <v>146</v>
      </c>
      <c r="H47">
        <v>172</v>
      </c>
      <c r="I47">
        <v>67</v>
      </c>
      <c r="J47">
        <v>196</v>
      </c>
      <c r="K47">
        <v>162</v>
      </c>
      <c r="L47" s="11">
        <v>66</v>
      </c>
      <c r="R47">
        <v>170</v>
      </c>
      <c r="S47">
        <v>69</v>
      </c>
    </row>
    <row r="48" spans="1:19" x14ac:dyDescent="0.3">
      <c r="A48" s="45">
        <v>47</v>
      </c>
      <c r="B48">
        <v>163</v>
      </c>
      <c r="C48">
        <v>57</v>
      </c>
      <c r="D48">
        <v>97</v>
      </c>
      <c r="E48">
        <v>167</v>
      </c>
      <c r="F48">
        <v>57</v>
      </c>
      <c r="G48">
        <v>147</v>
      </c>
      <c r="H48">
        <v>171</v>
      </c>
      <c r="I48">
        <v>67</v>
      </c>
      <c r="J48">
        <v>197</v>
      </c>
      <c r="K48">
        <v>169</v>
      </c>
      <c r="L48" s="11">
        <v>58</v>
      </c>
      <c r="R48">
        <v>163</v>
      </c>
      <c r="S48">
        <v>57</v>
      </c>
    </row>
    <row r="49" spans="1:19" x14ac:dyDescent="0.3">
      <c r="A49" s="45">
        <v>48</v>
      </c>
      <c r="B49">
        <v>178</v>
      </c>
      <c r="C49">
        <v>75</v>
      </c>
      <c r="D49">
        <v>98</v>
      </c>
      <c r="E49">
        <v>168</v>
      </c>
      <c r="F49">
        <v>66</v>
      </c>
      <c r="G49">
        <v>148</v>
      </c>
      <c r="H49">
        <v>169</v>
      </c>
      <c r="I49">
        <v>62</v>
      </c>
      <c r="J49">
        <v>198</v>
      </c>
      <c r="K49">
        <v>171</v>
      </c>
      <c r="L49" s="11">
        <v>64</v>
      </c>
      <c r="R49">
        <v>178</v>
      </c>
      <c r="S49">
        <v>75</v>
      </c>
    </row>
    <row r="50" spans="1:19" x14ac:dyDescent="0.3">
      <c r="A50" s="45">
        <v>49</v>
      </c>
      <c r="B50">
        <v>162</v>
      </c>
      <c r="C50">
        <v>53</v>
      </c>
      <c r="D50">
        <v>99</v>
      </c>
      <c r="E50">
        <v>157</v>
      </c>
      <c r="F50">
        <v>60</v>
      </c>
      <c r="G50">
        <v>149</v>
      </c>
      <c r="H50">
        <v>174</v>
      </c>
      <c r="I50">
        <v>74</v>
      </c>
      <c r="J50">
        <v>199</v>
      </c>
      <c r="K50">
        <v>181</v>
      </c>
      <c r="L50" s="11">
        <v>68</v>
      </c>
      <c r="R50">
        <v>162</v>
      </c>
      <c r="S50">
        <v>53</v>
      </c>
    </row>
    <row r="51" spans="1:19" ht="15" thickBot="1" x14ac:dyDescent="0.35">
      <c r="A51" s="122">
        <v>50</v>
      </c>
      <c r="B51" s="26">
        <v>178</v>
      </c>
      <c r="C51" s="26">
        <v>69</v>
      </c>
      <c r="D51" s="26">
        <v>100</v>
      </c>
      <c r="E51" s="26">
        <v>169</v>
      </c>
      <c r="F51" s="26">
        <v>71</v>
      </c>
      <c r="G51" s="26">
        <v>150</v>
      </c>
      <c r="H51" s="26">
        <v>165</v>
      </c>
      <c r="I51" s="26">
        <v>60</v>
      </c>
      <c r="J51" s="26">
        <v>200</v>
      </c>
      <c r="K51" s="26">
        <v>162</v>
      </c>
      <c r="L51" s="123">
        <v>53</v>
      </c>
      <c r="R51">
        <v>178</v>
      </c>
      <c r="S51">
        <v>69</v>
      </c>
    </row>
    <row r="52" spans="1:19" x14ac:dyDescent="0.3">
      <c r="R52">
        <v>165</v>
      </c>
      <c r="S52">
        <v>67</v>
      </c>
    </row>
    <row r="53" spans="1:19" x14ac:dyDescent="0.3">
      <c r="R53">
        <v>162</v>
      </c>
      <c r="S53">
        <v>60</v>
      </c>
    </row>
    <row r="54" spans="1:19" x14ac:dyDescent="0.3">
      <c r="R54">
        <v>171</v>
      </c>
      <c r="S54">
        <v>60</v>
      </c>
    </row>
    <row r="55" spans="1:19" x14ac:dyDescent="0.3">
      <c r="R55">
        <v>172</v>
      </c>
      <c r="S55">
        <v>72</v>
      </c>
    </row>
    <row r="56" spans="1:19" x14ac:dyDescent="0.3">
      <c r="R56">
        <v>171</v>
      </c>
      <c r="S56">
        <v>65</v>
      </c>
    </row>
    <row r="57" spans="1:19" x14ac:dyDescent="0.3">
      <c r="R57">
        <v>166</v>
      </c>
      <c r="S57">
        <v>62</v>
      </c>
    </row>
    <row r="58" spans="1:19" x14ac:dyDescent="0.3">
      <c r="R58">
        <v>164</v>
      </c>
      <c r="S58">
        <v>56</v>
      </c>
    </row>
    <row r="59" spans="1:19" x14ac:dyDescent="0.3">
      <c r="R59">
        <v>164</v>
      </c>
      <c r="S59">
        <v>63</v>
      </c>
    </row>
    <row r="60" spans="1:19" x14ac:dyDescent="0.3">
      <c r="R60">
        <v>169</v>
      </c>
      <c r="S60">
        <v>65</v>
      </c>
    </row>
    <row r="61" spans="1:19" x14ac:dyDescent="0.3">
      <c r="R61">
        <v>169</v>
      </c>
      <c r="S61">
        <v>75</v>
      </c>
    </row>
    <row r="62" spans="1:19" x14ac:dyDescent="0.3">
      <c r="R62">
        <v>163</v>
      </c>
      <c r="S62">
        <v>54</v>
      </c>
    </row>
    <row r="63" spans="1:19" x14ac:dyDescent="0.3">
      <c r="R63">
        <v>173</v>
      </c>
      <c r="S63">
        <v>75</v>
      </c>
    </row>
    <row r="64" spans="1:19" x14ac:dyDescent="0.3">
      <c r="R64">
        <v>176</v>
      </c>
      <c r="S64">
        <v>67</v>
      </c>
    </row>
    <row r="65" spans="18:19" x14ac:dyDescent="0.3">
      <c r="R65">
        <v>168</v>
      </c>
      <c r="S65">
        <v>55</v>
      </c>
    </row>
    <row r="66" spans="18:19" x14ac:dyDescent="0.3">
      <c r="R66">
        <v>169</v>
      </c>
      <c r="S66">
        <v>66</v>
      </c>
    </row>
    <row r="67" spans="18:19" x14ac:dyDescent="0.3">
      <c r="R67">
        <v>168</v>
      </c>
      <c r="S67">
        <v>67</v>
      </c>
    </row>
    <row r="68" spans="18:19" x14ac:dyDescent="0.3">
      <c r="R68">
        <v>166</v>
      </c>
      <c r="S68">
        <v>64</v>
      </c>
    </row>
    <row r="69" spans="18:19" x14ac:dyDescent="0.3">
      <c r="R69">
        <v>178</v>
      </c>
      <c r="S69">
        <v>80</v>
      </c>
    </row>
    <row r="70" spans="18:19" x14ac:dyDescent="0.3">
      <c r="R70">
        <v>165</v>
      </c>
      <c r="S70">
        <v>62</v>
      </c>
    </row>
    <row r="71" spans="18:19" x14ac:dyDescent="0.3">
      <c r="R71">
        <v>164</v>
      </c>
      <c r="S71">
        <v>62</v>
      </c>
    </row>
    <row r="72" spans="18:19" x14ac:dyDescent="0.3">
      <c r="R72">
        <v>161</v>
      </c>
      <c r="S72">
        <v>51</v>
      </c>
    </row>
    <row r="73" spans="18:19" x14ac:dyDescent="0.3">
      <c r="R73">
        <v>170</v>
      </c>
      <c r="S73">
        <v>66</v>
      </c>
    </row>
    <row r="74" spans="18:19" x14ac:dyDescent="0.3">
      <c r="R74">
        <v>164</v>
      </c>
      <c r="S74">
        <v>53</v>
      </c>
    </row>
    <row r="75" spans="18:19" x14ac:dyDescent="0.3">
      <c r="R75">
        <v>171</v>
      </c>
      <c r="S75">
        <v>62</v>
      </c>
    </row>
    <row r="76" spans="18:19" x14ac:dyDescent="0.3">
      <c r="R76">
        <v>171</v>
      </c>
      <c r="S76">
        <v>67</v>
      </c>
    </row>
    <row r="77" spans="18:19" x14ac:dyDescent="0.3">
      <c r="R77">
        <v>163</v>
      </c>
      <c r="S77">
        <v>63</v>
      </c>
    </row>
    <row r="78" spans="18:19" x14ac:dyDescent="0.3">
      <c r="R78">
        <v>167</v>
      </c>
      <c r="S78">
        <v>64</v>
      </c>
    </row>
    <row r="79" spans="18:19" x14ac:dyDescent="0.3">
      <c r="R79">
        <v>165</v>
      </c>
      <c r="S79">
        <v>63</v>
      </c>
    </row>
    <row r="80" spans="18:19" x14ac:dyDescent="0.3">
      <c r="R80">
        <v>175</v>
      </c>
      <c r="S80">
        <v>66</v>
      </c>
    </row>
    <row r="81" spans="18:19" x14ac:dyDescent="0.3">
      <c r="R81">
        <v>171</v>
      </c>
      <c r="S81">
        <v>66</v>
      </c>
    </row>
    <row r="82" spans="18:19" x14ac:dyDescent="0.3">
      <c r="R82">
        <v>174</v>
      </c>
      <c r="S82">
        <v>67</v>
      </c>
    </row>
    <row r="83" spans="18:19" x14ac:dyDescent="0.3">
      <c r="R83">
        <v>164</v>
      </c>
      <c r="S83">
        <v>59</v>
      </c>
    </row>
    <row r="84" spans="18:19" x14ac:dyDescent="0.3">
      <c r="R84">
        <v>166</v>
      </c>
      <c r="S84">
        <v>78</v>
      </c>
    </row>
    <row r="85" spans="18:19" x14ac:dyDescent="0.3">
      <c r="R85">
        <v>161</v>
      </c>
      <c r="S85">
        <v>55</v>
      </c>
    </row>
    <row r="86" spans="18:19" x14ac:dyDescent="0.3">
      <c r="R86">
        <v>169</v>
      </c>
      <c r="S86">
        <v>64</v>
      </c>
    </row>
    <row r="87" spans="18:19" x14ac:dyDescent="0.3">
      <c r="R87">
        <v>163</v>
      </c>
      <c r="S87">
        <v>64</v>
      </c>
    </row>
    <row r="88" spans="18:19" x14ac:dyDescent="0.3">
      <c r="R88">
        <v>168</v>
      </c>
      <c r="S88">
        <v>58</v>
      </c>
    </row>
    <row r="89" spans="18:19" x14ac:dyDescent="0.3">
      <c r="R89">
        <v>166</v>
      </c>
      <c r="S89">
        <v>63</v>
      </c>
    </row>
    <row r="90" spans="18:19" x14ac:dyDescent="0.3">
      <c r="R90">
        <v>172</v>
      </c>
      <c r="S90">
        <v>69</v>
      </c>
    </row>
    <row r="91" spans="18:19" x14ac:dyDescent="0.3">
      <c r="R91">
        <v>165</v>
      </c>
      <c r="S91">
        <v>76</v>
      </c>
    </row>
    <row r="92" spans="18:19" x14ac:dyDescent="0.3">
      <c r="R92">
        <v>166</v>
      </c>
      <c r="S92">
        <v>71</v>
      </c>
    </row>
    <row r="93" spans="18:19" x14ac:dyDescent="0.3">
      <c r="R93">
        <v>171</v>
      </c>
      <c r="S93">
        <v>75</v>
      </c>
    </row>
    <row r="94" spans="18:19" x14ac:dyDescent="0.3">
      <c r="R94">
        <v>161</v>
      </c>
      <c r="S94">
        <v>56</v>
      </c>
    </row>
    <row r="95" spans="18:19" x14ac:dyDescent="0.3">
      <c r="R95">
        <v>163</v>
      </c>
      <c r="S95">
        <v>58</v>
      </c>
    </row>
    <row r="96" spans="18:19" x14ac:dyDescent="0.3">
      <c r="R96">
        <v>165</v>
      </c>
      <c r="S96">
        <v>72</v>
      </c>
    </row>
    <row r="97" spans="18:19" x14ac:dyDescent="0.3">
      <c r="R97">
        <v>172</v>
      </c>
      <c r="S97">
        <v>66</v>
      </c>
    </row>
    <row r="98" spans="18:19" x14ac:dyDescent="0.3">
      <c r="R98">
        <v>167</v>
      </c>
      <c r="S98">
        <v>57</v>
      </c>
    </row>
    <row r="99" spans="18:19" x14ac:dyDescent="0.3">
      <c r="R99">
        <v>168</v>
      </c>
      <c r="S99">
        <v>66</v>
      </c>
    </row>
    <row r="100" spans="18:19" x14ac:dyDescent="0.3">
      <c r="R100">
        <v>157</v>
      </c>
      <c r="S100">
        <v>60</v>
      </c>
    </row>
    <row r="101" spans="18:19" x14ac:dyDescent="0.3">
      <c r="R101">
        <v>169</v>
      </c>
      <c r="S101">
        <v>71</v>
      </c>
    </row>
    <row r="102" spans="18:19" x14ac:dyDescent="0.3">
      <c r="R102">
        <v>168</v>
      </c>
      <c r="S102">
        <v>50</v>
      </c>
    </row>
    <row r="103" spans="18:19" x14ac:dyDescent="0.3">
      <c r="R103">
        <v>157</v>
      </c>
      <c r="S103">
        <v>59</v>
      </c>
    </row>
    <row r="104" spans="18:19" x14ac:dyDescent="0.3">
      <c r="R104">
        <v>164</v>
      </c>
      <c r="S104">
        <v>66</v>
      </c>
    </row>
    <row r="105" spans="18:19" x14ac:dyDescent="0.3">
      <c r="R105">
        <v>170</v>
      </c>
      <c r="S105">
        <v>63</v>
      </c>
    </row>
    <row r="106" spans="18:19" x14ac:dyDescent="0.3">
      <c r="R106">
        <v>171</v>
      </c>
      <c r="S106">
        <v>60</v>
      </c>
    </row>
    <row r="107" spans="18:19" x14ac:dyDescent="0.3">
      <c r="R107">
        <v>160</v>
      </c>
      <c r="S107">
        <v>62</v>
      </c>
    </row>
    <row r="108" spans="18:19" x14ac:dyDescent="0.3">
      <c r="R108">
        <v>162</v>
      </c>
      <c r="S108">
        <v>55</v>
      </c>
    </row>
    <row r="109" spans="18:19" x14ac:dyDescent="0.3">
      <c r="R109">
        <v>163</v>
      </c>
      <c r="S109">
        <v>65</v>
      </c>
    </row>
    <row r="110" spans="18:19" x14ac:dyDescent="0.3">
      <c r="R110">
        <v>171</v>
      </c>
      <c r="S110">
        <v>72</v>
      </c>
    </row>
    <row r="111" spans="18:19" x14ac:dyDescent="0.3">
      <c r="R111">
        <v>161</v>
      </c>
      <c r="S111">
        <v>55</v>
      </c>
    </row>
    <row r="112" spans="18:19" x14ac:dyDescent="0.3">
      <c r="R112">
        <v>173</v>
      </c>
      <c r="S112">
        <v>69</v>
      </c>
    </row>
    <row r="113" spans="18:19" x14ac:dyDescent="0.3">
      <c r="R113">
        <v>175</v>
      </c>
      <c r="S113">
        <v>80</v>
      </c>
    </row>
    <row r="114" spans="18:19" x14ac:dyDescent="0.3">
      <c r="R114">
        <v>164</v>
      </c>
      <c r="S114">
        <v>65</v>
      </c>
    </row>
    <row r="115" spans="18:19" x14ac:dyDescent="0.3">
      <c r="R115">
        <v>174</v>
      </c>
      <c r="S115">
        <v>67</v>
      </c>
    </row>
    <row r="116" spans="18:19" x14ac:dyDescent="0.3">
      <c r="R116">
        <v>167</v>
      </c>
      <c r="S116">
        <v>59</v>
      </c>
    </row>
    <row r="117" spans="18:19" x14ac:dyDescent="0.3">
      <c r="R117">
        <v>176</v>
      </c>
      <c r="S117">
        <v>81</v>
      </c>
    </row>
    <row r="118" spans="18:19" x14ac:dyDescent="0.3">
      <c r="R118">
        <v>163</v>
      </c>
      <c r="S118">
        <v>68</v>
      </c>
    </row>
    <row r="119" spans="18:19" x14ac:dyDescent="0.3">
      <c r="R119">
        <v>156</v>
      </c>
      <c r="S119">
        <v>59</v>
      </c>
    </row>
    <row r="120" spans="18:19" x14ac:dyDescent="0.3">
      <c r="R120">
        <v>179</v>
      </c>
      <c r="S120">
        <v>71</v>
      </c>
    </row>
    <row r="121" spans="18:19" x14ac:dyDescent="0.3">
      <c r="R121">
        <v>179</v>
      </c>
      <c r="S121">
        <v>69</v>
      </c>
    </row>
    <row r="122" spans="18:19" x14ac:dyDescent="0.3">
      <c r="R122">
        <v>176</v>
      </c>
      <c r="S122">
        <v>77</v>
      </c>
    </row>
    <row r="123" spans="18:19" x14ac:dyDescent="0.3">
      <c r="R123">
        <v>163</v>
      </c>
      <c r="S123">
        <v>65</v>
      </c>
    </row>
    <row r="124" spans="18:19" x14ac:dyDescent="0.3">
      <c r="R124">
        <v>175</v>
      </c>
      <c r="S124">
        <v>78</v>
      </c>
    </row>
    <row r="125" spans="18:19" x14ac:dyDescent="0.3">
      <c r="R125">
        <v>156</v>
      </c>
      <c r="S125">
        <v>52</v>
      </c>
    </row>
    <row r="126" spans="18:19" x14ac:dyDescent="0.3">
      <c r="R126">
        <v>177</v>
      </c>
      <c r="S126">
        <v>72</v>
      </c>
    </row>
    <row r="127" spans="18:19" x14ac:dyDescent="0.3">
      <c r="R127">
        <v>166</v>
      </c>
      <c r="S127">
        <v>67</v>
      </c>
    </row>
    <row r="128" spans="18:19" x14ac:dyDescent="0.3">
      <c r="R128">
        <v>173</v>
      </c>
      <c r="S128">
        <v>77</v>
      </c>
    </row>
    <row r="129" spans="18:19" x14ac:dyDescent="0.3">
      <c r="R129">
        <v>169</v>
      </c>
      <c r="S129">
        <v>61</v>
      </c>
    </row>
    <row r="130" spans="18:19" x14ac:dyDescent="0.3">
      <c r="R130">
        <v>172</v>
      </c>
      <c r="S130">
        <v>64</v>
      </c>
    </row>
    <row r="131" spans="18:19" x14ac:dyDescent="0.3">
      <c r="R131">
        <v>165</v>
      </c>
      <c r="S131">
        <v>56</v>
      </c>
    </row>
    <row r="132" spans="18:19" x14ac:dyDescent="0.3">
      <c r="R132">
        <v>164</v>
      </c>
      <c r="S132">
        <v>62</v>
      </c>
    </row>
    <row r="133" spans="18:19" x14ac:dyDescent="0.3">
      <c r="R133">
        <v>166</v>
      </c>
      <c r="S133">
        <v>63</v>
      </c>
    </row>
    <row r="134" spans="18:19" x14ac:dyDescent="0.3">
      <c r="R134">
        <v>168</v>
      </c>
      <c r="S134">
        <v>63</v>
      </c>
    </row>
    <row r="135" spans="18:19" x14ac:dyDescent="0.3">
      <c r="R135">
        <v>167</v>
      </c>
      <c r="S135">
        <v>63</v>
      </c>
    </row>
    <row r="136" spans="18:19" x14ac:dyDescent="0.3">
      <c r="R136">
        <v>166</v>
      </c>
      <c r="S136">
        <v>67</v>
      </c>
    </row>
    <row r="137" spans="18:19" x14ac:dyDescent="0.3">
      <c r="R137">
        <v>169</v>
      </c>
      <c r="S137">
        <v>71</v>
      </c>
    </row>
    <row r="138" spans="18:19" x14ac:dyDescent="0.3">
      <c r="R138">
        <v>169</v>
      </c>
      <c r="S138">
        <v>66</v>
      </c>
    </row>
    <row r="139" spans="18:19" x14ac:dyDescent="0.3">
      <c r="R139">
        <v>169</v>
      </c>
      <c r="S139">
        <v>62</v>
      </c>
    </row>
    <row r="140" spans="18:19" x14ac:dyDescent="0.3">
      <c r="R140">
        <v>164</v>
      </c>
      <c r="S140">
        <v>65</v>
      </c>
    </row>
    <row r="141" spans="18:19" x14ac:dyDescent="0.3">
      <c r="R141">
        <v>179</v>
      </c>
      <c r="S141">
        <v>80</v>
      </c>
    </row>
    <row r="142" spans="18:19" x14ac:dyDescent="0.3">
      <c r="R142">
        <v>156</v>
      </c>
      <c r="S142">
        <v>59</v>
      </c>
    </row>
    <row r="143" spans="18:19" x14ac:dyDescent="0.3">
      <c r="R143">
        <v>168</v>
      </c>
      <c r="S143">
        <v>64</v>
      </c>
    </row>
    <row r="144" spans="18:19" x14ac:dyDescent="0.3">
      <c r="R144">
        <v>171</v>
      </c>
      <c r="S144">
        <v>66</v>
      </c>
    </row>
    <row r="145" spans="18:19" x14ac:dyDescent="0.3">
      <c r="R145">
        <v>166</v>
      </c>
      <c r="S145">
        <v>78</v>
      </c>
    </row>
    <row r="146" spans="18:19" x14ac:dyDescent="0.3">
      <c r="R146">
        <v>171</v>
      </c>
      <c r="S146">
        <v>70</v>
      </c>
    </row>
    <row r="147" spans="18:19" x14ac:dyDescent="0.3">
      <c r="R147">
        <v>172</v>
      </c>
      <c r="S147">
        <v>67</v>
      </c>
    </row>
    <row r="148" spans="18:19" x14ac:dyDescent="0.3">
      <c r="R148">
        <v>171</v>
      </c>
      <c r="S148">
        <v>67</v>
      </c>
    </row>
    <row r="149" spans="18:19" x14ac:dyDescent="0.3">
      <c r="R149">
        <v>169</v>
      </c>
      <c r="S149">
        <v>62</v>
      </c>
    </row>
    <row r="150" spans="18:19" x14ac:dyDescent="0.3">
      <c r="R150">
        <v>174</v>
      </c>
      <c r="S150">
        <v>74</v>
      </c>
    </row>
    <row r="151" spans="18:19" x14ac:dyDescent="0.3">
      <c r="R151">
        <v>165</v>
      </c>
      <c r="S151">
        <v>60</v>
      </c>
    </row>
    <row r="152" spans="18:19" x14ac:dyDescent="0.3">
      <c r="R152">
        <v>172</v>
      </c>
      <c r="S152">
        <v>69</v>
      </c>
    </row>
    <row r="153" spans="18:19" x14ac:dyDescent="0.3">
      <c r="R153">
        <v>166</v>
      </c>
      <c r="S153">
        <v>61</v>
      </c>
    </row>
    <row r="154" spans="18:19" x14ac:dyDescent="0.3">
      <c r="R154">
        <v>163</v>
      </c>
      <c r="S154">
        <v>65</v>
      </c>
    </row>
    <row r="155" spans="18:19" x14ac:dyDescent="0.3">
      <c r="R155">
        <v>173</v>
      </c>
      <c r="S155">
        <v>66</v>
      </c>
    </row>
    <row r="156" spans="18:19" x14ac:dyDescent="0.3">
      <c r="R156">
        <v>161</v>
      </c>
      <c r="S156">
        <v>66</v>
      </c>
    </row>
    <row r="157" spans="18:19" x14ac:dyDescent="0.3">
      <c r="R157">
        <v>159</v>
      </c>
      <c r="S157">
        <v>55</v>
      </c>
    </row>
    <row r="158" spans="18:19" x14ac:dyDescent="0.3">
      <c r="R158">
        <v>166</v>
      </c>
      <c r="S158">
        <v>55</v>
      </c>
    </row>
    <row r="159" spans="18:19" x14ac:dyDescent="0.3">
      <c r="R159">
        <v>163</v>
      </c>
      <c r="S159">
        <v>64</v>
      </c>
    </row>
    <row r="160" spans="18:19" x14ac:dyDescent="0.3">
      <c r="R160">
        <v>163</v>
      </c>
      <c r="S160">
        <v>58</v>
      </c>
    </row>
    <row r="161" spans="18:19" x14ac:dyDescent="0.3">
      <c r="R161">
        <v>165</v>
      </c>
      <c r="S161">
        <v>59</v>
      </c>
    </row>
    <row r="162" spans="18:19" x14ac:dyDescent="0.3">
      <c r="R162">
        <v>170</v>
      </c>
      <c r="S162">
        <v>73</v>
      </c>
    </row>
    <row r="163" spans="18:19" x14ac:dyDescent="0.3">
      <c r="R163">
        <v>172</v>
      </c>
      <c r="S163">
        <v>67</v>
      </c>
    </row>
    <row r="164" spans="18:19" x14ac:dyDescent="0.3">
      <c r="R164">
        <v>161</v>
      </c>
      <c r="S164">
        <v>59</v>
      </c>
    </row>
    <row r="165" spans="18:19" x14ac:dyDescent="0.3">
      <c r="R165">
        <v>171</v>
      </c>
      <c r="S165">
        <v>67</v>
      </c>
    </row>
    <row r="166" spans="18:19" x14ac:dyDescent="0.3">
      <c r="R166">
        <v>166</v>
      </c>
      <c r="S166">
        <v>62</v>
      </c>
    </row>
    <row r="167" spans="18:19" x14ac:dyDescent="0.3">
      <c r="R167">
        <v>170</v>
      </c>
      <c r="S167">
        <v>66</v>
      </c>
    </row>
    <row r="168" spans="18:19" x14ac:dyDescent="0.3">
      <c r="R168">
        <v>183</v>
      </c>
      <c r="S168">
        <v>73</v>
      </c>
    </row>
    <row r="169" spans="18:19" x14ac:dyDescent="0.3">
      <c r="R169">
        <v>173</v>
      </c>
      <c r="S169">
        <v>66</v>
      </c>
    </row>
    <row r="170" spans="18:19" x14ac:dyDescent="0.3">
      <c r="R170">
        <v>167</v>
      </c>
      <c r="S170">
        <v>60</v>
      </c>
    </row>
    <row r="171" spans="18:19" x14ac:dyDescent="0.3">
      <c r="R171">
        <v>167</v>
      </c>
      <c r="S171">
        <v>63</v>
      </c>
    </row>
    <row r="172" spans="18:19" x14ac:dyDescent="0.3">
      <c r="R172">
        <v>162</v>
      </c>
      <c r="S172">
        <v>65</v>
      </c>
    </row>
    <row r="173" spans="18:19" x14ac:dyDescent="0.3">
      <c r="R173">
        <v>156</v>
      </c>
      <c r="S173">
        <v>53</v>
      </c>
    </row>
    <row r="174" spans="18:19" x14ac:dyDescent="0.3">
      <c r="R174">
        <v>167</v>
      </c>
      <c r="S174">
        <v>68</v>
      </c>
    </row>
    <row r="175" spans="18:19" x14ac:dyDescent="0.3">
      <c r="R175">
        <v>160</v>
      </c>
      <c r="S175">
        <v>61</v>
      </c>
    </row>
    <row r="176" spans="18:19" x14ac:dyDescent="0.3">
      <c r="R176">
        <v>170</v>
      </c>
      <c r="S176">
        <v>68</v>
      </c>
    </row>
    <row r="177" spans="18:19" x14ac:dyDescent="0.3">
      <c r="R177">
        <v>171</v>
      </c>
      <c r="S177">
        <v>64</v>
      </c>
    </row>
    <row r="178" spans="18:19" x14ac:dyDescent="0.3">
      <c r="R178">
        <v>174</v>
      </c>
      <c r="S178">
        <v>70</v>
      </c>
    </row>
    <row r="179" spans="18:19" x14ac:dyDescent="0.3">
      <c r="R179">
        <v>167</v>
      </c>
      <c r="S179">
        <v>65</v>
      </c>
    </row>
    <row r="180" spans="18:19" x14ac:dyDescent="0.3">
      <c r="R180">
        <v>170</v>
      </c>
      <c r="S180">
        <v>58</v>
      </c>
    </row>
    <row r="181" spans="18:19" x14ac:dyDescent="0.3">
      <c r="R181">
        <v>170</v>
      </c>
      <c r="S181">
        <v>65</v>
      </c>
    </row>
    <row r="182" spans="18:19" x14ac:dyDescent="0.3">
      <c r="R182">
        <v>172</v>
      </c>
      <c r="S182">
        <v>67</v>
      </c>
    </row>
    <row r="183" spans="18:19" x14ac:dyDescent="0.3">
      <c r="R183">
        <v>166</v>
      </c>
      <c r="S183">
        <v>62</v>
      </c>
    </row>
    <row r="184" spans="18:19" x14ac:dyDescent="0.3">
      <c r="R184">
        <v>164</v>
      </c>
      <c r="S184">
        <v>60</v>
      </c>
    </row>
    <row r="185" spans="18:19" x14ac:dyDescent="0.3">
      <c r="R185">
        <v>172</v>
      </c>
      <c r="S185">
        <v>73</v>
      </c>
    </row>
    <row r="186" spans="18:19" x14ac:dyDescent="0.3">
      <c r="R186">
        <v>167</v>
      </c>
      <c r="S186">
        <v>57</v>
      </c>
    </row>
    <row r="187" spans="18:19" x14ac:dyDescent="0.3">
      <c r="R187">
        <v>155</v>
      </c>
      <c r="S187">
        <v>61</v>
      </c>
    </row>
    <row r="188" spans="18:19" x14ac:dyDescent="0.3">
      <c r="R188">
        <v>159</v>
      </c>
      <c r="S188">
        <v>55</v>
      </c>
    </row>
    <row r="189" spans="18:19" x14ac:dyDescent="0.3">
      <c r="R189">
        <v>173</v>
      </c>
      <c r="S189">
        <v>71</v>
      </c>
    </row>
    <row r="190" spans="18:19" x14ac:dyDescent="0.3">
      <c r="R190">
        <v>170</v>
      </c>
      <c r="S190">
        <v>76</v>
      </c>
    </row>
    <row r="191" spans="18:19" x14ac:dyDescent="0.3">
      <c r="R191">
        <v>165</v>
      </c>
      <c r="S191">
        <v>63</v>
      </c>
    </row>
    <row r="192" spans="18:19" x14ac:dyDescent="0.3">
      <c r="R192">
        <v>159</v>
      </c>
      <c r="S192">
        <v>55</v>
      </c>
    </row>
    <row r="193" spans="18:19" x14ac:dyDescent="0.3">
      <c r="R193">
        <v>162</v>
      </c>
      <c r="S193">
        <v>66</v>
      </c>
    </row>
    <row r="194" spans="18:19" x14ac:dyDescent="0.3">
      <c r="R194">
        <v>165</v>
      </c>
      <c r="S194">
        <v>61</v>
      </c>
    </row>
    <row r="195" spans="18:19" x14ac:dyDescent="0.3">
      <c r="R195">
        <v>173</v>
      </c>
      <c r="S195">
        <v>64</v>
      </c>
    </row>
    <row r="196" spans="18:19" x14ac:dyDescent="0.3">
      <c r="R196">
        <v>173</v>
      </c>
      <c r="S196">
        <v>63</v>
      </c>
    </row>
    <row r="197" spans="18:19" x14ac:dyDescent="0.3">
      <c r="R197">
        <v>162</v>
      </c>
      <c r="S197">
        <v>66</v>
      </c>
    </row>
    <row r="198" spans="18:19" x14ac:dyDescent="0.3">
      <c r="R198">
        <v>169</v>
      </c>
      <c r="S198">
        <v>58</v>
      </c>
    </row>
    <row r="199" spans="18:19" x14ac:dyDescent="0.3">
      <c r="R199">
        <v>171</v>
      </c>
      <c r="S199">
        <v>64</v>
      </c>
    </row>
    <row r="200" spans="18:19" x14ac:dyDescent="0.3">
      <c r="R200">
        <v>181</v>
      </c>
      <c r="S200">
        <v>68</v>
      </c>
    </row>
    <row r="201" spans="18:19" x14ac:dyDescent="0.3">
      <c r="R201">
        <v>162</v>
      </c>
      <c r="S20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A4AA-8B12-4106-9799-551F9B517602}">
  <dimension ref="A1:W223"/>
  <sheetViews>
    <sheetView zoomScale="83" workbookViewId="0">
      <selection activeCell="L5" sqref="L5"/>
    </sheetView>
  </sheetViews>
  <sheetFormatPr defaultRowHeight="14.4" x14ac:dyDescent="0.3"/>
  <cols>
    <col min="1" max="1" width="4" bestFit="1" customWidth="1"/>
    <col min="2" max="2" width="27" bestFit="1" customWidth="1"/>
    <col min="7" max="7" width="26.109375" bestFit="1" customWidth="1"/>
    <col min="10" max="10" width="55.77734375" bestFit="1" customWidth="1"/>
    <col min="12" max="12" width="43.44140625" bestFit="1" customWidth="1"/>
  </cols>
  <sheetData>
    <row r="1" spans="1:23" ht="15" thickBot="1" x14ac:dyDescent="0.35">
      <c r="A1" s="164" t="s">
        <v>3</v>
      </c>
      <c r="B1" s="164"/>
      <c r="C1" s="1"/>
      <c r="D1" s="1"/>
      <c r="E1" s="1"/>
      <c r="F1" s="164" t="s">
        <v>4</v>
      </c>
      <c r="G1" s="16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 t="s">
        <v>0</v>
      </c>
      <c r="B2" s="1" t="s">
        <v>1</v>
      </c>
      <c r="C2" s="1"/>
      <c r="D2" s="1"/>
      <c r="E2" s="1"/>
      <c r="F2" s="1" t="s">
        <v>0</v>
      </c>
      <c r="G2" s="1" t="s">
        <v>2</v>
      </c>
      <c r="H2" s="1"/>
      <c r="I2" s="1"/>
      <c r="J2" s="136" t="s">
        <v>129</v>
      </c>
      <c r="K2" s="137" t="s">
        <v>132</v>
      </c>
      <c r="L2" s="138" t="s">
        <v>133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>
        <v>1</v>
      </c>
      <c r="B3" s="1" cm="1">
        <f t="array" ref="B3:B202">_xlfn._xlws.SORT(Данные!R2:R201)</f>
        <v>155</v>
      </c>
      <c r="C3" s="1"/>
      <c r="D3" s="1"/>
      <c r="E3" s="1"/>
      <c r="F3" s="1">
        <v>1</v>
      </c>
      <c r="G3" s="1" cm="1">
        <f t="array" ref="G3:G202">_xlfn._xlws.SORT(Данные!S2:S201)</f>
        <v>50</v>
      </c>
      <c r="H3" s="1"/>
      <c r="I3" s="1"/>
      <c r="J3" s="10" t="s">
        <v>134</v>
      </c>
      <c r="K3" s="139"/>
      <c r="L3" s="16" t="s">
        <v>128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>
        <v>2</v>
      </c>
      <c r="B4" s="1">
        <v>156</v>
      </c>
      <c r="C4" s="1"/>
      <c r="D4" s="1"/>
      <c r="E4" s="1"/>
      <c r="F4" s="1">
        <v>2</v>
      </c>
      <c r="G4" s="1">
        <v>51</v>
      </c>
      <c r="H4" s="1"/>
      <c r="I4" s="1"/>
      <c r="J4" s="10"/>
      <c r="K4" s="124"/>
      <c r="L4" s="16" t="s">
        <v>130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thickBot="1" x14ac:dyDescent="0.35">
      <c r="A5" s="1">
        <v>3</v>
      </c>
      <c r="B5" s="1">
        <v>156</v>
      </c>
      <c r="C5" s="1"/>
      <c r="D5" s="1"/>
      <c r="E5" s="1"/>
      <c r="F5" s="1">
        <v>3</v>
      </c>
      <c r="G5" s="1">
        <v>52</v>
      </c>
      <c r="H5" s="1"/>
      <c r="I5" s="1"/>
      <c r="J5" s="6"/>
      <c r="K5" s="140"/>
      <c r="L5" s="141" t="s">
        <v>131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4</v>
      </c>
      <c r="B6" s="1">
        <v>156</v>
      </c>
      <c r="C6" s="1"/>
      <c r="D6" s="1"/>
      <c r="E6" s="1"/>
      <c r="F6" s="1">
        <v>4</v>
      </c>
      <c r="G6" s="1">
        <v>53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>
        <v>5</v>
      </c>
      <c r="B7" s="1">
        <v>156</v>
      </c>
      <c r="C7" s="1"/>
      <c r="D7" s="1"/>
      <c r="E7" s="1"/>
      <c r="F7" s="1">
        <v>5</v>
      </c>
      <c r="G7" s="1">
        <v>53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>
        <v>6</v>
      </c>
      <c r="B8" s="1">
        <v>157</v>
      </c>
      <c r="C8" s="1"/>
      <c r="D8" s="1"/>
      <c r="E8" s="1"/>
      <c r="F8" s="1">
        <v>6</v>
      </c>
      <c r="G8" s="1">
        <v>53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>
        <v>7</v>
      </c>
      <c r="B9" s="1">
        <v>157</v>
      </c>
      <c r="C9" s="1"/>
      <c r="D9" s="1"/>
      <c r="E9" s="1"/>
      <c r="F9" s="1">
        <v>7</v>
      </c>
      <c r="G9" s="1">
        <v>53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>
        <v>8</v>
      </c>
      <c r="B10" s="1">
        <v>157</v>
      </c>
      <c r="C10" s="1"/>
      <c r="D10" s="1"/>
      <c r="E10" s="1"/>
      <c r="F10" s="1">
        <v>8</v>
      </c>
      <c r="G10" s="1">
        <v>53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>
        <v>9</v>
      </c>
      <c r="B11" s="1">
        <v>159</v>
      </c>
      <c r="C11" s="1"/>
      <c r="D11" s="1"/>
      <c r="E11" s="1"/>
      <c r="F11" s="1">
        <v>9</v>
      </c>
      <c r="G11" s="1">
        <v>54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>
        <v>10</v>
      </c>
      <c r="B12" s="1">
        <v>159</v>
      </c>
      <c r="C12" s="1"/>
      <c r="D12" s="1"/>
      <c r="E12" s="1"/>
      <c r="F12" s="1">
        <v>10</v>
      </c>
      <c r="G12" s="1">
        <v>54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>
        <v>11</v>
      </c>
      <c r="B13" s="1">
        <v>159</v>
      </c>
      <c r="C13" s="1"/>
      <c r="D13" s="1"/>
      <c r="E13" s="1"/>
      <c r="F13" s="1">
        <v>11</v>
      </c>
      <c r="G13" s="1">
        <v>55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>
        <v>12</v>
      </c>
      <c r="B14" s="1">
        <v>159</v>
      </c>
      <c r="C14" s="1"/>
      <c r="D14" s="1"/>
      <c r="E14" s="1"/>
      <c r="F14" s="1">
        <v>12</v>
      </c>
      <c r="G14" s="1">
        <v>55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>
        <v>13</v>
      </c>
      <c r="B15" s="1">
        <v>159</v>
      </c>
      <c r="C15" s="1"/>
      <c r="D15" s="1"/>
      <c r="E15" s="1"/>
      <c r="F15" s="1">
        <v>13</v>
      </c>
      <c r="G15" s="1">
        <v>55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>
        <v>14</v>
      </c>
      <c r="B16" s="1">
        <v>159</v>
      </c>
      <c r="C16" s="1"/>
      <c r="D16" s="1"/>
      <c r="E16" s="1"/>
      <c r="F16" s="1">
        <v>14</v>
      </c>
      <c r="G16" s="1">
        <v>55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>
        <v>15</v>
      </c>
      <c r="B17" s="1">
        <v>160</v>
      </c>
      <c r="C17" s="1"/>
      <c r="D17" s="1"/>
      <c r="E17" s="1"/>
      <c r="F17" s="1">
        <v>15</v>
      </c>
      <c r="G17" s="1">
        <v>55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>
        <v>16</v>
      </c>
      <c r="B18" s="1">
        <v>160</v>
      </c>
      <c r="C18" s="1"/>
      <c r="D18" s="1"/>
      <c r="E18" s="1"/>
      <c r="F18" s="1">
        <v>16</v>
      </c>
      <c r="G18" s="1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>
        <v>17</v>
      </c>
      <c r="B19" s="1">
        <v>160</v>
      </c>
      <c r="C19" s="1"/>
      <c r="D19" s="1"/>
      <c r="E19" s="1"/>
      <c r="F19" s="1">
        <v>17</v>
      </c>
      <c r="G19" s="1">
        <v>55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>
        <v>18</v>
      </c>
      <c r="B20" s="1">
        <v>160</v>
      </c>
      <c r="C20" s="1"/>
      <c r="D20" s="1"/>
      <c r="E20" s="1"/>
      <c r="F20" s="1">
        <v>18</v>
      </c>
      <c r="G20" s="1">
        <v>55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>
        <v>19</v>
      </c>
      <c r="B21" s="1">
        <v>161</v>
      </c>
      <c r="C21" s="1"/>
      <c r="D21" s="1"/>
      <c r="E21" s="1"/>
      <c r="F21" s="1">
        <v>19</v>
      </c>
      <c r="G21" s="1">
        <v>55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>
        <v>20</v>
      </c>
      <c r="B22" s="1">
        <v>161</v>
      </c>
      <c r="C22" s="1"/>
      <c r="D22" s="1"/>
      <c r="E22" s="1"/>
      <c r="F22" s="1">
        <v>20</v>
      </c>
      <c r="G22" s="1">
        <v>55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>
        <v>21</v>
      </c>
      <c r="B23" s="1">
        <v>161</v>
      </c>
      <c r="C23" s="1"/>
      <c r="D23" s="1"/>
      <c r="E23" s="1"/>
      <c r="F23" s="1">
        <v>21</v>
      </c>
      <c r="G23" s="1">
        <v>55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>
        <v>22</v>
      </c>
      <c r="B24" s="1">
        <v>161</v>
      </c>
      <c r="C24" s="1"/>
      <c r="D24" s="1"/>
      <c r="E24" s="1"/>
      <c r="F24" s="1">
        <v>22</v>
      </c>
      <c r="G24" s="1">
        <v>56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>
        <v>23</v>
      </c>
      <c r="B25" s="1">
        <v>161</v>
      </c>
      <c r="C25" s="1"/>
      <c r="D25" s="1"/>
      <c r="E25" s="1"/>
      <c r="F25" s="1">
        <v>23</v>
      </c>
      <c r="G25" s="1">
        <v>56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>
        <v>24</v>
      </c>
      <c r="B26" s="1">
        <v>161</v>
      </c>
      <c r="C26" s="1"/>
      <c r="D26" s="1"/>
      <c r="E26" s="1"/>
      <c r="F26" s="1">
        <v>24</v>
      </c>
      <c r="G26" s="1">
        <v>56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>
        <v>25</v>
      </c>
      <c r="B27" s="1">
        <v>161</v>
      </c>
      <c r="C27" s="1"/>
      <c r="D27" s="1"/>
      <c r="E27" s="1"/>
      <c r="F27" s="1">
        <v>25</v>
      </c>
      <c r="G27" s="1">
        <v>56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>
        <v>26</v>
      </c>
      <c r="B28" s="1">
        <v>162</v>
      </c>
      <c r="C28" s="1"/>
      <c r="D28" s="1"/>
      <c r="E28" s="1"/>
      <c r="F28" s="1">
        <v>26</v>
      </c>
      <c r="G28" s="1">
        <v>57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>
        <v>27</v>
      </c>
      <c r="B29" s="1">
        <v>162</v>
      </c>
      <c r="C29" s="1"/>
      <c r="D29" s="1"/>
      <c r="E29" s="1"/>
      <c r="F29" s="1">
        <v>27</v>
      </c>
      <c r="G29" s="1">
        <v>57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>
        <v>28</v>
      </c>
      <c r="B30" s="1">
        <v>162</v>
      </c>
      <c r="C30" s="1"/>
      <c r="D30" s="1"/>
      <c r="E30" s="1"/>
      <c r="F30" s="1">
        <v>28</v>
      </c>
      <c r="G30" s="1">
        <v>57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>
        <v>29</v>
      </c>
      <c r="B31" s="1">
        <v>162</v>
      </c>
      <c r="C31" s="1"/>
      <c r="D31" s="1"/>
      <c r="E31" s="1"/>
      <c r="F31" s="1">
        <v>29</v>
      </c>
      <c r="G31" s="1">
        <v>57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>
        <v>30</v>
      </c>
      <c r="B32" s="1">
        <v>162</v>
      </c>
      <c r="C32" s="1"/>
      <c r="D32" s="1"/>
      <c r="E32" s="1"/>
      <c r="F32" s="1">
        <v>30</v>
      </c>
      <c r="G32" s="1">
        <v>58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>
        <v>31</v>
      </c>
      <c r="B33" s="1">
        <v>162</v>
      </c>
      <c r="C33" s="1"/>
      <c r="D33" s="1"/>
      <c r="E33" s="1"/>
      <c r="F33" s="1">
        <v>31</v>
      </c>
      <c r="G33" s="1">
        <v>58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>
        <v>32</v>
      </c>
      <c r="B34" s="1">
        <v>162</v>
      </c>
      <c r="C34" s="1"/>
      <c r="D34" s="1"/>
      <c r="E34" s="1"/>
      <c r="F34" s="1">
        <v>32</v>
      </c>
      <c r="G34" s="1">
        <v>58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>
        <v>33</v>
      </c>
      <c r="B35" s="1">
        <v>162</v>
      </c>
      <c r="C35" s="1"/>
      <c r="D35" s="1"/>
      <c r="E35" s="1"/>
      <c r="F35" s="1">
        <v>33</v>
      </c>
      <c r="G35" s="1">
        <v>58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>
        <v>34</v>
      </c>
      <c r="B36" s="1">
        <v>162</v>
      </c>
      <c r="C36" s="1"/>
      <c r="D36" s="1"/>
      <c r="E36" s="1"/>
      <c r="F36" s="1">
        <v>34</v>
      </c>
      <c r="G36" s="1">
        <v>58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>
        <v>35</v>
      </c>
      <c r="B37" s="1">
        <v>163</v>
      </c>
      <c r="C37" s="1"/>
      <c r="D37" s="1"/>
      <c r="E37" s="1"/>
      <c r="F37" s="1">
        <v>35</v>
      </c>
      <c r="G37" s="1">
        <v>58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>
        <v>36</v>
      </c>
      <c r="B38" s="1">
        <v>163</v>
      </c>
      <c r="C38" s="1"/>
      <c r="D38" s="1"/>
      <c r="E38" s="1"/>
      <c r="F38" s="1">
        <v>36</v>
      </c>
      <c r="G38" s="1">
        <v>59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>
        <v>37</v>
      </c>
      <c r="B39" s="1">
        <v>163</v>
      </c>
      <c r="C39" s="1"/>
      <c r="D39" s="1"/>
      <c r="E39" s="1"/>
      <c r="F39" s="1">
        <v>37</v>
      </c>
      <c r="G39" s="1">
        <v>59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>
        <v>38</v>
      </c>
      <c r="B40" s="1">
        <v>163</v>
      </c>
      <c r="C40" s="1"/>
      <c r="D40" s="1"/>
      <c r="E40" s="1"/>
      <c r="F40" s="1">
        <v>38</v>
      </c>
      <c r="G40" s="1">
        <v>59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>
        <v>39</v>
      </c>
      <c r="B41" s="1">
        <v>163</v>
      </c>
      <c r="C41" s="1"/>
      <c r="D41" s="1"/>
      <c r="E41" s="1"/>
      <c r="F41" s="1">
        <v>39</v>
      </c>
      <c r="G41" s="1">
        <v>59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>
        <v>40</v>
      </c>
      <c r="B42" s="1">
        <v>163</v>
      </c>
      <c r="C42" s="1"/>
      <c r="D42" s="1"/>
      <c r="E42" s="1"/>
      <c r="F42" s="1">
        <v>40</v>
      </c>
      <c r="G42" s="1">
        <v>59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>
        <v>41</v>
      </c>
      <c r="B43" s="1">
        <v>163</v>
      </c>
      <c r="C43" s="1"/>
      <c r="D43" s="1"/>
      <c r="E43" s="1"/>
      <c r="F43" s="1">
        <v>41</v>
      </c>
      <c r="G43" s="1">
        <v>59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>
        <v>42</v>
      </c>
      <c r="B44" s="1">
        <v>163</v>
      </c>
      <c r="C44" s="1"/>
      <c r="D44" s="1"/>
      <c r="E44" s="1"/>
      <c r="F44" s="1">
        <v>42</v>
      </c>
      <c r="G44" s="1">
        <v>59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>
        <v>43</v>
      </c>
      <c r="B45" s="1">
        <v>163</v>
      </c>
      <c r="C45" s="1"/>
      <c r="D45" s="1"/>
      <c r="E45" s="1"/>
      <c r="F45" s="1">
        <v>43</v>
      </c>
      <c r="G45" s="1">
        <v>60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>
        <v>44</v>
      </c>
      <c r="B46" s="1">
        <v>163</v>
      </c>
      <c r="C46" s="1"/>
      <c r="D46" s="1"/>
      <c r="E46" s="1"/>
      <c r="F46" s="1">
        <v>44</v>
      </c>
      <c r="G46" s="1">
        <v>60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>
        <v>45</v>
      </c>
      <c r="B47" s="1">
        <v>163</v>
      </c>
      <c r="C47" s="1"/>
      <c r="D47" s="1"/>
      <c r="E47" s="1"/>
      <c r="F47" s="1">
        <v>45</v>
      </c>
      <c r="G47" s="1">
        <v>60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>
        <v>46</v>
      </c>
      <c r="B48" s="1">
        <v>163</v>
      </c>
      <c r="C48" s="1"/>
      <c r="D48" s="1"/>
      <c r="E48" s="1"/>
      <c r="F48" s="1">
        <v>46</v>
      </c>
      <c r="G48" s="1">
        <v>60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>
        <v>47</v>
      </c>
      <c r="B49" s="1">
        <v>163</v>
      </c>
      <c r="C49" s="1"/>
      <c r="D49" s="1"/>
      <c r="E49" s="1"/>
      <c r="F49" s="1">
        <v>47</v>
      </c>
      <c r="G49" s="1">
        <v>60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>
        <v>48</v>
      </c>
      <c r="B50" s="1">
        <v>164</v>
      </c>
      <c r="C50" s="1"/>
      <c r="D50" s="1"/>
      <c r="E50" s="1"/>
      <c r="F50" s="1">
        <v>48</v>
      </c>
      <c r="G50" s="1">
        <v>60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>
        <v>49</v>
      </c>
      <c r="B51" s="1">
        <v>164</v>
      </c>
      <c r="C51" s="1"/>
      <c r="D51" s="1"/>
      <c r="E51" s="1"/>
      <c r="F51" s="1">
        <v>49</v>
      </c>
      <c r="G51" s="1">
        <v>60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>
        <v>50</v>
      </c>
      <c r="B52" s="1">
        <v>164</v>
      </c>
      <c r="C52" s="1"/>
      <c r="D52" s="1"/>
      <c r="E52" s="1"/>
      <c r="F52" s="1">
        <v>50</v>
      </c>
      <c r="G52" s="1">
        <v>60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>
        <v>51</v>
      </c>
      <c r="B53" s="1">
        <v>164</v>
      </c>
      <c r="C53" s="1"/>
      <c r="D53" s="1"/>
      <c r="E53" s="1"/>
      <c r="F53" s="1">
        <v>51</v>
      </c>
      <c r="G53" s="1">
        <v>60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>
        <v>52</v>
      </c>
      <c r="B54" s="1">
        <v>164</v>
      </c>
      <c r="C54" s="1"/>
      <c r="D54" s="1"/>
      <c r="E54" s="1"/>
      <c r="F54" s="1">
        <v>52</v>
      </c>
      <c r="G54" s="1">
        <v>61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>
        <v>53</v>
      </c>
      <c r="B55" s="1">
        <v>164</v>
      </c>
      <c r="C55" s="1"/>
      <c r="D55" s="1"/>
      <c r="E55" s="1"/>
      <c r="F55" s="1">
        <v>53</v>
      </c>
      <c r="G55" s="1">
        <v>61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>
        <v>54</v>
      </c>
      <c r="B56" s="1">
        <v>164</v>
      </c>
      <c r="C56" s="1"/>
      <c r="D56" s="1"/>
      <c r="E56" s="1"/>
      <c r="F56" s="1">
        <v>54</v>
      </c>
      <c r="G56" s="1">
        <v>61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>
        <v>55</v>
      </c>
      <c r="B57" s="1">
        <v>164</v>
      </c>
      <c r="C57" s="1"/>
      <c r="D57" s="1"/>
      <c r="E57" s="1"/>
      <c r="F57" s="1">
        <v>55</v>
      </c>
      <c r="G57" s="1">
        <v>61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>
        <v>56</v>
      </c>
      <c r="B58" s="1">
        <v>164</v>
      </c>
      <c r="C58" s="1"/>
      <c r="D58" s="1"/>
      <c r="E58" s="1"/>
      <c r="F58" s="1">
        <v>56</v>
      </c>
      <c r="G58" s="1">
        <v>61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>
        <v>57</v>
      </c>
      <c r="B59" s="1">
        <v>164</v>
      </c>
      <c r="C59" s="1"/>
      <c r="D59" s="1"/>
      <c r="E59" s="1"/>
      <c r="F59" s="1">
        <v>57</v>
      </c>
      <c r="G59" s="1">
        <v>61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>
        <v>58</v>
      </c>
      <c r="B60" s="1">
        <v>165</v>
      </c>
      <c r="C60" s="1"/>
      <c r="D60" s="1"/>
      <c r="E60" s="1"/>
      <c r="F60" s="1">
        <v>58</v>
      </c>
      <c r="G60" s="1">
        <v>61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>
        <v>59</v>
      </c>
      <c r="B61" s="1">
        <v>165</v>
      </c>
      <c r="C61" s="1"/>
      <c r="D61" s="1"/>
      <c r="E61" s="1"/>
      <c r="F61" s="1">
        <v>59</v>
      </c>
      <c r="G61" s="1">
        <v>61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>
        <v>60</v>
      </c>
      <c r="B62" s="1">
        <v>165</v>
      </c>
      <c r="C62" s="1"/>
      <c r="D62" s="1"/>
      <c r="E62" s="1"/>
      <c r="F62" s="1">
        <v>60</v>
      </c>
      <c r="G62" s="1">
        <v>62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>
        <v>61</v>
      </c>
      <c r="B63" s="1">
        <v>165</v>
      </c>
      <c r="C63" s="1"/>
      <c r="D63" s="1"/>
      <c r="E63" s="1"/>
      <c r="F63" s="1">
        <v>61</v>
      </c>
      <c r="G63" s="1">
        <v>62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>
        <v>62</v>
      </c>
      <c r="B64" s="1">
        <v>165</v>
      </c>
      <c r="C64" s="1"/>
      <c r="D64" s="1"/>
      <c r="E64" s="1"/>
      <c r="F64" s="1">
        <v>62</v>
      </c>
      <c r="G64" s="1">
        <v>62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>
        <v>63</v>
      </c>
      <c r="B65" s="1">
        <v>165</v>
      </c>
      <c r="C65" s="1"/>
      <c r="D65" s="1"/>
      <c r="E65" s="1"/>
      <c r="F65" s="1">
        <v>63</v>
      </c>
      <c r="G65" s="1">
        <v>62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>
        <v>64</v>
      </c>
      <c r="B66" s="1">
        <v>165</v>
      </c>
      <c r="C66" s="1"/>
      <c r="D66" s="1"/>
      <c r="E66" s="1"/>
      <c r="F66" s="1">
        <v>64</v>
      </c>
      <c r="G66" s="1">
        <v>62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>
        <v>65</v>
      </c>
      <c r="B67" s="1">
        <v>165</v>
      </c>
      <c r="C67" s="1"/>
      <c r="D67" s="1"/>
      <c r="E67" s="1"/>
      <c r="F67" s="1">
        <v>65</v>
      </c>
      <c r="G67" s="1">
        <v>62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>
        <v>66</v>
      </c>
      <c r="B68" s="1">
        <v>165</v>
      </c>
      <c r="C68" s="1"/>
      <c r="D68" s="1"/>
      <c r="E68" s="1"/>
      <c r="F68" s="1">
        <v>66</v>
      </c>
      <c r="G68" s="1">
        <v>62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>
        <v>67</v>
      </c>
      <c r="B69" s="1">
        <v>165</v>
      </c>
      <c r="C69" s="1"/>
      <c r="D69" s="1"/>
      <c r="E69" s="1"/>
      <c r="F69" s="1">
        <v>67</v>
      </c>
      <c r="G69" s="1">
        <v>62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>
        <v>68</v>
      </c>
      <c r="B70" s="1">
        <v>165</v>
      </c>
      <c r="C70" s="1"/>
      <c r="D70" s="1"/>
      <c r="E70" s="1"/>
      <c r="F70" s="1">
        <v>68</v>
      </c>
      <c r="G70" s="1">
        <v>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>
        <v>69</v>
      </c>
      <c r="B71" s="1">
        <v>165</v>
      </c>
      <c r="C71" s="1"/>
      <c r="D71" s="1"/>
      <c r="E71" s="1"/>
      <c r="F71" s="1">
        <v>69</v>
      </c>
      <c r="G71" s="1">
        <v>62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>
        <v>70</v>
      </c>
      <c r="B72" s="1">
        <v>165</v>
      </c>
      <c r="C72" s="1"/>
      <c r="D72" s="1"/>
      <c r="E72" s="1"/>
      <c r="F72" s="1">
        <v>70</v>
      </c>
      <c r="G72" s="1">
        <v>62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>
        <v>71</v>
      </c>
      <c r="B73" s="1">
        <v>165</v>
      </c>
      <c r="C73" s="1"/>
      <c r="D73" s="1"/>
      <c r="E73" s="1"/>
      <c r="F73" s="1">
        <v>71</v>
      </c>
      <c r="G73" s="1">
        <v>62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>
        <v>72</v>
      </c>
      <c r="B74" s="1">
        <v>165</v>
      </c>
      <c r="C74" s="1"/>
      <c r="D74" s="1"/>
      <c r="E74" s="1"/>
      <c r="F74" s="1">
        <v>72</v>
      </c>
      <c r="G74" s="1">
        <v>63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>
        <v>73</v>
      </c>
      <c r="B75" s="1">
        <v>165</v>
      </c>
      <c r="C75" s="1"/>
      <c r="D75" s="1"/>
      <c r="E75" s="1"/>
      <c r="F75" s="1">
        <v>73</v>
      </c>
      <c r="G75" s="1">
        <v>63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>
        <v>74</v>
      </c>
      <c r="B76" s="1">
        <v>165</v>
      </c>
      <c r="C76" s="1"/>
      <c r="D76" s="1"/>
      <c r="E76" s="1"/>
      <c r="F76" s="1">
        <v>74</v>
      </c>
      <c r="G76" s="1">
        <v>63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>
        <v>75</v>
      </c>
      <c r="B77" s="1">
        <v>166</v>
      </c>
      <c r="C77" s="1"/>
      <c r="D77" s="1"/>
      <c r="E77" s="1"/>
      <c r="F77" s="1">
        <v>75</v>
      </c>
      <c r="G77" s="1">
        <v>63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>
        <v>76</v>
      </c>
      <c r="B78" s="1">
        <v>166</v>
      </c>
      <c r="C78" s="1"/>
      <c r="D78" s="1"/>
      <c r="E78" s="1"/>
      <c r="F78" s="1">
        <v>76</v>
      </c>
      <c r="G78" s="1">
        <v>63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>
        <v>77</v>
      </c>
      <c r="B79" s="1">
        <v>166</v>
      </c>
      <c r="C79" s="1"/>
      <c r="D79" s="1"/>
      <c r="E79" s="1"/>
      <c r="F79" s="1">
        <v>77</v>
      </c>
      <c r="G79" s="1">
        <v>63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>
        <v>78</v>
      </c>
      <c r="B80" s="1">
        <v>166</v>
      </c>
      <c r="C80" s="1"/>
      <c r="D80" s="1"/>
      <c r="E80" s="1"/>
      <c r="F80" s="1">
        <v>78</v>
      </c>
      <c r="G80" s="1">
        <v>63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>
        <v>79</v>
      </c>
      <c r="B81" s="1">
        <v>166</v>
      </c>
      <c r="C81" s="1"/>
      <c r="D81" s="1"/>
      <c r="E81" s="1"/>
      <c r="F81" s="1">
        <v>79</v>
      </c>
      <c r="G81" s="1">
        <v>63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>
        <v>80</v>
      </c>
      <c r="B82" s="1">
        <v>166</v>
      </c>
      <c r="C82" s="1"/>
      <c r="D82" s="1"/>
      <c r="E82" s="1"/>
      <c r="F82" s="1">
        <v>80</v>
      </c>
      <c r="G82" s="1">
        <v>63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>
        <v>81</v>
      </c>
      <c r="B83" s="1">
        <v>166</v>
      </c>
      <c r="C83" s="1"/>
      <c r="D83" s="1"/>
      <c r="E83" s="1"/>
      <c r="F83" s="1">
        <v>81</v>
      </c>
      <c r="G83" s="1">
        <v>63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>
        <v>82</v>
      </c>
      <c r="B84" s="1">
        <v>166</v>
      </c>
      <c r="C84" s="1"/>
      <c r="D84" s="1"/>
      <c r="E84" s="1"/>
      <c r="F84" s="1">
        <v>82</v>
      </c>
      <c r="G84" s="1">
        <v>63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>
        <v>83</v>
      </c>
      <c r="B85" s="1">
        <v>166</v>
      </c>
      <c r="C85" s="1"/>
      <c r="D85" s="1"/>
      <c r="E85" s="1"/>
      <c r="F85" s="1">
        <v>83</v>
      </c>
      <c r="G85" s="1">
        <v>63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>
        <v>84</v>
      </c>
      <c r="B86" s="1">
        <v>166</v>
      </c>
      <c r="C86" s="1"/>
      <c r="D86" s="1"/>
      <c r="E86" s="1"/>
      <c r="F86" s="1">
        <v>84</v>
      </c>
      <c r="G86" s="1">
        <v>63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>
        <v>85</v>
      </c>
      <c r="B87" s="1">
        <v>166</v>
      </c>
      <c r="C87" s="1"/>
      <c r="D87" s="1"/>
      <c r="E87" s="1"/>
      <c r="F87" s="1">
        <v>85</v>
      </c>
      <c r="G87" s="1">
        <v>63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>
        <v>86</v>
      </c>
      <c r="B88" s="1">
        <v>166</v>
      </c>
      <c r="C88" s="1"/>
      <c r="D88" s="1"/>
      <c r="E88" s="1"/>
      <c r="F88" s="1">
        <v>86</v>
      </c>
      <c r="G88" s="1">
        <v>63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>
        <v>87</v>
      </c>
      <c r="B89" s="1">
        <v>166</v>
      </c>
      <c r="C89" s="1"/>
      <c r="D89" s="1"/>
      <c r="E89" s="1"/>
      <c r="F89" s="1">
        <v>87</v>
      </c>
      <c r="G89" s="1">
        <v>63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>
        <v>88</v>
      </c>
      <c r="B90" s="1">
        <v>166</v>
      </c>
      <c r="C90" s="1"/>
      <c r="D90" s="1"/>
      <c r="E90" s="1"/>
      <c r="F90" s="1">
        <v>88</v>
      </c>
      <c r="G90" s="1">
        <v>64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>
        <v>89</v>
      </c>
      <c r="B91" s="1">
        <v>167</v>
      </c>
      <c r="C91" s="1"/>
      <c r="D91" s="1"/>
      <c r="E91" s="1"/>
      <c r="F91" s="1">
        <v>89</v>
      </c>
      <c r="G91" s="1">
        <v>64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>
        <v>90</v>
      </c>
      <c r="B92" s="1">
        <v>167</v>
      </c>
      <c r="C92" s="1"/>
      <c r="D92" s="1"/>
      <c r="E92" s="1"/>
      <c r="F92" s="1">
        <v>90</v>
      </c>
      <c r="G92" s="1">
        <v>64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>
        <v>91</v>
      </c>
      <c r="B93" s="1">
        <v>167</v>
      </c>
      <c r="C93" s="1"/>
      <c r="D93" s="1"/>
      <c r="E93" s="1"/>
      <c r="F93" s="1">
        <v>91</v>
      </c>
      <c r="G93" s="1">
        <v>64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>
        <v>92</v>
      </c>
      <c r="B94" s="1">
        <v>167</v>
      </c>
      <c r="C94" s="1"/>
      <c r="D94" s="1"/>
      <c r="E94" s="1"/>
      <c r="F94" s="1">
        <v>92</v>
      </c>
      <c r="G94" s="1">
        <v>64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>
        <v>93</v>
      </c>
      <c r="B95" s="1">
        <v>167</v>
      </c>
      <c r="C95" s="1"/>
      <c r="D95" s="1"/>
      <c r="E95" s="1"/>
      <c r="F95" s="1">
        <v>93</v>
      </c>
      <c r="G95" s="1">
        <v>64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>
        <v>94</v>
      </c>
      <c r="B96" s="1">
        <v>167</v>
      </c>
      <c r="C96" s="1"/>
      <c r="D96" s="1"/>
      <c r="E96" s="1"/>
      <c r="F96" s="1">
        <v>94</v>
      </c>
      <c r="G96" s="1">
        <v>64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>
        <v>95</v>
      </c>
      <c r="B97" s="1">
        <v>167</v>
      </c>
      <c r="C97" s="1"/>
      <c r="D97" s="1"/>
      <c r="E97" s="1"/>
      <c r="F97" s="1">
        <v>95</v>
      </c>
      <c r="G97" s="1">
        <v>64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>
        <v>96</v>
      </c>
      <c r="B98" s="1">
        <v>167</v>
      </c>
      <c r="C98" s="1"/>
      <c r="D98" s="1"/>
      <c r="E98" s="1"/>
      <c r="F98" s="1">
        <v>96</v>
      </c>
      <c r="G98" s="1">
        <v>64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>
        <v>97</v>
      </c>
      <c r="B99" s="1">
        <v>167</v>
      </c>
      <c r="C99" s="1"/>
      <c r="D99" s="1"/>
      <c r="E99" s="1"/>
      <c r="F99" s="1">
        <v>97</v>
      </c>
      <c r="G99" s="1">
        <v>64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>
        <v>98</v>
      </c>
      <c r="B100" s="1">
        <v>167</v>
      </c>
      <c r="C100" s="1"/>
      <c r="D100" s="1"/>
      <c r="E100" s="1"/>
      <c r="F100" s="1">
        <v>98</v>
      </c>
      <c r="G100" s="1">
        <v>64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>
        <v>99</v>
      </c>
      <c r="B101" s="1">
        <v>168</v>
      </c>
      <c r="C101" s="1"/>
      <c r="D101" s="1"/>
      <c r="E101" s="1"/>
      <c r="F101" s="1">
        <v>99</v>
      </c>
      <c r="G101" s="1">
        <v>64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>
        <v>100</v>
      </c>
      <c r="B102" s="1">
        <v>168</v>
      </c>
      <c r="C102" s="1"/>
      <c r="D102" s="1"/>
      <c r="E102" s="1"/>
      <c r="F102" s="1">
        <v>100</v>
      </c>
      <c r="G102" s="1">
        <v>65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>
        <v>101</v>
      </c>
      <c r="B103" s="1">
        <v>168</v>
      </c>
      <c r="C103" s="1"/>
      <c r="D103" s="1"/>
      <c r="E103" s="1"/>
      <c r="F103" s="1">
        <v>101</v>
      </c>
      <c r="G103" s="1">
        <v>65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>
        <v>102</v>
      </c>
      <c r="B104" s="1">
        <v>168</v>
      </c>
      <c r="C104" s="1"/>
      <c r="D104" s="1"/>
      <c r="E104" s="1"/>
      <c r="F104" s="1">
        <v>102</v>
      </c>
      <c r="G104" s="1">
        <v>65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>
        <v>103</v>
      </c>
      <c r="B105" s="1">
        <v>168</v>
      </c>
      <c r="C105" s="1"/>
      <c r="D105" s="1"/>
      <c r="E105" s="1"/>
      <c r="F105" s="1">
        <v>103</v>
      </c>
      <c r="G105" s="1">
        <v>65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>
        <v>104</v>
      </c>
      <c r="B106" s="1">
        <v>168</v>
      </c>
      <c r="C106" s="1"/>
      <c r="D106" s="1"/>
      <c r="E106" s="1"/>
      <c r="F106" s="1">
        <v>104</v>
      </c>
      <c r="G106" s="1">
        <v>65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>
        <v>105</v>
      </c>
      <c r="B107" s="1">
        <v>168</v>
      </c>
      <c r="C107" s="1"/>
      <c r="D107" s="1"/>
      <c r="E107" s="1"/>
      <c r="F107" s="1">
        <v>105</v>
      </c>
      <c r="G107" s="1">
        <v>65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>
        <v>106</v>
      </c>
      <c r="B108" s="1">
        <v>168</v>
      </c>
      <c r="C108" s="1"/>
      <c r="D108" s="1"/>
      <c r="E108" s="1"/>
      <c r="F108" s="1">
        <v>106</v>
      </c>
      <c r="G108" s="1">
        <v>65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>
        <v>107</v>
      </c>
      <c r="B109" s="1">
        <v>168</v>
      </c>
      <c r="C109" s="1"/>
      <c r="D109" s="1"/>
      <c r="E109" s="1"/>
      <c r="F109" s="1">
        <v>107</v>
      </c>
      <c r="G109" s="1">
        <v>65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>
        <v>108</v>
      </c>
      <c r="B110" s="1">
        <v>169</v>
      </c>
      <c r="C110" s="1"/>
      <c r="D110" s="1"/>
      <c r="E110" s="1"/>
      <c r="F110" s="1">
        <v>108</v>
      </c>
      <c r="G110" s="1">
        <v>65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>
        <v>109</v>
      </c>
      <c r="B111" s="1">
        <v>169</v>
      </c>
      <c r="C111" s="1"/>
      <c r="D111" s="1"/>
      <c r="E111" s="1"/>
      <c r="F111" s="1">
        <v>109</v>
      </c>
      <c r="G111" s="1">
        <v>65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>
        <v>110</v>
      </c>
      <c r="B112" s="1">
        <v>169</v>
      </c>
      <c r="C112" s="1"/>
      <c r="D112" s="1"/>
      <c r="E112" s="1"/>
      <c r="F112" s="1">
        <v>110</v>
      </c>
      <c r="G112" s="1">
        <v>65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>
        <v>111</v>
      </c>
      <c r="B113" s="1">
        <v>169</v>
      </c>
      <c r="C113" s="1"/>
      <c r="D113" s="1"/>
      <c r="E113" s="1"/>
      <c r="F113" s="1">
        <v>111</v>
      </c>
      <c r="G113" s="1">
        <v>65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>
        <v>112</v>
      </c>
      <c r="B114" s="1">
        <v>169</v>
      </c>
      <c r="C114" s="1"/>
      <c r="D114" s="1"/>
      <c r="E114" s="1"/>
      <c r="F114" s="1">
        <v>112</v>
      </c>
      <c r="G114" s="1">
        <v>65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>
        <v>113</v>
      </c>
      <c r="B115" s="1">
        <v>169</v>
      </c>
      <c r="C115" s="1"/>
      <c r="D115" s="1"/>
      <c r="E115" s="1"/>
      <c r="F115" s="1">
        <v>113</v>
      </c>
      <c r="G115" s="1">
        <v>66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>
        <v>114</v>
      </c>
      <c r="B116" s="1">
        <v>169</v>
      </c>
      <c r="C116" s="1"/>
      <c r="D116" s="1"/>
      <c r="E116" s="1"/>
      <c r="F116" s="1">
        <v>114</v>
      </c>
      <c r="G116" s="1">
        <v>66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>
        <v>115</v>
      </c>
      <c r="B117" s="1">
        <v>169</v>
      </c>
      <c r="C117" s="1"/>
      <c r="D117" s="1"/>
      <c r="E117" s="1"/>
      <c r="F117" s="1">
        <v>115</v>
      </c>
      <c r="G117" s="1">
        <v>66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>
        <v>116</v>
      </c>
      <c r="B118" s="1">
        <v>169</v>
      </c>
      <c r="C118" s="1"/>
      <c r="D118" s="1"/>
      <c r="E118" s="1"/>
      <c r="F118" s="1">
        <v>116</v>
      </c>
      <c r="G118" s="1">
        <v>66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>
        <v>117</v>
      </c>
      <c r="B119" s="1">
        <v>169</v>
      </c>
      <c r="C119" s="1"/>
      <c r="D119" s="1"/>
      <c r="E119" s="1"/>
      <c r="F119" s="1">
        <v>117</v>
      </c>
      <c r="G119" s="1">
        <v>66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>
        <v>118</v>
      </c>
      <c r="B120" s="1">
        <v>169</v>
      </c>
      <c r="C120" s="1"/>
      <c r="D120" s="1"/>
      <c r="E120" s="1"/>
      <c r="F120" s="1">
        <v>118</v>
      </c>
      <c r="G120" s="1">
        <v>66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>
        <v>119</v>
      </c>
      <c r="B121" s="1">
        <v>169</v>
      </c>
      <c r="C121" s="1"/>
      <c r="D121" s="1"/>
      <c r="E121" s="1"/>
      <c r="F121" s="1">
        <v>119</v>
      </c>
      <c r="G121" s="1">
        <v>66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>
        <v>120</v>
      </c>
      <c r="B122" s="1">
        <v>169</v>
      </c>
      <c r="C122" s="1"/>
      <c r="D122" s="1"/>
      <c r="E122" s="1"/>
      <c r="F122" s="1">
        <v>120</v>
      </c>
      <c r="G122" s="1">
        <v>66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>
        <v>121</v>
      </c>
      <c r="B123" s="1">
        <v>169</v>
      </c>
      <c r="C123" s="1"/>
      <c r="D123" s="1"/>
      <c r="E123" s="1"/>
      <c r="F123" s="1">
        <v>121</v>
      </c>
      <c r="G123" s="1">
        <v>66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>
        <v>122</v>
      </c>
      <c r="B124" s="1">
        <v>169</v>
      </c>
      <c r="C124" s="1"/>
      <c r="D124" s="1"/>
      <c r="E124" s="1"/>
      <c r="F124" s="1">
        <v>122</v>
      </c>
      <c r="G124" s="1">
        <v>66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>
        <v>123</v>
      </c>
      <c r="B125" s="1">
        <v>170</v>
      </c>
      <c r="C125" s="1"/>
      <c r="D125" s="1"/>
      <c r="E125" s="1"/>
      <c r="F125" s="1">
        <v>123</v>
      </c>
      <c r="G125" s="1">
        <v>66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>
        <v>124</v>
      </c>
      <c r="B126" s="1">
        <v>170</v>
      </c>
      <c r="C126" s="1"/>
      <c r="D126" s="1"/>
      <c r="E126" s="1"/>
      <c r="F126" s="1">
        <v>124</v>
      </c>
      <c r="G126" s="1">
        <v>66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1">
        <v>125</v>
      </c>
      <c r="B127" s="1">
        <v>170</v>
      </c>
      <c r="C127" s="1"/>
      <c r="D127" s="1"/>
      <c r="E127" s="1"/>
      <c r="F127" s="1">
        <v>125</v>
      </c>
      <c r="G127" s="1">
        <v>66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1">
        <v>126</v>
      </c>
      <c r="B128" s="1">
        <v>170</v>
      </c>
      <c r="C128" s="1"/>
      <c r="D128" s="1"/>
      <c r="E128" s="1"/>
      <c r="F128" s="1">
        <v>126</v>
      </c>
      <c r="G128" s="1">
        <v>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1">
        <v>127</v>
      </c>
      <c r="B129" s="1">
        <v>170</v>
      </c>
      <c r="C129" s="1"/>
      <c r="D129" s="1"/>
      <c r="E129" s="1"/>
      <c r="F129" s="1">
        <v>127</v>
      </c>
      <c r="G129" s="1">
        <v>66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1">
        <v>128</v>
      </c>
      <c r="B130" s="1">
        <v>170</v>
      </c>
      <c r="C130" s="1"/>
      <c r="D130" s="1"/>
      <c r="E130" s="1"/>
      <c r="F130" s="1">
        <v>128</v>
      </c>
      <c r="G130" s="1">
        <v>66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1">
        <v>129</v>
      </c>
      <c r="B131" s="1">
        <v>170</v>
      </c>
      <c r="C131" s="1"/>
      <c r="D131" s="1"/>
      <c r="E131" s="1"/>
      <c r="F131" s="1">
        <v>129</v>
      </c>
      <c r="G131" s="1">
        <v>66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1">
        <v>130</v>
      </c>
      <c r="B132" s="1">
        <v>170</v>
      </c>
      <c r="C132" s="1"/>
      <c r="D132" s="1"/>
      <c r="E132" s="1"/>
      <c r="F132" s="1">
        <v>130</v>
      </c>
      <c r="G132" s="1">
        <v>66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1">
        <v>131</v>
      </c>
      <c r="B133" s="1">
        <v>170</v>
      </c>
      <c r="C133" s="1"/>
      <c r="D133" s="1"/>
      <c r="E133" s="1"/>
      <c r="F133" s="1">
        <v>131</v>
      </c>
      <c r="G133" s="1">
        <v>66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1">
        <v>132</v>
      </c>
      <c r="B134" s="1">
        <v>170</v>
      </c>
      <c r="C134" s="1"/>
      <c r="D134" s="1"/>
      <c r="E134" s="1"/>
      <c r="F134" s="1">
        <v>132</v>
      </c>
      <c r="G134" s="1">
        <v>67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1">
        <v>133</v>
      </c>
      <c r="B135" s="1">
        <v>170</v>
      </c>
      <c r="C135" s="1"/>
      <c r="D135" s="1"/>
      <c r="E135" s="1"/>
      <c r="F135" s="1">
        <v>133</v>
      </c>
      <c r="G135" s="1">
        <v>67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1">
        <v>134</v>
      </c>
      <c r="B136" s="1">
        <v>170</v>
      </c>
      <c r="C136" s="1"/>
      <c r="D136" s="1"/>
      <c r="E136" s="1"/>
      <c r="F136" s="1">
        <v>134</v>
      </c>
      <c r="G136" s="1">
        <v>67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">
      <c r="A137" s="1">
        <v>135</v>
      </c>
      <c r="B137" s="1">
        <v>170</v>
      </c>
      <c r="C137" s="1"/>
      <c r="D137" s="1"/>
      <c r="E137" s="1"/>
      <c r="F137" s="1">
        <v>135</v>
      </c>
      <c r="G137" s="1">
        <v>67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">
      <c r="A138" s="1">
        <v>136</v>
      </c>
      <c r="B138" s="1">
        <v>170</v>
      </c>
      <c r="C138" s="1"/>
      <c r="D138" s="1"/>
      <c r="E138" s="1"/>
      <c r="F138" s="1">
        <v>136</v>
      </c>
      <c r="G138" s="1">
        <v>67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">
      <c r="A139" s="1">
        <v>137</v>
      </c>
      <c r="B139" s="1">
        <v>171</v>
      </c>
      <c r="C139" s="1"/>
      <c r="D139" s="1"/>
      <c r="E139" s="1"/>
      <c r="F139" s="1">
        <v>137</v>
      </c>
      <c r="G139" s="1">
        <v>67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">
      <c r="A140" s="1">
        <v>138</v>
      </c>
      <c r="B140" s="1">
        <v>171</v>
      </c>
      <c r="C140" s="1"/>
      <c r="D140" s="1"/>
      <c r="E140" s="1"/>
      <c r="F140" s="1">
        <v>138</v>
      </c>
      <c r="G140" s="1">
        <v>67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">
      <c r="A141" s="1">
        <v>139</v>
      </c>
      <c r="B141" s="1">
        <v>171</v>
      </c>
      <c r="C141" s="1"/>
      <c r="D141" s="1"/>
      <c r="E141" s="1"/>
      <c r="F141" s="1">
        <v>139</v>
      </c>
      <c r="G141" s="1">
        <v>67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">
      <c r="A142" s="1">
        <v>140</v>
      </c>
      <c r="B142" s="1">
        <v>171</v>
      </c>
      <c r="C142" s="1"/>
      <c r="D142" s="1"/>
      <c r="E142" s="1"/>
      <c r="F142" s="1">
        <v>140</v>
      </c>
      <c r="G142" s="1">
        <v>67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">
      <c r="A143" s="1">
        <v>141</v>
      </c>
      <c r="B143" s="1">
        <v>171</v>
      </c>
      <c r="C143" s="1"/>
      <c r="D143" s="1"/>
      <c r="E143" s="1"/>
      <c r="F143" s="1">
        <v>141</v>
      </c>
      <c r="G143" s="1">
        <v>67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">
      <c r="A144" s="1">
        <v>142</v>
      </c>
      <c r="B144" s="1">
        <v>171</v>
      </c>
      <c r="C144" s="1"/>
      <c r="D144" s="1"/>
      <c r="E144" s="1"/>
      <c r="F144" s="1">
        <v>142</v>
      </c>
      <c r="G144" s="1">
        <v>67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">
      <c r="A145" s="1">
        <v>143</v>
      </c>
      <c r="B145" s="1">
        <v>171</v>
      </c>
      <c r="C145" s="1"/>
      <c r="D145" s="1"/>
      <c r="E145" s="1"/>
      <c r="F145" s="1">
        <v>143</v>
      </c>
      <c r="G145" s="1">
        <v>67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">
      <c r="A146" s="1">
        <v>144</v>
      </c>
      <c r="B146" s="1">
        <v>171</v>
      </c>
      <c r="C146" s="1"/>
      <c r="D146" s="1"/>
      <c r="E146" s="1"/>
      <c r="F146" s="1">
        <v>144</v>
      </c>
      <c r="G146" s="1">
        <v>67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">
      <c r="A147" s="1">
        <v>145</v>
      </c>
      <c r="B147" s="1">
        <v>171</v>
      </c>
      <c r="C147" s="1"/>
      <c r="D147" s="1"/>
      <c r="E147" s="1"/>
      <c r="F147" s="1">
        <v>145</v>
      </c>
      <c r="G147" s="1">
        <v>67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">
      <c r="A148" s="1">
        <v>146</v>
      </c>
      <c r="B148" s="1">
        <v>171</v>
      </c>
      <c r="C148" s="1"/>
      <c r="D148" s="1"/>
      <c r="E148" s="1"/>
      <c r="F148" s="1">
        <v>146</v>
      </c>
      <c r="G148" s="1">
        <v>67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">
      <c r="A149" s="1">
        <v>147</v>
      </c>
      <c r="B149" s="1">
        <v>171</v>
      </c>
      <c r="C149" s="1"/>
      <c r="D149" s="1"/>
      <c r="E149" s="1"/>
      <c r="F149" s="1">
        <v>147</v>
      </c>
      <c r="G149" s="1">
        <v>67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">
      <c r="A150" s="1">
        <v>148</v>
      </c>
      <c r="B150" s="1">
        <v>171</v>
      </c>
      <c r="C150" s="1"/>
      <c r="D150" s="1"/>
      <c r="E150" s="1"/>
      <c r="F150" s="1">
        <v>148</v>
      </c>
      <c r="G150" s="1">
        <v>68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">
      <c r="A151" s="1">
        <v>149</v>
      </c>
      <c r="B151" s="1">
        <v>171</v>
      </c>
      <c r="C151" s="1"/>
      <c r="D151" s="1"/>
      <c r="E151" s="1"/>
      <c r="F151" s="1">
        <v>149</v>
      </c>
      <c r="G151" s="1">
        <v>68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">
      <c r="A152" s="1">
        <v>150</v>
      </c>
      <c r="B152" s="1">
        <v>171</v>
      </c>
      <c r="C152" s="1"/>
      <c r="D152" s="1"/>
      <c r="E152" s="1"/>
      <c r="F152" s="1">
        <v>150</v>
      </c>
      <c r="G152" s="1">
        <v>68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">
      <c r="A153" s="1">
        <v>151</v>
      </c>
      <c r="B153" s="1">
        <v>171</v>
      </c>
      <c r="C153" s="1"/>
      <c r="D153" s="1"/>
      <c r="E153" s="1"/>
      <c r="F153" s="1">
        <v>151</v>
      </c>
      <c r="G153" s="1">
        <v>68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">
      <c r="A154" s="1">
        <v>152</v>
      </c>
      <c r="B154" s="1">
        <v>172</v>
      </c>
      <c r="C154" s="1"/>
      <c r="D154" s="1"/>
      <c r="E154" s="1"/>
      <c r="F154" s="1">
        <v>152</v>
      </c>
      <c r="G154" s="1">
        <v>68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">
      <c r="A155" s="1">
        <v>153</v>
      </c>
      <c r="B155" s="1">
        <v>172</v>
      </c>
      <c r="C155" s="1"/>
      <c r="D155" s="1"/>
      <c r="E155" s="1"/>
      <c r="F155" s="1">
        <v>153</v>
      </c>
      <c r="G155" s="1">
        <v>68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">
      <c r="A156" s="1">
        <v>154</v>
      </c>
      <c r="B156" s="1">
        <v>172</v>
      </c>
      <c r="C156" s="1"/>
      <c r="D156" s="1"/>
      <c r="E156" s="1"/>
      <c r="F156" s="1">
        <v>154</v>
      </c>
      <c r="G156" s="1">
        <v>69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">
      <c r="A157" s="1">
        <v>155</v>
      </c>
      <c r="B157" s="1">
        <v>172</v>
      </c>
      <c r="C157" s="1"/>
      <c r="D157" s="1"/>
      <c r="E157" s="1"/>
      <c r="F157" s="1">
        <v>155</v>
      </c>
      <c r="G157" s="1">
        <v>69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">
      <c r="A158" s="1">
        <v>156</v>
      </c>
      <c r="B158" s="1">
        <v>172</v>
      </c>
      <c r="C158" s="1"/>
      <c r="D158" s="1"/>
      <c r="E158" s="1"/>
      <c r="F158" s="1">
        <v>156</v>
      </c>
      <c r="G158" s="1">
        <v>69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">
      <c r="A159" s="1">
        <v>157</v>
      </c>
      <c r="B159" s="1">
        <v>172</v>
      </c>
      <c r="C159" s="1"/>
      <c r="D159" s="1"/>
      <c r="E159" s="1"/>
      <c r="F159" s="1">
        <v>157</v>
      </c>
      <c r="G159" s="1">
        <v>69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">
      <c r="A160" s="1">
        <v>158</v>
      </c>
      <c r="B160" s="1">
        <v>172</v>
      </c>
      <c r="C160" s="1"/>
      <c r="D160" s="1"/>
      <c r="E160" s="1"/>
      <c r="F160" s="1">
        <v>158</v>
      </c>
      <c r="G160" s="1">
        <v>69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">
      <c r="A161" s="1">
        <v>159</v>
      </c>
      <c r="B161" s="1">
        <v>172</v>
      </c>
      <c r="C161" s="1"/>
      <c r="D161" s="1"/>
      <c r="E161" s="1"/>
      <c r="F161" s="1">
        <v>159</v>
      </c>
      <c r="G161" s="1">
        <v>69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">
      <c r="A162" s="1">
        <v>160</v>
      </c>
      <c r="B162" s="1">
        <v>172</v>
      </c>
      <c r="C162" s="1"/>
      <c r="D162" s="1"/>
      <c r="E162" s="1"/>
      <c r="F162" s="1">
        <v>160</v>
      </c>
      <c r="G162" s="1">
        <v>69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">
      <c r="A163" s="1">
        <v>161</v>
      </c>
      <c r="B163" s="1">
        <v>172</v>
      </c>
      <c r="C163" s="1"/>
      <c r="D163" s="1"/>
      <c r="E163" s="1"/>
      <c r="F163" s="1">
        <v>161</v>
      </c>
      <c r="G163" s="1">
        <v>69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">
      <c r="A164" s="1">
        <v>162</v>
      </c>
      <c r="B164" s="1">
        <v>172</v>
      </c>
      <c r="C164" s="1"/>
      <c r="D164" s="1"/>
      <c r="E164" s="1"/>
      <c r="F164" s="1">
        <v>162</v>
      </c>
      <c r="G164" s="1">
        <v>70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">
      <c r="A165" s="1">
        <v>163</v>
      </c>
      <c r="B165" s="1">
        <v>172</v>
      </c>
      <c r="C165" s="1"/>
      <c r="D165" s="1"/>
      <c r="E165" s="1"/>
      <c r="F165" s="1">
        <v>163</v>
      </c>
      <c r="G165" s="1">
        <v>70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">
      <c r="A166" s="1">
        <v>164</v>
      </c>
      <c r="B166" s="1">
        <v>173</v>
      </c>
      <c r="C166" s="1"/>
      <c r="D166" s="1"/>
      <c r="E166" s="1"/>
      <c r="F166" s="1">
        <v>164</v>
      </c>
      <c r="G166" s="1">
        <v>70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">
      <c r="A167" s="1">
        <v>165</v>
      </c>
      <c r="B167" s="1">
        <v>173</v>
      </c>
      <c r="C167" s="1"/>
      <c r="D167" s="1"/>
      <c r="E167" s="1"/>
      <c r="F167" s="1">
        <v>165</v>
      </c>
      <c r="G167" s="1">
        <v>70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">
      <c r="A168" s="1">
        <v>166</v>
      </c>
      <c r="B168" s="1">
        <v>173</v>
      </c>
      <c r="C168" s="1"/>
      <c r="D168" s="1"/>
      <c r="E168" s="1"/>
      <c r="F168" s="1">
        <v>166</v>
      </c>
      <c r="G168" s="1">
        <v>71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">
      <c r="A169" s="1">
        <v>167</v>
      </c>
      <c r="B169" s="1">
        <v>173</v>
      </c>
      <c r="C169" s="1"/>
      <c r="D169" s="1"/>
      <c r="E169" s="1"/>
      <c r="F169" s="1">
        <v>167</v>
      </c>
      <c r="G169" s="1">
        <v>71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">
      <c r="A170" s="1">
        <v>168</v>
      </c>
      <c r="B170" s="1">
        <v>173</v>
      </c>
      <c r="C170" s="1"/>
      <c r="D170" s="1"/>
      <c r="E170" s="1"/>
      <c r="F170" s="1">
        <v>168</v>
      </c>
      <c r="G170" s="1">
        <v>71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">
      <c r="A171" s="1">
        <v>169</v>
      </c>
      <c r="B171" s="1">
        <v>173</v>
      </c>
      <c r="C171" s="1"/>
      <c r="D171" s="1"/>
      <c r="E171" s="1"/>
      <c r="F171" s="1">
        <v>169</v>
      </c>
      <c r="G171" s="1">
        <v>71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">
      <c r="A172" s="1">
        <v>170</v>
      </c>
      <c r="B172" s="1">
        <v>173</v>
      </c>
      <c r="C172" s="1"/>
      <c r="D172" s="1"/>
      <c r="E172" s="1"/>
      <c r="F172" s="1">
        <v>170</v>
      </c>
      <c r="G172" s="1">
        <v>71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">
      <c r="A173" s="1">
        <v>171</v>
      </c>
      <c r="B173" s="1">
        <v>173</v>
      </c>
      <c r="C173" s="1"/>
      <c r="D173" s="1"/>
      <c r="E173" s="1"/>
      <c r="F173" s="1">
        <v>171</v>
      </c>
      <c r="G173" s="1">
        <v>72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">
      <c r="A174" s="1">
        <v>172</v>
      </c>
      <c r="B174" s="1">
        <v>173</v>
      </c>
      <c r="C174" s="1"/>
      <c r="D174" s="1"/>
      <c r="E174" s="1"/>
      <c r="F174" s="1">
        <v>172</v>
      </c>
      <c r="G174" s="1">
        <v>72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">
      <c r="A175" s="1">
        <v>173</v>
      </c>
      <c r="B175" s="1">
        <v>174</v>
      </c>
      <c r="C175" s="1"/>
      <c r="D175" s="1"/>
      <c r="E175" s="1"/>
      <c r="F175" s="1">
        <v>173</v>
      </c>
      <c r="G175" s="1">
        <v>72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">
      <c r="A176" s="1">
        <v>174</v>
      </c>
      <c r="B176" s="1">
        <v>174</v>
      </c>
      <c r="C176" s="1"/>
      <c r="D176" s="1"/>
      <c r="E176" s="1"/>
      <c r="F176" s="1">
        <v>174</v>
      </c>
      <c r="G176" s="1">
        <v>72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">
      <c r="A177" s="1">
        <v>175</v>
      </c>
      <c r="B177" s="1">
        <v>174</v>
      </c>
      <c r="C177" s="1"/>
      <c r="D177" s="1"/>
      <c r="E177" s="1"/>
      <c r="F177" s="1">
        <v>175</v>
      </c>
      <c r="G177" s="1">
        <v>73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">
      <c r="A178" s="1">
        <v>176</v>
      </c>
      <c r="B178" s="1">
        <v>174</v>
      </c>
      <c r="C178" s="1"/>
      <c r="D178" s="1"/>
      <c r="E178" s="1"/>
      <c r="F178" s="1">
        <v>176</v>
      </c>
      <c r="G178" s="1">
        <v>73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">
      <c r="A179" s="1">
        <v>177</v>
      </c>
      <c r="B179" s="1">
        <v>174</v>
      </c>
      <c r="C179" s="1"/>
      <c r="D179" s="1"/>
      <c r="E179" s="1"/>
      <c r="F179" s="1">
        <v>177</v>
      </c>
      <c r="G179" s="1">
        <v>73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">
      <c r="A180" s="1">
        <v>178</v>
      </c>
      <c r="B180" s="1">
        <v>175</v>
      </c>
      <c r="C180" s="1"/>
      <c r="D180" s="1"/>
      <c r="E180" s="1"/>
      <c r="F180" s="1">
        <v>178</v>
      </c>
      <c r="G180" s="1">
        <v>74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">
      <c r="A181" s="1">
        <v>179</v>
      </c>
      <c r="B181" s="1">
        <v>175</v>
      </c>
      <c r="C181" s="1"/>
      <c r="D181" s="1"/>
      <c r="E181" s="1"/>
      <c r="F181" s="1">
        <v>179</v>
      </c>
      <c r="G181" s="1">
        <v>74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">
      <c r="A182" s="1">
        <v>180</v>
      </c>
      <c r="B182" s="1">
        <v>175</v>
      </c>
      <c r="C182" s="1"/>
      <c r="D182" s="1"/>
      <c r="E182" s="1"/>
      <c r="F182" s="1">
        <v>180</v>
      </c>
      <c r="G182" s="1">
        <v>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">
      <c r="A183" s="1">
        <v>181</v>
      </c>
      <c r="B183" s="1">
        <v>175</v>
      </c>
      <c r="C183" s="1"/>
      <c r="D183" s="1"/>
      <c r="E183" s="1"/>
      <c r="F183" s="1">
        <v>181</v>
      </c>
      <c r="G183" s="1">
        <v>75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">
      <c r="A184" s="1">
        <v>182</v>
      </c>
      <c r="B184" s="1">
        <v>175</v>
      </c>
      <c r="C184" s="1"/>
      <c r="D184" s="1"/>
      <c r="E184" s="1"/>
      <c r="F184" s="1">
        <v>182</v>
      </c>
      <c r="G184" s="1">
        <v>75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">
      <c r="A185" s="1">
        <v>183</v>
      </c>
      <c r="B185" s="1">
        <v>176</v>
      </c>
      <c r="C185" s="1"/>
      <c r="D185" s="1"/>
      <c r="E185" s="1"/>
      <c r="F185" s="1">
        <v>183</v>
      </c>
      <c r="G185" s="1">
        <v>75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">
      <c r="A186" s="1">
        <v>184</v>
      </c>
      <c r="B186" s="1">
        <v>176</v>
      </c>
      <c r="C186" s="1"/>
      <c r="D186" s="1"/>
      <c r="E186" s="1"/>
      <c r="F186" s="1">
        <v>184</v>
      </c>
      <c r="G186" s="1">
        <v>75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">
      <c r="A187" s="1">
        <v>185</v>
      </c>
      <c r="B187" s="1">
        <v>176</v>
      </c>
      <c r="C187" s="1"/>
      <c r="D187" s="1"/>
      <c r="E187" s="1"/>
      <c r="F187" s="1">
        <v>185</v>
      </c>
      <c r="G187" s="1">
        <v>75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">
      <c r="A188" s="1">
        <v>186</v>
      </c>
      <c r="B188" s="1">
        <v>176</v>
      </c>
      <c r="C188" s="1"/>
      <c r="D188" s="1"/>
      <c r="E188" s="1"/>
      <c r="F188" s="1">
        <v>186</v>
      </c>
      <c r="G188" s="1">
        <v>75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">
      <c r="A189" s="1">
        <v>187</v>
      </c>
      <c r="B189" s="1">
        <v>176</v>
      </c>
      <c r="C189" s="1"/>
      <c r="D189" s="1"/>
      <c r="E189" s="1"/>
      <c r="F189" s="1">
        <v>187</v>
      </c>
      <c r="G189" s="1">
        <v>75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">
      <c r="A190" s="1">
        <v>188</v>
      </c>
      <c r="B190" s="1">
        <v>177</v>
      </c>
      <c r="C190" s="1"/>
      <c r="D190" s="1"/>
      <c r="E190" s="1"/>
      <c r="F190" s="1">
        <v>188</v>
      </c>
      <c r="G190" s="1">
        <v>76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">
      <c r="A191" s="1">
        <v>189</v>
      </c>
      <c r="B191" s="1">
        <v>178</v>
      </c>
      <c r="C191" s="1"/>
      <c r="D191" s="1"/>
      <c r="E191" s="1"/>
      <c r="F191" s="1">
        <v>189</v>
      </c>
      <c r="G191" s="1">
        <v>76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">
      <c r="A192" s="1">
        <v>190</v>
      </c>
      <c r="B192" s="1">
        <v>178</v>
      </c>
      <c r="C192" s="1"/>
      <c r="D192" s="1"/>
      <c r="E192" s="1"/>
      <c r="F192" s="1">
        <v>190</v>
      </c>
      <c r="G192" s="1">
        <v>77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">
      <c r="A193" s="1">
        <v>191</v>
      </c>
      <c r="B193" s="1">
        <v>178</v>
      </c>
      <c r="C193" s="1"/>
      <c r="D193" s="1"/>
      <c r="E193" s="1"/>
      <c r="F193" s="1">
        <v>191</v>
      </c>
      <c r="G193" s="1">
        <v>77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">
      <c r="A194" s="1">
        <v>192</v>
      </c>
      <c r="B194" s="1">
        <v>178</v>
      </c>
      <c r="C194" s="1"/>
      <c r="D194" s="1"/>
      <c r="E194" s="1"/>
      <c r="F194" s="1">
        <v>192</v>
      </c>
      <c r="G194" s="1">
        <v>77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">
      <c r="A195" s="1">
        <v>193</v>
      </c>
      <c r="B195" s="1">
        <v>178</v>
      </c>
      <c r="C195" s="1"/>
      <c r="D195" s="1"/>
      <c r="E195" s="1"/>
      <c r="F195" s="1">
        <v>193</v>
      </c>
      <c r="G195" s="1">
        <v>78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">
      <c r="A196" s="1">
        <v>194</v>
      </c>
      <c r="B196" s="1">
        <v>179</v>
      </c>
      <c r="C196" s="1"/>
      <c r="D196" s="1"/>
      <c r="E196" s="1"/>
      <c r="F196" s="1">
        <v>194</v>
      </c>
      <c r="G196" s="1">
        <v>78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">
      <c r="A197" s="1">
        <v>195</v>
      </c>
      <c r="B197" s="1">
        <v>179</v>
      </c>
      <c r="C197" s="1"/>
      <c r="D197" s="1"/>
      <c r="E197" s="1"/>
      <c r="F197" s="1">
        <v>195</v>
      </c>
      <c r="G197" s="1">
        <v>78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">
      <c r="A198" s="1">
        <v>196</v>
      </c>
      <c r="B198" s="1">
        <v>179</v>
      </c>
      <c r="C198" s="1"/>
      <c r="D198" s="1"/>
      <c r="E198" s="1"/>
      <c r="F198" s="1">
        <v>196</v>
      </c>
      <c r="G198" s="1">
        <v>78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">
      <c r="A199" s="1">
        <v>197</v>
      </c>
      <c r="B199" s="1">
        <v>180</v>
      </c>
      <c r="C199" s="1"/>
      <c r="D199" s="1"/>
      <c r="E199" s="1"/>
      <c r="F199" s="1">
        <v>197</v>
      </c>
      <c r="G199" s="1">
        <v>80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">
      <c r="A200" s="1">
        <v>198</v>
      </c>
      <c r="B200" s="1">
        <v>181</v>
      </c>
      <c r="C200" s="1"/>
      <c r="D200" s="1"/>
      <c r="E200" s="1"/>
      <c r="F200" s="1">
        <v>198</v>
      </c>
      <c r="G200" s="1">
        <v>80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">
      <c r="A201" s="1">
        <v>199</v>
      </c>
      <c r="B201" s="1">
        <v>181</v>
      </c>
      <c r="C201" s="1"/>
      <c r="D201" s="1"/>
      <c r="E201" s="1"/>
      <c r="F201" s="1">
        <v>199</v>
      </c>
      <c r="G201" s="1">
        <v>80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">
      <c r="A202" s="1">
        <v>200</v>
      </c>
      <c r="B202" s="1">
        <v>183</v>
      </c>
      <c r="C202" s="1"/>
      <c r="D202" s="1"/>
      <c r="E202" s="1"/>
      <c r="F202" s="1">
        <v>200</v>
      </c>
      <c r="G202" s="1">
        <v>81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</sheetData>
  <mergeCells count="2">
    <mergeCell ref="A1:B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53D1-9AEA-4A5F-99E0-E3BCF2A91685}">
  <dimension ref="A1:AA27"/>
  <sheetViews>
    <sheetView zoomScale="70" workbookViewId="0">
      <selection activeCell="P21" sqref="P21"/>
    </sheetView>
  </sheetViews>
  <sheetFormatPr defaultRowHeight="14.4" x14ac:dyDescent="0.3"/>
  <cols>
    <col min="1" max="2" width="17.5546875" bestFit="1" customWidth="1"/>
  </cols>
  <sheetData>
    <row r="1" spans="1:27" x14ac:dyDescent="0.3">
      <c r="A1" s="32" t="s">
        <v>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</row>
    <row r="2" spans="1:27" ht="15" thickBot="1" x14ac:dyDescent="0.35">
      <c r="A2" s="33">
        <v>10</v>
      </c>
      <c r="C2" s="165" t="s">
        <v>56</v>
      </c>
      <c r="D2" s="165"/>
      <c r="E2" s="165"/>
      <c r="F2" s="165"/>
      <c r="G2" s="165"/>
      <c r="H2" s="165"/>
      <c r="I2" s="165"/>
      <c r="J2" s="165"/>
      <c r="K2" s="1"/>
      <c r="L2" s="1"/>
      <c r="M2" s="1"/>
      <c r="N2" s="4"/>
      <c r="O2" s="1"/>
      <c r="P2" s="1"/>
      <c r="Q2" s="1"/>
    </row>
    <row r="3" spans="1:27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</row>
    <row r="4" spans="1:27" x14ac:dyDescent="0.3">
      <c r="A4" s="1"/>
      <c r="B4" s="1"/>
      <c r="C4" s="2"/>
      <c r="G4" s="1"/>
      <c r="H4" s="1"/>
      <c r="I4" s="1"/>
      <c r="J4" s="1"/>
      <c r="K4" s="1"/>
      <c r="L4" s="1"/>
      <c r="M4" s="1"/>
      <c r="N4" s="4"/>
      <c r="O4" s="1"/>
      <c r="P4" s="1"/>
      <c r="Q4" s="1"/>
    </row>
    <row r="5" spans="1:27" x14ac:dyDescent="0.3">
      <c r="A5" s="1"/>
      <c r="B5" s="1"/>
      <c r="C5" s="1"/>
      <c r="G5" s="1"/>
      <c r="H5" s="1"/>
      <c r="I5" s="1"/>
      <c r="J5" s="1"/>
      <c r="K5" s="1"/>
      <c r="L5" s="1"/>
      <c r="M5" s="1"/>
      <c r="N5" s="4"/>
      <c r="O5" s="1"/>
      <c r="P5" s="1"/>
      <c r="Q5" s="1"/>
    </row>
    <row r="6" spans="1:27" x14ac:dyDescent="0.3">
      <c r="A6" s="1"/>
      <c r="B6" s="1"/>
      <c r="C6" s="1"/>
      <c r="D6" s="1"/>
      <c r="E6" s="1"/>
      <c r="F6" s="1"/>
      <c r="G6" s="1" t="s">
        <v>7</v>
      </c>
      <c r="H6" s="1"/>
      <c r="I6" s="1"/>
      <c r="J6" s="1"/>
      <c r="K6" s="1"/>
      <c r="L6" s="1"/>
      <c r="M6" s="1"/>
      <c r="N6" s="4"/>
      <c r="O6" s="1"/>
      <c r="P6" s="1"/>
      <c r="Q6" s="1"/>
      <c r="U6" s="2" t="s">
        <v>8</v>
      </c>
      <c r="V6" s="2"/>
      <c r="W6" s="2"/>
      <c r="X6" s="2"/>
    </row>
    <row r="7" spans="1:27" x14ac:dyDescent="0.3">
      <c r="A7" s="1"/>
      <c r="B7" s="1"/>
      <c r="C7" s="34" t="s">
        <v>6</v>
      </c>
      <c r="D7" s="34">
        <f>_xlfn.CEILING.MATH((№1!B202 - №1!B3)/A2,0.01)</f>
        <v>2.8000000000000003</v>
      </c>
      <c r="L7" s="1"/>
      <c r="M7" s="1"/>
      <c r="N7" s="4"/>
      <c r="O7" s="1"/>
      <c r="P7" s="1"/>
      <c r="Q7" s="1"/>
      <c r="S7" s="34" t="s">
        <v>6</v>
      </c>
      <c r="T7" s="34">
        <f>_xlfn.CEILING.MATH((№1!G202 - №1!G3)/A2,0.01)</f>
        <v>3.1</v>
      </c>
    </row>
    <row r="8" spans="1:27" ht="15" thickBot="1" x14ac:dyDescent="0.35">
      <c r="A8" s="31" t="s">
        <v>60</v>
      </c>
      <c r="B8" s="1"/>
      <c r="F8" s="1" t="s">
        <v>54</v>
      </c>
      <c r="G8" s="1" t="s">
        <v>55</v>
      </c>
      <c r="H8" s="1" t="s">
        <v>58</v>
      </c>
      <c r="N8" s="4"/>
      <c r="O8" s="31" t="s">
        <v>61</v>
      </c>
      <c r="P8" s="1"/>
      <c r="Q8" s="1"/>
      <c r="V8" s="1" t="s">
        <v>54</v>
      </c>
      <c r="W8" s="1" t="s">
        <v>55</v>
      </c>
      <c r="X8" s="1" t="s">
        <v>58</v>
      </c>
    </row>
    <row r="9" spans="1:27" x14ac:dyDescent="0.3">
      <c r="C9" s="3" t="s">
        <v>0</v>
      </c>
      <c r="D9" s="3" t="s">
        <v>20</v>
      </c>
      <c r="E9" s="3" t="s">
        <v>21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17</v>
      </c>
      <c r="K9" s="3" t="s">
        <v>19</v>
      </c>
      <c r="N9" s="4"/>
      <c r="O9" s="1"/>
      <c r="S9" s="36" t="s">
        <v>0</v>
      </c>
      <c r="T9" s="37" t="s">
        <v>20</v>
      </c>
      <c r="U9" s="37" t="s">
        <v>21</v>
      </c>
      <c r="V9" s="37" t="s">
        <v>9</v>
      </c>
      <c r="W9" s="37" t="s">
        <v>10</v>
      </c>
      <c r="X9" s="37" t="s">
        <v>11</v>
      </c>
      <c r="Y9" s="37" t="s">
        <v>12</v>
      </c>
      <c r="Z9" s="37" t="s">
        <v>59</v>
      </c>
      <c r="AA9" s="38" t="s">
        <v>19</v>
      </c>
    </row>
    <row r="10" spans="1:27" x14ac:dyDescent="0.3">
      <c r="A10" s="1"/>
      <c r="B10" s="1"/>
      <c r="C10" s="3">
        <v>1</v>
      </c>
      <c r="D10" s="134">
        <f>№1!B3</f>
        <v>155</v>
      </c>
      <c r="E10" s="134">
        <f t="shared" ref="E10:E19" si="0">D10+$D$7</f>
        <v>157.80000000000001</v>
      </c>
      <c r="F10" s="3" cm="1">
        <f t="array" ref="F10:F19">FREQUENCY(_xlfn.ANCHORARRAY(№1!B3),E10:E18)</f>
        <v>8</v>
      </c>
      <c r="G10" s="3">
        <f>F10/Данные!$U$2</f>
        <v>0.04</v>
      </c>
      <c r="H10" s="3">
        <f>(D10+E10)/2</f>
        <v>156.4</v>
      </c>
      <c r="I10" s="3">
        <f>F10*H10</f>
        <v>1251.2</v>
      </c>
      <c r="J10" s="3">
        <f>H10*I10</f>
        <v>195687.68000000002</v>
      </c>
      <c r="K10" s="3">
        <f>G10</f>
        <v>0.04</v>
      </c>
      <c r="N10" s="4"/>
      <c r="O10" s="1"/>
      <c r="P10" s="1"/>
      <c r="Q10" s="1"/>
      <c r="S10" s="39">
        <v>1</v>
      </c>
      <c r="T10" s="134">
        <f>№1!G3</f>
        <v>50</v>
      </c>
      <c r="U10" s="134">
        <f t="shared" ref="U10:U19" si="1">T10+$T$7</f>
        <v>53.1</v>
      </c>
      <c r="V10" s="35" cm="1">
        <f t="array" ref="V10:V19">FREQUENCY(_xlfn.ANCHORARRAY(№1!G3),№2!U10:U18)</f>
        <v>8</v>
      </c>
      <c r="W10" s="35">
        <f>V10/Данные!$U$2</f>
        <v>0.04</v>
      </c>
      <c r="X10" s="35">
        <f>(T10+U10)/2</f>
        <v>51.55</v>
      </c>
      <c r="Y10" s="35">
        <f>X10*V10</f>
        <v>412.4</v>
      </c>
      <c r="Z10" s="35">
        <f>Y10*X10</f>
        <v>21259.219999999998</v>
      </c>
      <c r="AA10" s="40">
        <f>W10</f>
        <v>0.04</v>
      </c>
    </row>
    <row r="11" spans="1:27" x14ac:dyDescent="0.3">
      <c r="A11" s="1"/>
      <c r="B11" s="1"/>
      <c r="C11" s="3">
        <v>2</v>
      </c>
      <c r="D11" s="134">
        <f>E10</f>
        <v>157.80000000000001</v>
      </c>
      <c r="E11" s="134">
        <f t="shared" si="0"/>
        <v>160.60000000000002</v>
      </c>
      <c r="F11" s="3">
        <v>10</v>
      </c>
      <c r="G11" s="3">
        <f>F11/Данные!$U$2</f>
        <v>0.05</v>
      </c>
      <c r="H11" s="3">
        <f t="shared" ref="H11:H19" si="2">(D11+E11)/2</f>
        <v>159.20000000000002</v>
      </c>
      <c r="I11" s="3">
        <f t="shared" ref="I11:I19" si="3">F11*H11</f>
        <v>1592.0000000000002</v>
      </c>
      <c r="J11" s="3">
        <f t="shared" ref="J11:J19" si="4">H11*I11</f>
        <v>253446.40000000005</v>
      </c>
      <c r="K11" s="3">
        <f>SUM($G$10:G11)</f>
        <v>0.09</v>
      </c>
      <c r="N11" s="4"/>
      <c r="O11" s="1"/>
      <c r="P11" s="1"/>
      <c r="Q11" s="1"/>
      <c r="S11" s="39">
        <v>2</v>
      </c>
      <c r="T11" s="134">
        <f>U10</f>
        <v>53.1</v>
      </c>
      <c r="U11" s="134">
        <f t="shared" si="1"/>
        <v>56.2</v>
      </c>
      <c r="V11" s="35">
        <v>17</v>
      </c>
      <c r="W11" s="35">
        <f>V11/Данные!$U$2</f>
        <v>8.5000000000000006E-2</v>
      </c>
      <c r="X11" s="35">
        <f t="shared" ref="X11:X19" si="5">(T11+U11)/2</f>
        <v>54.650000000000006</v>
      </c>
      <c r="Y11" s="35">
        <f t="shared" ref="Y11:Y19" si="6">X11*V11</f>
        <v>929.05000000000007</v>
      </c>
      <c r="Z11" s="35">
        <f t="shared" ref="Z11:Z19" si="7">Y11*X11</f>
        <v>50772.582500000011</v>
      </c>
      <c r="AA11" s="40">
        <f>SUM($W$10:W11)</f>
        <v>0.125</v>
      </c>
    </row>
    <row r="12" spans="1:27" x14ac:dyDescent="0.3">
      <c r="A12" s="1"/>
      <c r="B12" s="1"/>
      <c r="C12" s="3">
        <v>3</v>
      </c>
      <c r="D12" s="134">
        <f t="shared" ref="D12:D19" si="8">E11</f>
        <v>160.60000000000002</v>
      </c>
      <c r="E12" s="134">
        <f t="shared" si="0"/>
        <v>163.40000000000003</v>
      </c>
      <c r="F12" s="3">
        <v>29</v>
      </c>
      <c r="G12" s="3">
        <f>F12/Данные!$U$2</f>
        <v>0.14499999999999999</v>
      </c>
      <c r="H12" s="3">
        <f t="shared" si="2"/>
        <v>162.00000000000003</v>
      </c>
      <c r="I12" s="3">
        <f t="shared" si="3"/>
        <v>4698.0000000000009</v>
      </c>
      <c r="J12" s="3">
        <f t="shared" si="4"/>
        <v>761076.00000000023</v>
      </c>
      <c r="K12" s="3">
        <f>SUM($G$10:G12)</f>
        <v>0.23499999999999999</v>
      </c>
      <c r="N12" s="4"/>
      <c r="O12" s="1"/>
      <c r="P12" s="1"/>
      <c r="Q12" s="1"/>
      <c r="S12" s="39">
        <v>3</v>
      </c>
      <c r="T12" s="134">
        <f t="shared" ref="T12:T19" si="9">U11</f>
        <v>56.2</v>
      </c>
      <c r="U12" s="134">
        <f t="shared" si="1"/>
        <v>59.300000000000004</v>
      </c>
      <c r="V12" s="35">
        <v>17</v>
      </c>
      <c r="W12" s="35">
        <f>V12/Данные!$U$2</f>
        <v>8.5000000000000006E-2</v>
      </c>
      <c r="X12" s="35">
        <f t="shared" si="5"/>
        <v>57.75</v>
      </c>
      <c r="Y12" s="35">
        <f t="shared" si="6"/>
        <v>981.75</v>
      </c>
      <c r="Z12" s="35">
        <f t="shared" si="7"/>
        <v>56696.0625</v>
      </c>
      <c r="AA12" s="40">
        <f>SUM($W$10:W12)</f>
        <v>0.21000000000000002</v>
      </c>
    </row>
    <row r="13" spans="1:27" x14ac:dyDescent="0.3">
      <c r="A13" s="1"/>
      <c r="B13" s="1"/>
      <c r="C13" s="3">
        <v>4</v>
      </c>
      <c r="D13" s="134">
        <f t="shared" si="8"/>
        <v>163.40000000000003</v>
      </c>
      <c r="E13" s="134">
        <f t="shared" si="0"/>
        <v>166.20000000000005</v>
      </c>
      <c r="F13" s="3">
        <v>41</v>
      </c>
      <c r="G13" s="3">
        <f>F13/Данные!$U$2</f>
        <v>0.20499999999999999</v>
      </c>
      <c r="H13" s="3">
        <f t="shared" si="2"/>
        <v>164.80000000000004</v>
      </c>
      <c r="I13" s="3">
        <f t="shared" si="3"/>
        <v>6756.800000000002</v>
      </c>
      <c r="J13" s="3">
        <f t="shared" si="4"/>
        <v>1113520.6400000006</v>
      </c>
      <c r="K13" s="3">
        <f>SUM($G$10:G13)</f>
        <v>0.43999999999999995</v>
      </c>
      <c r="N13" s="4"/>
      <c r="O13" s="1"/>
      <c r="P13" s="1"/>
      <c r="Q13" s="1"/>
      <c r="S13" s="39">
        <v>4</v>
      </c>
      <c r="T13" s="134">
        <f t="shared" si="9"/>
        <v>59.300000000000004</v>
      </c>
      <c r="U13" s="134">
        <f t="shared" si="1"/>
        <v>62.400000000000006</v>
      </c>
      <c r="V13" s="35">
        <v>29</v>
      </c>
      <c r="W13" s="35">
        <f>V13/Данные!$U$2</f>
        <v>0.14499999999999999</v>
      </c>
      <c r="X13" s="35">
        <f t="shared" si="5"/>
        <v>60.850000000000009</v>
      </c>
      <c r="Y13" s="35">
        <f t="shared" si="6"/>
        <v>1764.6500000000003</v>
      </c>
      <c r="Z13" s="35">
        <f t="shared" si="7"/>
        <v>107378.95250000003</v>
      </c>
      <c r="AA13" s="40">
        <f>SUM($W$10:W13)</f>
        <v>0.35499999999999998</v>
      </c>
    </row>
    <row r="14" spans="1:27" x14ac:dyDescent="0.3">
      <c r="A14" s="1"/>
      <c r="B14" s="1"/>
      <c r="C14" s="3">
        <v>5</v>
      </c>
      <c r="D14" s="134">
        <f t="shared" si="8"/>
        <v>166.20000000000005</v>
      </c>
      <c r="E14" s="134">
        <f t="shared" si="0"/>
        <v>169.00000000000006</v>
      </c>
      <c r="F14" s="3">
        <v>34</v>
      </c>
      <c r="G14" s="3">
        <f>F14/Данные!$U$2</f>
        <v>0.17</v>
      </c>
      <c r="H14" s="3">
        <f t="shared" si="2"/>
        <v>167.60000000000005</v>
      </c>
      <c r="I14" s="3">
        <f t="shared" si="3"/>
        <v>5698.4000000000015</v>
      </c>
      <c r="J14" s="3">
        <f t="shared" si="4"/>
        <v>955051.84000000055</v>
      </c>
      <c r="K14" s="3">
        <f>SUM($G$10:G14)</f>
        <v>0.61</v>
      </c>
      <c r="N14" s="4"/>
      <c r="O14" s="1"/>
      <c r="P14" s="1"/>
      <c r="Q14" s="1"/>
      <c r="S14" s="39">
        <v>5</v>
      </c>
      <c r="T14" s="134">
        <f t="shared" si="9"/>
        <v>62.400000000000006</v>
      </c>
      <c r="U14" s="134">
        <f t="shared" si="1"/>
        <v>65.5</v>
      </c>
      <c r="V14" s="35">
        <v>41</v>
      </c>
      <c r="W14" s="35">
        <f>V14/Данные!$U$2</f>
        <v>0.20499999999999999</v>
      </c>
      <c r="X14" s="35">
        <f t="shared" si="5"/>
        <v>63.95</v>
      </c>
      <c r="Y14" s="35">
        <f t="shared" si="6"/>
        <v>2621.9500000000003</v>
      </c>
      <c r="Z14" s="35">
        <f t="shared" si="7"/>
        <v>167673.70250000001</v>
      </c>
      <c r="AA14" s="40">
        <f>SUM($W$10:W14)</f>
        <v>0.55999999999999994</v>
      </c>
    </row>
    <row r="15" spans="1:27" x14ac:dyDescent="0.3">
      <c r="A15" s="1"/>
      <c r="B15" s="1"/>
      <c r="C15" s="3">
        <v>6</v>
      </c>
      <c r="D15" s="134">
        <f t="shared" si="8"/>
        <v>169.00000000000006</v>
      </c>
      <c r="E15" s="134">
        <f t="shared" si="0"/>
        <v>171.80000000000007</v>
      </c>
      <c r="F15" s="3">
        <v>29</v>
      </c>
      <c r="G15" s="3">
        <f>F15/Данные!$U$2</f>
        <v>0.14499999999999999</v>
      </c>
      <c r="H15" s="3">
        <f t="shared" si="2"/>
        <v>170.40000000000006</v>
      </c>
      <c r="I15" s="3">
        <f t="shared" si="3"/>
        <v>4941.6000000000022</v>
      </c>
      <c r="J15" s="3">
        <f t="shared" si="4"/>
        <v>842048.64000000071</v>
      </c>
      <c r="K15" s="3">
        <f>SUM($G$10:G15)</f>
        <v>0.755</v>
      </c>
      <c r="N15" s="4"/>
      <c r="O15" s="1"/>
      <c r="P15" s="1"/>
      <c r="Q15" s="1"/>
      <c r="S15" s="39">
        <v>6</v>
      </c>
      <c r="T15" s="134">
        <f t="shared" si="9"/>
        <v>65.5</v>
      </c>
      <c r="U15" s="134">
        <f t="shared" si="1"/>
        <v>68.599999999999994</v>
      </c>
      <c r="V15" s="35">
        <v>41</v>
      </c>
      <c r="W15" s="35">
        <f>V15/Данные!$U$2</f>
        <v>0.20499999999999999</v>
      </c>
      <c r="X15" s="35">
        <f t="shared" si="5"/>
        <v>67.05</v>
      </c>
      <c r="Y15" s="35">
        <f t="shared" si="6"/>
        <v>2749.0499999999997</v>
      </c>
      <c r="Z15" s="35">
        <f t="shared" si="7"/>
        <v>184323.80249999996</v>
      </c>
      <c r="AA15" s="40">
        <f>SUM($W$10:W15)</f>
        <v>0.7649999999999999</v>
      </c>
    </row>
    <row r="16" spans="1:27" x14ac:dyDescent="0.3">
      <c r="A16" s="1"/>
      <c r="B16" s="1"/>
      <c r="C16" s="3">
        <v>7</v>
      </c>
      <c r="D16" s="134">
        <f t="shared" si="8"/>
        <v>171.80000000000007</v>
      </c>
      <c r="E16" s="134">
        <f t="shared" si="0"/>
        <v>174.60000000000008</v>
      </c>
      <c r="F16" s="3">
        <v>26</v>
      </c>
      <c r="G16" s="3">
        <f>F16/Данные!$U$2</f>
        <v>0.13</v>
      </c>
      <c r="H16" s="3">
        <f t="shared" si="2"/>
        <v>173.20000000000007</v>
      </c>
      <c r="I16" s="3">
        <f t="shared" si="3"/>
        <v>4503.2000000000016</v>
      </c>
      <c r="J16" s="3">
        <f t="shared" si="4"/>
        <v>779954.24000000057</v>
      </c>
      <c r="K16" s="3">
        <f>SUM($G$10:G16)</f>
        <v>0.88500000000000001</v>
      </c>
      <c r="N16" s="4"/>
      <c r="O16" s="1"/>
      <c r="P16" s="1"/>
      <c r="Q16" s="1"/>
      <c r="S16" s="39">
        <v>7</v>
      </c>
      <c r="T16" s="134">
        <f t="shared" si="9"/>
        <v>68.599999999999994</v>
      </c>
      <c r="U16" s="134">
        <f t="shared" si="1"/>
        <v>71.699999999999989</v>
      </c>
      <c r="V16" s="35">
        <v>17</v>
      </c>
      <c r="W16" s="35">
        <f>V16/Данные!$U$2</f>
        <v>8.5000000000000006E-2</v>
      </c>
      <c r="X16" s="35">
        <f t="shared" si="5"/>
        <v>70.149999999999991</v>
      </c>
      <c r="Y16" s="35">
        <f t="shared" si="6"/>
        <v>1192.55</v>
      </c>
      <c r="Z16" s="35">
        <f t="shared" si="7"/>
        <v>83657.382499999992</v>
      </c>
      <c r="AA16" s="40">
        <f>SUM($W$10:W16)</f>
        <v>0.84999999999999987</v>
      </c>
    </row>
    <row r="17" spans="1:27" x14ac:dyDescent="0.3">
      <c r="A17" s="1"/>
      <c r="B17" s="1"/>
      <c r="C17" s="3">
        <v>8</v>
      </c>
      <c r="D17" s="134">
        <f t="shared" si="8"/>
        <v>174.60000000000008</v>
      </c>
      <c r="E17" s="134">
        <f t="shared" si="0"/>
        <v>177.40000000000009</v>
      </c>
      <c r="F17" s="3">
        <v>11</v>
      </c>
      <c r="G17" s="3">
        <f>F17/Данные!$U$2</f>
        <v>5.5E-2</v>
      </c>
      <c r="H17" s="3">
        <f t="shared" si="2"/>
        <v>176.00000000000009</v>
      </c>
      <c r="I17" s="3">
        <f t="shared" si="3"/>
        <v>1936.0000000000009</v>
      </c>
      <c r="J17" s="3">
        <f t="shared" si="4"/>
        <v>340736.00000000035</v>
      </c>
      <c r="K17" s="3">
        <f>SUM($G$10:G17)</f>
        <v>0.94000000000000006</v>
      </c>
      <c r="N17" s="4"/>
      <c r="O17" s="1"/>
      <c r="P17" s="1"/>
      <c r="Q17" s="1"/>
      <c r="S17" s="39">
        <v>8</v>
      </c>
      <c r="T17" s="134">
        <f t="shared" si="9"/>
        <v>71.699999999999989</v>
      </c>
      <c r="U17" s="134">
        <f t="shared" si="1"/>
        <v>74.799999999999983</v>
      </c>
      <c r="V17" s="35">
        <v>9</v>
      </c>
      <c r="W17" s="35">
        <f>V17/Данные!$U$2</f>
        <v>4.4999999999999998E-2</v>
      </c>
      <c r="X17" s="35">
        <f t="shared" si="5"/>
        <v>73.249999999999986</v>
      </c>
      <c r="Y17" s="35">
        <f t="shared" si="6"/>
        <v>659.24999999999989</v>
      </c>
      <c r="Z17" s="35">
        <f t="shared" si="7"/>
        <v>48290.062499999985</v>
      </c>
      <c r="AA17" s="40">
        <f>SUM($W$10:W17)</f>
        <v>0.89499999999999991</v>
      </c>
    </row>
    <row r="18" spans="1:27" x14ac:dyDescent="0.3">
      <c r="A18" s="1"/>
      <c r="B18" s="1"/>
      <c r="C18" s="3">
        <v>9</v>
      </c>
      <c r="D18" s="134">
        <f t="shared" si="8"/>
        <v>177.40000000000009</v>
      </c>
      <c r="E18" s="134">
        <f t="shared" si="0"/>
        <v>180.2000000000001</v>
      </c>
      <c r="F18" s="3">
        <v>9</v>
      </c>
      <c r="G18" s="3">
        <f>F18/Данные!$U$2</f>
        <v>4.4999999999999998E-2</v>
      </c>
      <c r="H18" s="3">
        <f t="shared" si="2"/>
        <v>178.8000000000001</v>
      </c>
      <c r="I18" s="3">
        <f t="shared" si="3"/>
        <v>1609.200000000001</v>
      </c>
      <c r="J18" s="3">
        <f t="shared" si="4"/>
        <v>287724.96000000031</v>
      </c>
      <c r="K18" s="3">
        <f>SUM($G$10:G18)</f>
        <v>0.9850000000000001</v>
      </c>
      <c r="N18" s="4"/>
      <c r="O18" s="1"/>
      <c r="P18" s="1"/>
      <c r="Q18" s="1"/>
      <c r="S18" s="39">
        <v>9</v>
      </c>
      <c r="T18" s="134">
        <f t="shared" si="9"/>
        <v>74.799999999999983</v>
      </c>
      <c r="U18" s="134">
        <f t="shared" si="1"/>
        <v>77.899999999999977</v>
      </c>
      <c r="V18" s="35">
        <v>13</v>
      </c>
      <c r="W18" s="35">
        <f>V18/Данные!$U$2</f>
        <v>6.5000000000000002E-2</v>
      </c>
      <c r="X18" s="35">
        <f t="shared" si="5"/>
        <v>76.34999999999998</v>
      </c>
      <c r="Y18" s="35">
        <f t="shared" si="6"/>
        <v>992.54999999999973</v>
      </c>
      <c r="Z18" s="35">
        <f t="shared" si="7"/>
        <v>75781.192499999961</v>
      </c>
      <c r="AA18" s="40">
        <f>SUM($W$10:W18)</f>
        <v>0.96</v>
      </c>
    </row>
    <row r="19" spans="1:27" ht="15" thickBot="1" x14ac:dyDescent="0.35">
      <c r="A19" s="1"/>
      <c r="B19" s="1"/>
      <c r="C19" s="3">
        <v>10</v>
      </c>
      <c r="D19" s="134">
        <f t="shared" si="8"/>
        <v>180.2000000000001</v>
      </c>
      <c r="E19" s="134">
        <f t="shared" si="0"/>
        <v>183.00000000000011</v>
      </c>
      <c r="F19" s="3">
        <v>3</v>
      </c>
      <c r="G19" s="3">
        <f>F19/Данные!$U$2</f>
        <v>1.4999999999999999E-2</v>
      </c>
      <c r="H19" s="3">
        <f t="shared" si="2"/>
        <v>181.60000000000011</v>
      </c>
      <c r="I19" s="3">
        <f t="shared" si="3"/>
        <v>544.8000000000003</v>
      </c>
      <c r="J19" s="3">
        <f t="shared" si="4"/>
        <v>98935.680000000109</v>
      </c>
      <c r="K19" s="3">
        <f>SUM($G$10:G19)</f>
        <v>1</v>
      </c>
      <c r="N19" s="4"/>
      <c r="O19" s="1"/>
      <c r="P19" s="1"/>
      <c r="Q19" s="1"/>
      <c r="S19" s="41">
        <v>10</v>
      </c>
      <c r="T19" s="135">
        <f t="shared" si="9"/>
        <v>77.899999999999977</v>
      </c>
      <c r="U19" s="135">
        <f t="shared" si="1"/>
        <v>80.999999999999972</v>
      </c>
      <c r="V19" s="28">
        <v>8</v>
      </c>
      <c r="W19" s="28">
        <f>V19/Данные!$U$2</f>
        <v>0.04</v>
      </c>
      <c r="X19" s="28">
        <f t="shared" si="5"/>
        <v>79.449999999999974</v>
      </c>
      <c r="Y19" s="28">
        <f t="shared" si="6"/>
        <v>635.5999999999998</v>
      </c>
      <c r="Z19" s="28">
        <f t="shared" si="7"/>
        <v>50498.419999999969</v>
      </c>
      <c r="AA19" s="43">
        <f>SUM($W$10:W19)</f>
        <v>1</v>
      </c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 t="s">
        <v>135</v>
      </c>
      <c r="K20" s="1"/>
      <c r="N20" s="4"/>
      <c r="O20" s="1"/>
      <c r="P20" s="1"/>
      <c r="Q20" s="1"/>
      <c r="Z20" s="1" t="s">
        <v>135</v>
      </c>
    </row>
    <row r="21" spans="1:27" x14ac:dyDescent="0.3">
      <c r="A21" s="1"/>
      <c r="B21" s="1"/>
      <c r="C21" s="1"/>
      <c r="D21" s="1"/>
      <c r="E21" s="1"/>
      <c r="G21" s="166" t="s">
        <v>57</v>
      </c>
      <c r="H21" s="166"/>
      <c r="I21" s="166"/>
      <c r="J21" s="3">
        <f>SUM(J10:J19)/Данные!U2</f>
        <v>28140.910400000008</v>
      </c>
      <c r="K21" s="1"/>
      <c r="N21" s="4"/>
      <c r="O21" s="1"/>
      <c r="P21" s="1"/>
      <c r="Q21" s="1"/>
      <c r="W21" s="166" t="s">
        <v>57</v>
      </c>
      <c r="X21" s="166"/>
      <c r="Y21" s="166"/>
      <c r="Z21" s="3">
        <f>SUM(Z10:Z19)/Данные!U2</f>
        <v>4231.656899999999</v>
      </c>
    </row>
    <row r="22" spans="1:27" x14ac:dyDescent="0.3">
      <c r="A22" s="1"/>
      <c r="B22" s="1"/>
      <c r="C22" s="1"/>
      <c r="D22" s="1"/>
      <c r="N22" s="4"/>
      <c r="O22" s="1"/>
      <c r="P22" s="1"/>
      <c r="Q22" s="1"/>
    </row>
    <row r="23" spans="1:27" x14ac:dyDescent="0.3">
      <c r="A23" s="1"/>
      <c r="B23" s="1"/>
      <c r="C23" s="1"/>
      <c r="D23" s="1"/>
      <c r="N23" s="4"/>
      <c r="O23" s="1"/>
      <c r="P23" s="1"/>
      <c r="Q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1"/>
      <c r="P24" s="1"/>
      <c r="Q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  <c r="O25" s="1"/>
      <c r="P25" s="1"/>
      <c r="Q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1"/>
      <c r="P26" s="1"/>
      <c r="Q26" s="1"/>
    </row>
    <row r="27" spans="1:27" x14ac:dyDescent="0.3">
      <c r="N27" s="5"/>
    </row>
  </sheetData>
  <mergeCells count="3">
    <mergeCell ref="C2:J2"/>
    <mergeCell ref="G21:I21"/>
    <mergeCell ref="W21:Y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FE5A-B583-4542-9980-DE536D207865}">
  <dimension ref="A1"/>
  <sheetViews>
    <sheetView zoomScale="80" workbookViewId="0">
      <selection activeCell="M21" sqref="M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AD8C-0300-4864-B9A6-19FDE3CE6D34}">
  <dimension ref="B1:D11"/>
  <sheetViews>
    <sheetView zoomScale="121" workbookViewId="0">
      <selection activeCell="I8" sqref="I8"/>
    </sheetView>
  </sheetViews>
  <sheetFormatPr defaultRowHeight="14.4" x14ac:dyDescent="0.3"/>
  <cols>
    <col min="2" max="2" width="12" bestFit="1" customWidth="1"/>
    <col min="3" max="3" width="27.77734375" bestFit="1" customWidth="1"/>
  </cols>
  <sheetData>
    <row r="1" spans="2:4" x14ac:dyDescent="0.3">
      <c r="B1" s="36" t="s">
        <v>1</v>
      </c>
      <c r="C1" s="44"/>
      <c r="D1" s="38" t="s">
        <v>2</v>
      </c>
    </row>
    <row r="2" spans="2:4" x14ac:dyDescent="0.3">
      <c r="B2" s="45"/>
      <c r="C2" s="1"/>
      <c r="D2" s="11"/>
    </row>
    <row r="3" spans="2:4" x14ac:dyDescent="0.3">
      <c r="B3" s="46">
        <f>SUM(№2!I10:I19)/Данные!U2</f>
        <v>167.65600000000006</v>
      </c>
      <c r="C3" s="3" t="s">
        <v>18</v>
      </c>
      <c r="D3" s="12">
        <f>SUM(№2!Y10:Y19)/Данные!U2</f>
        <v>64.694000000000003</v>
      </c>
    </row>
    <row r="4" spans="2:4" x14ac:dyDescent="0.3">
      <c r="B4" s="10"/>
      <c r="C4" s="1"/>
      <c r="D4" s="16"/>
    </row>
    <row r="5" spans="2:4" x14ac:dyDescent="0.3">
      <c r="B5" s="46">
        <f>(№2!J21 - (№4!B3 * №4!B3))</f>
        <v>32.37606399998549</v>
      </c>
      <c r="C5" s="3" t="s">
        <v>13</v>
      </c>
      <c r="D5" s="12">
        <f>(№2!Z21 - (D3 * D3))</f>
        <v>46.343263999998271</v>
      </c>
    </row>
    <row r="6" spans="2:4" x14ac:dyDescent="0.3">
      <c r="B6" s="10"/>
      <c r="C6" s="1"/>
      <c r="D6" s="16"/>
    </row>
    <row r="7" spans="2:4" x14ac:dyDescent="0.3">
      <c r="B7" s="46">
        <f>B5*Данные!U2/(Данные!U2 - 1)</f>
        <v>32.538757788930141</v>
      </c>
      <c r="C7" s="3" t="s">
        <v>14</v>
      </c>
      <c r="D7" s="12">
        <f>D5*Данные!U2/(Данные!U2 - 1)</f>
        <v>46.576144723616352</v>
      </c>
    </row>
    <row r="8" spans="2:4" x14ac:dyDescent="0.3">
      <c r="B8" s="10"/>
      <c r="C8" s="1"/>
      <c r="D8" s="16"/>
    </row>
    <row r="9" spans="2:4" x14ac:dyDescent="0.3">
      <c r="B9" s="46">
        <f>SQRT(B5)</f>
        <v>5.6899968365532061</v>
      </c>
      <c r="C9" s="3" t="s">
        <v>15</v>
      </c>
      <c r="D9" s="12">
        <f>SQRT(D5)</f>
        <v>6.8075887067300318</v>
      </c>
    </row>
    <row r="10" spans="2:4" x14ac:dyDescent="0.3">
      <c r="B10" s="10"/>
      <c r="C10" s="1"/>
      <c r="D10" s="16"/>
    </row>
    <row r="11" spans="2:4" ht="15" thickBot="1" x14ac:dyDescent="0.35">
      <c r="B11" s="47">
        <f>INDEX(№2!G10:'№2'!H19,MATCH(MAX(№2!G10:G19),№2!G10:G19,0),2)</f>
        <v>164.80000000000004</v>
      </c>
      <c r="C11" s="42" t="s">
        <v>16</v>
      </c>
      <c r="D11" s="15">
        <f>INDEX(№2!W10:'№2'!X19,MATCH(MAX(№2!W10:W19),№2!W10:W19,0),2)</f>
        <v>63.95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4EB1-2E4F-4EB5-A2C4-F7C4323BB3AB}">
  <dimension ref="B1:E13"/>
  <sheetViews>
    <sheetView zoomScale="131" workbookViewId="0">
      <selection activeCell="B3" sqref="B3"/>
    </sheetView>
  </sheetViews>
  <sheetFormatPr defaultRowHeight="14.4" x14ac:dyDescent="0.3"/>
  <cols>
    <col min="2" max="2" width="12" bestFit="1" customWidth="1"/>
    <col min="3" max="3" width="27.77734375" bestFit="1" customWidth="1"/>
  </cols>
  <sheetData>
    <row r="1" spans="2:5" x14ac:dyDescent="0.3">
      <c r="B1" s="36" t="s">
        <v>1</v>
      </c>
      <c r="C1" s="37"/>
      <c r="D1" s="38" t="s">
        <v>2</v>
      </c>
      <c r="E1" s="1"/>
    </row>
    <row r="2" spans="2:5" x14ac:dyDescent="0.3">
      <c r="B2" s="10"/>
      <c r="C2" s="1"/>
      <c r="D2" s="16"/>
      <c r="E2" s="1"/>
    </row>
    <row r="3" spans="2:5" x14ac:dyDescent="0.3">
      <c r="B3" s="46">
        <f>AVERAGE(_xlfn.ANCHORARRAY(№1!B3))</f>
        <v>167.77</v>
      </c>
      <c r="C3" s="3" t="s">
        <v>18</v>
      </c>
      <c r="D3" s="12">
        <f>AVERAGE(_xlfn.ANCHORARRAY(№1!G3))</f>
        <v>64.644999999999996</v>
      </c>
      <c r="E3" s="1"/>
    </row>
    <row r="4" spans="2:5" x14ac:dyDescent="0.3">
      <c r="B4" s="10"/>
      <c r="C4" s="1"/>
      <c r="D4" s="16"/>
      <c r="E4" s="1"/>
    </row>
    <row r="5" spans="2:5" x14ac:dyDescent="0.3">
      <c r="B5" s="46">
        <f>_xlfn.VAR.P(_xlfn.ANCHORARRAY(№1!B3))</f>
        <v>31.147099999999991</v>
      </c>
      <c r="C5" s="3" t="s">
        <v>13</v>
      </c>
      <c r="D5" s="12">
        <f>_xlfn.VAR.P(_xlfn.ANCHORARRAY(№1!G3))</f>
        <v>42.328975</v>
      </c>
      <c r="E5" s="1"/>
    </row>
    <row r="6" spans="2:5" x14ac:dyDescent="0.3">
      <c r="B6" s="10"/>
      <c r="C6" s="1"/>
      <c r="D6" s="16"/>
      <c r="E6" s="1"/>
    </row>
    <row r="7" spans="2:5" x14ac:dyDescent="0.3">
      <c r="B7" s="46">
        <f>_xlfn.VAR.S(_xlfn.ANCHORARRAY(№1!B3))</f>
        <v>31.303618090452254</v>
      </c>
      <c r="C7" s="3" t="s">
        <v>14</v>
      </c>
      <c r="D7" s="12">
        <f>_xlfn.VAR.S(_xlfn.ANCHORARRAY(№1!G3))</f>
        <v>42.541683417085636</v>
      </c>
      <c r="E7" s="1"/>
    </row>
    <row r="8" spans="2:5" x14ac:dyDescent="0.3">
      <c r="B8" s="10"/>
      <c r="C8" s="1"/>
      <c r="D8" s="16"/>
      <c r="E8" s="1"/>
    </row>
    <row r="9" spans="2:5" x14ac:dyDescent="0.3">
      <c r="B9" s="46">
        <f>STDEV(_xlfn.ANCHORARRAY(№1!B3))</f>
        <v>5.5949636362046409</v>
      </c>
      <c r="C9" s="3" t="s">
        <v>15</v>
      </c>
      <c r="D9" s="12">
        <f>STDEV(_xlfn.ANCHORARRAY(№1!G3))</f>
        <v>6.5223985938522366</v>
      </c>
      <c r="E9" s="1"/>
    </row>
    <row r="10" spans="2:5" x14ac:dyDescent="0.3">
      <c r="B10" s="10"/>
      <c r="C10" s="1"/>
      <c r="D10" s="16"/>
      <c r="E10" s="1"/>
    </row>
    <row r="11" spans="2:5" ht="15" thickBot="1" x14ac:dyDescent="0.35">
      <c r="B11" s="47">
        <f>MEDIAN(_xlfn.ANCHORARRAY(№1!B3))</f>
        <v>168</v>
      </c>
      <c r="C11" s="42" t="s">
        <v>62</v>
      </c>
      <c r="D11" s="15">
        <f>MEDIAN(_xlfn.ANCHORARRAY(№1!G3))</f>
        <v>65</v>
      </c>
      <c r="E11" s="1"/>
    </row>
    <row r="12" spans="2:5" x14ac:dyDescent="0.3">
      <c r="B12" s="1"/>
      <c r="C12" s="1"/>
      <c r="D12" s="1"/>
      <c r="E12" s="1"/>
    </row>
    <row r="13" spans="2:5" x14ac:dyDescent="0.3">
      <c r="B13" s="1"/>
      <c r="C13" s="1"/>
      <c r="D13" s="1"/>
      <c r="E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CA23-57CE-4A6C-8EEF-132B693ACCB6}">
  <dimension ref="A1:Q49"/>
  <sheetViews>
    <sheetView zoomScale="70" workbookViewId="0">
      <selection activeCell="C11" sqref="C11"/>
    </sheetView>
  </sheetViews>
  <sheetFormatPr defaultRowHeight="14.4" x14ac:dyDescent="0.3"/>
  <cols>
    <col min="1" max="1" width="27.77734375" bestFit="1" customWidth="1"/>
    <col min="2" max="2" width="14.6640625" bestFit="1" customWidth="1"/>
    <col min="3" max="3" width="23.44140625" customWidth="1"/>
    <col min="4" max="4" width="22.6640625" customWidth="1"/>
    <col min="5" max="5" width="29" customWidth="1"/>
    <col min="6" max="6" width="12" bestFit="1" customWidth="1"/>
  </cols>
  <sheetData>
    <row r="1" spans="1:17" x14ac:dyDescent="0.3">
      <c r="A1" s="23" t="s">
        <v>18</v>
      </c>
      <c r="B1" s="18">
        <f>№4!B3</f>
        <v>167.65600000000006</v>
      </c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9" t="s">
        <v>14</v>
      </c>
      <c r="B2" s="20">
        <f>№4!B7</f>
        <v>32.538757788930141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7" t="s">
        <v>15</v>
      </c>
      <c r="B3" s="20">
        <f>№4!B9</f>
        <v>5.6899968365532061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9" t="s">
        <v>23</v>
      </c>
      <c r="B4" s="20">
        <v>0.95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9" t="s">
        <v>33</v>
      </c>
      <c r="B5" s="20">
        <f>Данные!U2</f>
        <v>200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9" t="s">
        <v>24</v>
      </c>
      <c r="B6" s="20">
        <f>SQRT(B5)</f>
        <v>14.142135623730951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thickBot="1" x14ac:dyDescent="0.35">
      <c r="A7" s="21" t="s">
        <v>34</v>
      </c>
      <c r="B7" s="22">
        <f>B5-1</f>
        <v>199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C9" s="75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 thickBot="1" x14ac:dyDescent="0.3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3.4" x14ac:dyDescent="0.45">
      <c r="A12" s="8" t="s">
        <v>25</v>
      </c>
      <c r="B12" s="169" t="s">
        <v>26</v>
      </c>
      <c r="C12" s="169"/>
      <c r="D12" s="9" t="s">
        <v>40</v>
      </c>
      <c r="E12" s="169" t="s">
        <v>29</v>
      </c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0"/>
      <c r="B13" s="24" t="s">
        <v>27</v>
      </c>
      <c r="C13" s="3">
        <v>36</v>
      </c>
      <c r="D13" s="1"/>
      <c r="E13" s="27" t="s">
        <v>30</v>
      </c>
      <c r="F13" s="3">
        <f>_xlfn.NORM.S.INV((B4+1)/2) * C14 / B6</f>
        <v>0.83154229460980655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0"/>
      <c r="B14" s="3" t="s">
        <v>28</v>
      </c>
      <c r="C14" s="3">
        <f>SQRT(36)</f>
        <v>6</v>
      </c>
      <c r="D14" s="1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0"/>
      <c r="B15" s="1"/>
      <c r="C15" s="1"/>
      <c r="D15" s="1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0"/>
      <c r="B16" s="1"/>
      <c r="C16" s="1"/>
      <c r="D16" s="1"/>
      <c r="E16" s="7" t="s">
        <v>20</v>
      </c>
      <c r="F16" s="12">
        <f>B1-F13</f>
        <v>166.82445770539024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 thickBot="1" x14ac:dyDescent="0.35">
      <c r="A17" s="6"/>
      <c r="B17" s="13"/>
      <c r="C17" s="13"/>
      <c r="D17" s="13"/>
      <c r="E17" s="14" t="s">
        <v>21</v>
      </c>
      <c r="F17" s="15">
        <f>B1+F13</f>
        <v>168.48754229460988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3.4" x14ac:dyDescent="0.45">
      <c r="A19" s="8" t="s">
        <v>31</v>
      </c>
      <c r="B19" s="167" t="s">
        <v>26</v>
      </c>
      <c r="C19" s="167"/>
      <c r="D19" s="9" t="s">
        <v>40</v>
      </c>
      <c r="E19" s="167" t="s">
        <v>29</v>
      </c>
      <c r="F19" s="16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0"/>
      <c r="B20" s="24" t="s">
        <v>27</v>
      </c>
      <c r="C20" s="3" t="s">
        <v>32</v>
      </c>
      <c r="D20" s="1"/>
      <c r="E20" s="27" t="s">
        <v>30</v>
      </c>
      <c r="F20" s="3">
        <f>_xlfn.T.INV((1+B4)/2,B7)*B3/B6</f>
        <v>0.79340396649743972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0"/>
      <c r="B21" s="1"/>
      <c r="C21" s="1"/>
      <c r="D21" s="1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0"/>
      <c r="B22" s="1"/>
      <c r="C22" s="1"/>
      <c r="D22" s="1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0"/>
      <c r="B23" s="1"/>
      <c r="C23" s="1"/>
      <c r="D23" s="1"/>
      <c r="E23" s="7" t="s">
        <v>20</v>
      </c>
      <c r="F23" s="12">
        <f>B1-F20</f>
        <v>166.86259603350263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" thickBot="1" x14ac:dyDescent="0.35">
      <c r="A24" s="6"/>
      <c r="B24" s="13"/>
      <c r="C24" s="13"/>
      <c r="D24" s="13"/>
      <c r="E24" s="14" t="s">
        <v>21</v>
      </c>
      <c r="F24" s="15">
        <f>B1+F20</f>
        <v>168.4494039664975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3.4" x14ac:dyDescent="0.45">
      <c r="A26" s="8" t="s">
        <v>35</v>
      </c>
      <c r="B26" s="167" t="s">
        <v>26</v>
      </c>
      <c r="C26" s="167"/>
      <c r="D26" s="9" t="s">
        <v>41</v>
      </c>
      <c r="E26" s="167" t="s">
        <v>29</v>
      </c>
      <c r="F26" s="16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0"/>
      <c r="B27" s="24" t="s">
        <v>27</v>
      </c>
      <c r="C27" s="3" t="s">
        <v>32</v>
      </c>
      <c r="D27" s="1"/>
      <c r="E27" s="27" t="s">
        <v>37</v>
      </c>
      <c r="F27" s="3">
        <f>_xlfn.CHISQ.INV((1+B4)/2,B7)</f>
        <v>239.9596818276442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0"/>
      <c r="B28" s="3" t="s">
        <v>36</v>
      </c>
      <c r="C28" s="3" t="s">
        <v>32</v>
      </c>
      <c r="D28" s="1"/>
      <c r="E28" s="27" t="s">
        <v>38</v>
      </c>
      <c r="F28" s="3">
        <f>_xlfn.CHISQ.INV((1-B4)/2,B7)</f>
        <v>161.82618239364686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0"/>
      <c r="D29" s="1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0"/>
      <c r="B30" s="1"/>
      <c r="C30" s="1"/>
      <c r="D30" s="1"/>
      <c r="E30" s="7" t="s">
        <v>20</v>
      </c>
      <c r="F30" s="12">
        <f>B2/F27*B7</f>
        <v>26.984586538367093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6"/>
      <c r="B31" s="13"/>
      <c r="C31" s="13"/>
      <c r="D31" s="13"/>
      <c r="E31" s="14" t="s">
        <v>21</v>
      </c>
      <c r="F31" s="15">
        <f>B2/F28*B7</f>
        <v>40.01338166802919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3.4" x14ac:dyDescent="0.45">
      <c r="A33" s="8" t="s">
        <v>39</v>
      </c>
      <c r="B33" s="167" t="s">
        <v>26</v>
      </c>
      <c r="C33" s="167"/>
      <c r="D33" s="9" t="s">
        <v>41</v>
      </c>
      <c r="E33" s="167" t="s">
        <v>29</v>
      </c>
      <c r="F33" s="16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0"/>
      <c r="B34" s="24" t="s">
        <v>27</v>
      </c>
      <c r="C34" s="3" t="s">
        <v>32</v>
      </c>
      <c r="D34" s="1"/>
      <c r="E34" s="27" t="s">
        <v>37</v>
      </c>
      <c r="F34" s="25">
        <f>_xlfn.CHISQ.INV((1+B4)/2,B5)</f>
        <v>241.0578955063109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0"/>
      <c r="B35" s="3" t="s">
        <v>36</v>
      </c>
      <c r="C35" s="3">
        <v>170</v>
      </c>
      <c r="D35" s="1"/>
      <c r="E35" s="27" t="s">
        <v>38</v>
      </c>
      <c r="F35" s="25">
        <f>_xlfn.CHISQ.INV((1-B4)/2,B5)</f>
        <v>162.7279825018463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0"/>
      <c r="D36" s="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0"/>
      <c r="B37" s="1"/>
      <c r="C37" s="1"/>
      <c r="D37" s="1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93" t="s">
        <v>0</v>
      </c>
      <c r="B38" s="94" t="s">
        <v>42</v>
      </c>
      <c r="C38" s="95" t="s">
        <v>43</v>
      </c>
      <c r="D38" s="1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96">
        <v>1</v>
      </c>
      <c r="B39" s="3">
        <f>POWER(№2!H10 - $C$35,2)</f>
        <v>184.95999999999984</v>
      </c>
      <c r="C39" s="97">
        <f>B39*№2!F10</f>
        <v>1479.6799999999987</v>
      </c>
      <c r="E39" s="1"/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96">
        <v>2</v>
      </c>
      <c r="B40" s="3">
        <f>POWER(№2!H11 - $C$35,2)</f>
        <v>116.63999999999963</v>
      </c>
      <c r="C40" s="97">
        <f>B40*№2!F11</f>
        <v>1166.3999999999962</v>
      </c>
      <c r="D40" s="1"/>
      <c r="E40" s="1"/>
      <c r="F40" s="1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96">
        <v>3</v>
      </c>
      <c r="B41" s="3">
        <f>POWER(№2!H12 - $C$35,2)</f>
        <v>63.999999999999545</v>
      </c>
      <c r="C41" s="97">
        <f>B41*№2!F12</f>
        <v>1855.9999999999868</v>
      </c>
      <c r="D41" s="1"/>
      <c r="E41" s="1"/>
      <c r="F41" s="1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96">
        <v>4</v>
      </c>
      <c r="B42" s="3">
        <f>POWER(№2!H13 - $C$35,2)</f>
        <v>27.039999999999587</v>
      </c>
      <c r="C42" s="97">
        <f>B42*№2!F13</f>
        <v>1108.639999999983</v>
      </c>
      <c r="D42" s="1"/>
      <c r="E42" s="1"/>
      <c r="F42" s="1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96">
        <v>5</v>
      </c>
      <c r="B43" s="3">
        <f>POWER(№2!H14 - $C$35,2)</f>
        <v>5.7599999999997546</v>
      </c>
      <c r="C43" s="97">
        <f>B43*№2!F14</f>
        <v>195.83999999999165</v>
      </c>
      <c r="D43" s="1"/>
      <c r="E43" s="1"/>
      <c r="F43" s="1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96">
        <v>6</v>
      </c>
      <c r="B44" s="3">
        <f>POWER(№2!H15 - $C$35,2)</f>
        <v>0.16000000000005002</v>
      </c>
      <c r="C44" s="97">
        <f>B44*№2!F15</f>
        <v>4.640000000001451</v>
      </c>
      <c r="D44" s="1"/>
      <c r="E44" s="1"/>
      <c r="F44" s="1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96">
        <v>7</v>
      </c>
      <c r="B45" s="3">
        <f>POWER(№2!H16 - $C$35,2)</f>
        <v>10.240000000000473</v>
      </c>
      <c r="C45" s="97">
        <f>B45*№2!F16</f>
        <v>266.24000000001229</v>
      </c>
      <c r="F45" s="11"/>
    </row>
    <row r="46" spans="1:17" x14ac:dyDescent="0.3">
      <c r="A46" s="96">
        <v>8</v>
      </c>
      <c r="B46" s="3">
        <f>POWER(№2!H17 - $C$35,2)</f>
        <v>36.000000000001023</v>
      </c>
      <c r="C46" s="97">
        <f>B46*№2!F17</f>
        <v>396.00000000001125</v>
      </c>
      <c r="F46" s="11"/>
    </row>
    <row r="47" spans="1:17" x14ac:dyDescent="0.3">
      <c r="A47" s="96">
        <v>9</v>
      </c>
      <c r="B47" s="3">
        <f>POWER(№2!H18 - $C$35,2)</f>
        <v>77.440000000001703</v>
      </c>
      <c r="C47" s="97">
        <f>B47*№2!F18</f>
        <v>696.96000000001527</v>
      </c>
      <c r="F47" s="11"/>
    </row>
    <row r="48" spans="1:17" x14ac:dyDescent="0.3">
      <c r="A48" s="96">
        <v>10</v>
      </c>
      <c r="B48" s="3">
        <f>POWER(№2!H19 - $C$35,2)</f>
        <v>134.5600000000025</v>
      </c>
      <c r="C48" s="97">
        <f>B48*№2!F19</f>
        <v>403.68000000000751</v>
      </c>
      <c r="E48" s="7" t="s">
        <v>20</v>
      </c>
      <c r="F48" s="12">
        <f>C49/F34</f>
        <v>31.420169764992057</v>
      </c>
    </row>
    <row r="49" spans="1:6" ht="15" thickBot="1" x14ac:dyDescent="0.35">
      <c r="A49" s="98"/>
      <c r="B49" s="99" t="s">
        <v>44</v>
      </c>
      <c r="C49" s="100">
        <f>SUM(C39:C48)</f>
        <v>7574.0800000000045</v>
      </c>
      <c r="D49" s="26"/>
      <c r="E49" s="14" t="s">
        <v>21</v>
      </c>
      <c r="F49" s="15">
        <f>C49/F35</f>
        <v>46.544422683505395</v>
      </c>
    </row>
  </sheetData>
  <mergeCells count="8">
    <mergeCell ref="B26:C26"/>
    <mergeCell ref="E26:F26"/>
    <mergeCell ref="B33:C33"/>
    <mergeCell ref="E33:F33"/>
    <mergeCell ref="B12:C12"/>
    <mergeCell ref="E12:F12"/>
    <mergeCell ref="B19:C19"/>
    <mergeCell ref="E19:F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7EFF-75AD-45E8-8055-E58FAFC7D47C}">
  <dimension ref="A1:U228"/>
  <sheetViews>
    <sheetView zoomScale="86" workbookViewId="0">
      <selection activeCell="B11" sqref="B11"/>
    </sheetView>
  </sheetViews>
  <sheetFormatPr defaultRowHeight="14.4" x14ac:dyDescent="0.3"/>
  <cols>
    <col min="1" max="1" width="51.88671875" bestFit="1" customWidth="1"/>
    <col min="7" max="7" width="10.44140625" bestFit="1" customWidth="1"/>
    <col min="9" max="9" width="12.6640625" bestFit="1" customWidth="1"/>
    <col min="10" max="10" width="10.5546875" bestFit="1" customWidth="1"/>
    <col min="13" max="13" width="12" bestFit="1" customWidth="1"/>
    <col min="15" max="15" width="20.77734375" bestFit="1" customWidth="1"/>
  </cols>
  <sheetData>
    <row r="1" spans="1:21" ht="15" thickBot="1" x14ac:dyDescent="0.35">
      <c r="A1" s="29" t="s">
        <v>78</v>
      </c>
      <c r="B1" s="30">
        <v>0.05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30"/>
      <c r="B2" s="30"/>
      <c r="C2" s="1"/>
      <c r="D2" s="1"/>
      <c r="E2" s="36" t="s">
        <v>0</v>
      </c>
      <c r="F2" s="37" t="s">
        <v>20</v>
      </c>
      <c r="G2" s="37" t="s">
        <v>21</v>
      </c>
      <c r="H2" s="37" t="s">
        <v>9</v>
      </c>
      <c r="I2" s="37" t="s">
        <v>47</v>
      </c>
      <c r="J2" s="37" t="s">
        <v>48</v>
      </c>
      <c r="K2" s="37" t="s">
        <v>49</v>
      </c>
      <c r="L2" s="37" t="s">
        <v>50</v>
      </c>
      <c r="M2" s="38" t="s">
        <v>51</v>
      </c>
      <c r="N2" s="1"/>
      <c r="O2" s="1"/>
      <c r="P2" s="1"/>
      <c r="Q2" s="1"/>
      <c r="R2" s="1"/>
      <c r="S2" s="1"/>
      <c r="T2" s="1"/>
      <c r="U2" s="1"/>
    </row>
    <row r="3" spans="1:21" x14ac:dyDescent="0.3">
      <c r="A3" s="30" t="s">
        <v>46</v>
      </c>
      <c r="B3" s="30">
        <f>№4!B3</f>
        <v>167.65600000000006</v>
      </c>
      <c r="C3" s="1"/>
      <c r="D3" s="1"/>
      <c r="E3" s="39">
        <v>1</v>
      </c>
      <c r="F3" s="3">
        <f>-1E+99</f>
        <v>-9.9999999999999997E+98</v>
      </c>
      <c r="G3" s="3">
        <f>№2!E10</f>
        <v>157.80000000000001</v>
      </c>
      <c r="H3" s="3" cm="1">
        <f t="array" ref="H3:H11">FREQUENCY(_xlfn.ANCHORARRAY(№1!B3),№7!G3:G10)</f>
        <v>8</v>
      </c>
      <c r="I3" s="3">
        <f>(F3 -$B$3)/$B$4</f>
        <v>-1.7574702213819926E+98</v>
      </c>
      <c r="J3" s="3">
        <f>_xlfn.NORM.S.DIST(I3,1)</f>
        <v>0</v>
      </c>
      <c r="K3" s="3">
        <f t="shared" ref="K3:K11" si="0">J4-J3</f>
        <v>4.1622303506768224E-2</v>
      </c>
      <c r="L3" s="3">
        <f>Данные!$U$2 * K3</f>
        <v>8.3244607013536456</v>
      </c>
      <c r="M3" s="25">
        <f>POWER(H3-L3,2)/L3</f>
        <v>1.2646434465812397E-2</v>
      </c>
      <c r="N3" s="1"/>
      <c r="O3" s="1"/>
      <c r="P3" s="1"/>
      <c r="Q3" s="1"/>
      <c r="R3" s="1"/>
      <c r="S3" s="1"/>
      <c r="T3" s="1"/>
      <c r="U3" s="1"/>
    </row>
    <row r="4" spans="1:21" x14ac:dyDescent="0.3">
      <c r="A4" s="30" t="s">
        <v>45</v>
      </c>
      <c r="B4" s="30">
        <f>№4!B9</f>
        <v>5.6899968365532061</v>
      </c>
      <c r="C4" s="1"/>
      <c r="D4" s="1"/>
      <c r="E4" s="39">
        <v>2</v>
      </c>
      <c r="F4" s="3">
        <f>G3</f>
        <v>157.80000000000001</v>
      </c>
      <c r="G4" s="3">
        <f>F4+№2!$D$7</f>
        <v>160.60000000000002</v>
      </c>
      <c r="H4" s="3">
        <v>10</v>
      </c>
      <c r="I4" s="3">
        <f t="shared" ref="I4:I11" si="1">(F4 -$B$3)/$B$4</f>
        <v>-1.7321626501941008</v>
      </c>
      <c r="J4" s="3">
        <f t="shared" ref="J4:J11" si="2">_xlfn.NORM.S.DIST(I4,1)</f>
        <v>4.1622303506768224E-2</v>
      </c>
      <c r="K4" s="3">
        <f t="shared" si="0"/>
        <v>6.5852265779618294E-2</v>
      </c>
      <c r="L4" s="3">
        <f>Данные!$U$2 * K4</f>
        <v>13.170453155923658</v>
      </c>
      <c r="M4" s="25">
        <f t="shared" ref="M4:M11" si="3">POWER(H4-L4,2)/L4</f>
        <v>0.76320632972186764</v>
      </c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39">
        <v>3</v>
      </c>
      <c r="F5" s="3">
        <f t="shared" ref="F5:F11" si="4">G4</f>
        <v>160.60000000000002</v>
      </c>
      <c r="G5" s="3">
        <f>F5+№2!$D$7</f>
        <v>163.40000000000003</v>
      </c>
      <c r="H5" s="3">
        <v>29</v>
      </c>
      <c r="I5" s="3">
        <f t="shared" si="1"/>
        <v>-1.240070988207141</v>
      </c>
      <c r="J5" s="3">
        <f t="shared" si="2"/>
        <v>0.10747456928638652</v>
      </c>
      <c r="K5" s="3">
        <f t="shared" si="0"/>
        <v>0.11976174451509608</v>
      </c>
      <c r="L5" s="3">
        <f>Данные!$U$2 * K5</f>
        <v>23.952348903019217</v>
      </c>
      <c r="M5" s="25">
        <f t="shared" si="3"/>
        <v>1.0637278915739103</v>
      </c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"/>
      <c r="C6" s="1"/>
      <c r="D6" s="1"/>
      <c r="E6" s="39">
        <v>4</v>
      </c>
      <c r="F6" s="3">
        <f t="shared" si="4"/>
        <v>163.40000000000003</v>
      </c>
      <c r="G6" s="3">
        <f>F6+№2!$D$7</f>
        <v>166.20000000000005</v>
      </c>
      <c r="H6" s="3">
        <v>41</v>
      </c>
      <c r="I6" s="3">
        <f t="shared" si="1"/>
        <v>-0.74797932622018104</v>
      </c>
      <c r="J6" s="3">
        <f t="shared" si="2"/>
        <v>0.2272363138014826</v>
      </c>
      <c r="K6" s="3">
        <f t="shared" si="0"/>
        <v>0.17178247625205542</v>
      </c>
      <c r="L6" s="3">
        <f>Данные!$U$2 * K6</f>
        <v>34.356495250411086</v>
      </c>
      <c r="M6" s="25">
        <f t="shared" si="3"/>
        <v>1.2846524372209458</v>
      </c>
      <c r="N6" s="1"/>
      <c r="O6" s="1"/>
      <c r="P6" s="1"/>
      <c r="Q6" s="1"/>
      <c r="R6" s="1"/>
      <c r="S6" s="1"/>
      <c r="T6" s="1"/>
      <c r="U6" s="1"/>
    </row>
    <row r="7" spans="1:21" x14ac:dyDescent="0.3">
      <c r="A7" s="109" t="s">
        <v>53</v>
      </c>
      <c r="B7" s="109">
        <v>5</v>
      </c>
      <c r="C7" s="1"/>
      <c r="D7" s="1"/>
      <c r="E7" s="39">
        <v>5</v>
      </c>
      <c r="F7" s="3">
        <f t="shared" si="4"/>
        <v>166.20000000000005</v>
      </c>
      <c r="G7" s="3">
        <f>F7+№2!$D$7</f>
        <v>169.00000000000006</v>
      </c>
      <c r="H7" s="3">
        <v>34</v>
      </c>
      <c r="I7" s="3">
        <f t="shared" si="1"/>
        <v>-0.25588766423322112</v>
      </c>
      <c r="J7" s="3">
        <f t="shared" si="2"/>
        <v>0.39901879005353802</v>
      </c>
      <c r="K7" s="3">
        <f t="shared" si="0"/>
        <v>0.19434402118549909</v>
      </c>
      <c r="L7" s="3">
        <f>Данные!$U$2 * K7</f>
        <v>38.868804237099816</v>
      </c>
      <c r="M7" s="25">
        <f t="shared" si="3"/>
        <v>0.60987867171315591</v>
      </c>
      <c r="N7" s="1"/>
      <c r="O7" s="1"/>
      <c r="P7" s="1"/>
      <c r="Q7" s="1"/>
      <c r="R7" s="1"/>
      <c r="S7" s="1"/>
      <c r="T7" s="1"/>
      <c r="U7" s="1"/>
    </row>
    <row r="8" spans="1:21" x14ac:dyDescent="0.3">
      <c r="A8" s="109" t="s">
        <v>105</v>
      </c>
      <c r="B8" s="110"/>
      <c r="C8" s="1"/>
      <c r="D8" s="1"/>
      <c r="E8" s="39">
        <v>6</v>
      </c>
      <c r="F8" s="3">
        <f t="shared" si="4"/>
        <v>169.00000000000006</v>
      </c>
      <c r="G8" s="3">
        <f>F8+№2!$D$7</f>
        <v>171.80000000000007</v>
      </c>
      <c r="H8" s="3">
        <v>29</v>
      </c>
      <c r="I8" s="3">
        <f t="shared" si="1"/>
        <v>0.23620399775373874</v>
      </c>
      <c r="J8" s="3">
        <f t="shared" si="2"/>
        <v>0.59336281123903711</v>
      </c>
      <c r="K8" s="3">
        <f t="shared" si="0"/>
        <v>0.17342087943942741</v>
      </c>
      <c r="L8" s="3">
        <f>Данные!$U$2 * K8</f>
        <v>34.68417588788548</v>
      </c>
      <c r="M8" s="25">
        <f t="shared" si="3"/>
        <v>0.9315445645546937</v>
      </c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/>
      <c r="D9" s="1"/>
      <c r="E9" s="39">
        <v>7</v>
      </c>
      <c r="F9" s="3">
        <f t="shared" si="4"/>
        <v>171.80000000000007</v>
      </c>
      <c r="G9" s="3">
        <f>F9+№2!$D$7</f>
        <v>174.60000000000008</v>
      </c>
      <c r="H9" s="3">
        <v>26</v>
      </c>
      <c r="I9" s="3">
        <f t="shared" si="1"/>
        <v>0.72829565974069865</v>
      </c>
      <c r="J9" s="3">
        <f t="shared" si="2"/>
        <v>0.76678369067846452</v>
      </c>
      <c r="K9" s="3">
        <f t="shared" si="0"/>
        <v>0.12205726871276157</v>
      </c>
      <c r="L9" s="3">
        <f>Данные!$U$2 * K9</f>
        <v>24.411453742552315</v>
      </c>
      <c r="M9" s="25">
        <f t="shared" si="3"/>
        <v>0.1033727543907923</v>
      </c>
      <c r="N9" s="1"/>
      <c r="O9" s="1"/>
      <c r="P9" s="1"/>
      <c r="Q9" s="1"/>
      <c r="R9" s="1"/>
      <c r="S9" s="1"/>
      <c r="T9" s="1"/>
      <c r="U9" s="1"/>
    </row>
    <row r="10" spans="1:21" x14ac:dyDescent="0.3">
      <c r="A10" s="109" t="s">
        <v>119</v>
      </c>
      <c r="B10" s="109">
        <v>2</v>
      </c>
      <c r="C10" s="1"/>
      <c r="D10" s="1"/>
      <c r="E10" s="39">
        <v>8</v>
      </c>
      <c r="F10" s="3">
        <f t="shared" si="4"/>
        <v>174.60000000000008</v>
      </c>
      <c r="G10" s="3">
        <f>F10+№2!$D$7</f>
        <v>177.40000000000009</v>
      </c>
      <c r="H10" s="3">
        <v>11</v>
      </c>
      <c r="I10" s="3">
        <f t="shared" si="1"/>
        <v>1.2203873217276586</v>
      </c>
      <c r="J10" s="3">
        <f t="shared" si="2"/>
        <v>0.88884095939122609</v>
      </c>
      <c r="K10" s="3">
        <f t="shared" si="0"/>
        <v>6.775482341596073E-2</v>
      </c>
      <c r="L10" s="3">
        <f>Данные!$U$2 * K10</f>
        <v>13.550964683192145</v>
      </c>
      <c r="M10" s="25">
        <f t="shared" si="3"/>
        <v>0.48021826984502736</v>
      </c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"/>
      <c r="C11" s="1"/>
      <c r="D11" s="1"/>
      <c r="E11" s="39">
        <v>9</v>
      </c>
      <c r="F11" s="3">
        <f t="shared" si="4"/>
        <v>177.40000000000009</v>
      </c>
      <c r="G11" s="3">
        <f>1E+99</f>
        <v>9.9999999999999997E+98</v>
      </c>
      <c r="H11" s="3">
        <v>12</v>
      </c>
      <c r="I11" s="3">
        <f t="shared" si="1"/>
        <v>1.7124789837146184</v>
      </c>
      <c r="J11" s="3">
        <f t="shared" si="2"/>
        <v>0.95659578280718682</v>
      </c>
      <c r="K11" s="3">
        <f t="shared" si="0"/>
        <v>4.3404217192813177E-2</v>
      </c>
      <c r="L11" s="3">
        <f>Данные!$U$2 * K11</f>
        <v>8.6808434385626363</v>
      </c>
      <c r="M11" s="25">
        <f t="shared" si="3"/>
        <v>1.2690933038134429</v>
      </c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1"/>
      <c r="C12" s="1"/>
      <c r="D12" s="1"/>
      <c r="E12" s="39"/>
      <c r="F12" s="3"/>
      <c r="G12" s="3"/>
      <c r="H12" s="3"/>
      <c r="I12" s="3"/>
      <c r="J12" s="3">
        <v>1</v>
      </c>
      <c r="K12" s="3"/>
      <c r="L12" s="3"/>
      <c r="M12" s="25"/>
      <c r="N12" s="1"/>
      <c r="O12" s="1"/>
      <c r="P12" s="1"/>
      <c r="Q12" s="1"/>
      <c r="R12" s="1"/>
      <c r="S12" s="1"/>
      <c r="T12" s="1"/>
      <c r="U12" s="1"/>
    </row>
    <row r="13" spans="1:21" ht="15" thickBot="1" x14ac:dyDescent="0.35">
      <c r="A13" s="1"/>
      <c r="B13" s="1"/>
      <c r="C13" s="1"/>
      <c r="D13" s="1"/>
      <c r="E13" s="41"/>
      <c r="F13" s="42"/>
      <c r="G13" s="42"/>
      <c r="H13" s="42"/>
      <c r="I13" s="42"/>
      <c r="J13" s="42"/>
      <c r="K13" s="42"/>
      <c r="L13" s="42"/>
      <c r="M13" s="161" t="s">
        <v>52</v>
      </c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"/>
      <c r="C14" s="1"/>
      <c r="D14" s="1"/>
      <c r="E14" s="1"/>
      <c r="F14" s="1"/>
      <c r="G14" s="1"/>
      <c r="H14" s="1"/>
      <c r="I14" s="1"/>
      <c r="J14" s="172" t="s">
        <v>124</v>
      </c>
      <c r="K14" s="172"/>
      <c r="L14" s="173"/>
      <c r="M14" s="162">
        <f>SUM(M3:M12)</f>
        <v>6.518340657299647</v>
      </c>
      <c r="N14" s="175" t="s">
        <v>125</v>
      </c>
      <c r="O14" s="175"/>
      <c r="P14" s="171" t="s">
        <v>123</v>
      </c>
      <c r="Q14" s="171"/>
      <c r="R14" s="17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  <c r="J15" s="174" t="s">
        <v>115</v>
      </c>
      <c r="K15" s="174"/>
      <c r="L15" s="174"/>
      <c r="M15" s="17">
        <f>_xlfn.CHISQ.INV.RT(B1,E11-B10-1)</f>
        <v>12.591587243743978</v>
      </c>
      <c r="N15" s="175"/>
      <c r="O15" s="175"/>
      <c r="P15" s="171"/>
      <c r="Q15" s="171"/>
      <c r="R15" s="171"/>
      <c r="S15" s="1"/>
      <c r="T15" s="1"/>
      <c r="U15" s="1"/>
    </row>
    <row r="16" spans="1:2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</sheetData>
  <mergeCells count="4">
    <mergeCell ref="P14:R15"/>
    <mergeCell ref="J14:L14"/>
    <mergeCell ref="J15:L15"/>
    <mergeCell ref="N14:O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2049-EA37-4193-8E16-4F209946722E}">
  <dimension ref="A1"/>
  <sheetViews>
    <sheetView zoomScale="82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5422-1036-4B2E-97F5-4F15B16962A6}">
  <dimension ref="A1:S28"/>
  <sheetViews>
    <sheetView zoomScale="86" workbookViewId="0">
      <selection activeCell="K27" sqref="K27"/>
    </sheetView>
  </sheetViews>
  <sheetFormatPr defaultRowHeight="14.4" x14ac:dyDescent="0.3"/>
  <cols>
    <col min="4" max="4" width="12.44140625" bestFit="1" customWidth="1"/>
  </cols>
  <sheetData>
    <row r="1" spans="1:19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9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9" x14ac:dyDescent="0.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9" ht="15" thickBot="1" x14ac:dyDescent="0.3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19" x14ac:dyDescent="0.3">
      <c r="A5" s="48"/>
      <c r="B5" s="48"/>
      <c r="C5" s="48"/>
      <c r="D5" s="180" t="s">
        <v>63</v>
      </c>
      <c r="E5" s="181"/>
      <c r="F5" s="55" t="s">
        <v>20</v>
      </c>
      <c r="G5" s="55">
        <f>№2!T10</f>
        <v>50</v>
      </c>
      <c r="H5" s="55">
        <f>G6</f>
        <v>53.1</v>
      </c>
      <c r="I5" s="55">
        <f t="shared" ref="I5:P5" si="0">H6</f>
        <v>56.2</v>
      </c>
      <c r="J5" s="55">
        <f t="shared" si="0"/>
        <v>59.300000000000004</v>
      </c>
      <c r="K5" s="55">
        <f t="shared" si="0"/>
        <v>62.400000000000006</v>
      </c>
      <c r="L5" s="55">
        <f t="shared" si="0"/>
        <v>65.5</v>
      </c>
      <c r="M5" s="55">
        <f t="shared" si="0"/>
        <v>68.599999999999994</v>
      </c>
      <c r="N5" s="55">
        <f t="shared" si="0"/>
        <v>71.699999999999989</v>
      </c>
      <c r="O5" s="55">
        <f t="shared" si="0"/>
        <v>74.799999999999983</v>
      </c>
      <c r="P5" s="56">
        <f t="shared" si="0"/>
        <v>77.899999999999977</v>
      </c>
      <c r="Q5" s="51" t="s">
        <v>70</v>
      </c>
      <c r="R5" s="44"/>
      <c r="S5" s="50"/>
    </row>
    <row r="6" spans="1:19" x14ac:dyDescent="0.3">
      <c r="A6" s="48"/>
      <c r="B6" s="48"/>
      <c r="C6" s="48"/>
      <c r="D6" s="182"/>
      <c r="E6" s="183"/>
      <c r="F6" s="49" t="s">
        <v>21</v>
      </c>
      <c r="G6" s="49">
        <f>G5+№2!$T$7</f>
        <v>53.1</v>
      </c>
      <c r="H6" s="49">
        <f>H5+№2!$T$7</f>
        <v>56.2</v>
      </c>
      <c r="I6" s="49">
        <f>I5+№2!$T$7</f>
        <v>59.300000000000004</v>
      </c>
      <c r="J6" s="49">
        <f>J5+№2!$T$7</f>
        <v>62.400000000000006</v>
      </c>
      <c r="K6" s="49">
        <f>K5+№2!$T$7</f>
        <v>65.5</v>
      </c>
      <c r="L6" s="49">
        <f>L5+№2!$T$7</f>
        <v>68.599999999999994</v>
      </c>
      <c r="M6" s="49">
        <f>M5+№2!$T$7</f>
        <v>71.699999999999989</v>
      </c>
      <c r="N6" s="49">
        <f>N5+№2!$T$7</f>
        <v>74.799999999999983</v>
      </c>
      <c r="O6" s="49">
        <f>O5+№2!$T$7</f>
        <v>77.899999999999977</v>
      </c>
      <c r="P6" s="57">
        <f>P5+№2!$T$7</f>
        <v>80.999999999999972</v>
      </c>
      <c r="Q6" s="52" t="s">
        <v>64</v>
      </c>
      <c r="R6" s="186" t="s">
        <v>66</v>
      </c>
      <c r="S6" s="187"/>
    </row>
    <row r="7" spans="1:19" x14ac:dyDescent="0.3">
      <c r="A7" s="48"/>
      <c r="B7" s="48"/>
      <c r="C7" s="48"/>
      <c r="D7" s="58" t="s">
        <v>20</v>
      </c>
      <c r="E7" s="49" t="s">
        <v>21</v>
      </c>
      <c r="F7" s="68" t="s">
        <v>67</v>
      </c>
      <c r="G7" s="64">
        <f>(G5+G6)/2</f>
        <v>51.55</v>
      </c>
      <c r="H7" s="64">
        <f t="shared" ref="H7:P7" si="1">(H5+H6)/2</f>
        <v>54.650000000000006</v>
      </c>
      <c r="I7" s="64">
        <f t="shared" si="1"/>
        <v>57.75</v>
      </c>
      <c r="J7" s="64">
        <f t="shared" si="1"/>
        <v>60.850000000000009</v>
      </c>
      <c r="K7" s="64">
        <f t="shared" si="1"/>
        <v>63.95</v>
      </c>
      <c r="L7" s="64">
        <f t="shared" si="1"/>
        <v>67.05</v>
      </c>
      <c r="M7" s="64">
        <f t="shared" si="1"/>
        <v>70.149999999999991</v>
      </c>
      <c r="N7" s="64">
        <f t="shared" si="1"/>
        <v>73.249999999999986</v>
      </c>
      <c r="O7" s="64">
        <f t="shared" si="1"/>
        <v>76.34999999999998</v>
      </c>
      <c r="P7" s="64">
        <f t="shared" si="1"/>
        <v>79.449999999999974</v>
      </c>
      <c r="Q7" s="65"/>
      <c r="R7" s="188"/>
      <c r="S7" s="189"/>
    </row>
    <row r="8" spans="1:19" x14ac:dyDescent="0.3">
      <c r="A8" s="48"/>
      <c r="B8" s="48"/>
      <c r="C8" s="48"/>
      <c r="D8" s="58">
        <f>№2!D10</f>
        <v>155</v>
      </c>
      <c r="E8" s="49">
        <f>№2!E10</f>
        <v>157.80000000000001</v>
      </c>
      <c r="F8" s="68">
        <f>(D8+E8)/2</f>
        <v>156.4</v>
      </c>
      <c r="G8" s="49">
        <f>COUNTIFS(Данные!$R$2:$R$201,"&gt;="&amp;$D8,Данные!$R$2:$R$201,"&lt;="&amp;$E8,Данные!$S$2:$S$201,"&gt;="&amp;G$5,Данные!$S$2:$S$201,"&lt;="&amp;G$6)</f>
        <v>3</v>
      </c>
      <c r="H8" s="49">
        <f>COUNTIFS(Данные!$R$2:$R$201,"&gt;="&amp;$D8,Данные!$R$2:$R$201,"&lt;="&amp;$E8,Данные!$S$2:$S$201,"&gt;"&amp;H$5,Данные!$S$2:$S$201,"&lt;="&amp;H$6)</f>
        <v>0</v>
      </c>
      <c r="I8" s="49">
        <f>COUNTIFS(Данные!$R$2:$R$201,"&gt;="&amp;$D8,Данные!$R$2:$R$201,"&lt;="&amp;$E8,Данные!$S$2:$S$201,"&gt;"&amp;I$5,Данные!$S$2:$S$201,"&lt;="&amp;I$6)</f>
        <v>3</v>
      </c>
      <c r="J8" s="49">
        <f>COUNTIFS(Данные!$R$2:$R$201,"&gt;="&amp;$D8,Данные!$R$2:$R$201,"&lt;="&amp;$E8,Данные!$S$2:$S$201,"&gt;"&amp;J$5,Данные!$S$2:$S$201,"&lt;="&amp;J$6)</f>
        <v>2</v>
      </c>
      <c r="K8" s="49">
        <f>COUNTIFS(Данные!$R$2:$R$201,"&gt;="&amp;$D8,Данные!$R$2:$R$201,"&lt;="&amp;$E8,Данные!$S$2:$S$201,"&gt;"&amp;K$5,Данные!$S$2:$S$201,"&lt;="&amp;K$6)</f>
        <v>0</v>
      </c>
      <c r="L8" s="49">
        <f>COUNTIFS(Данные!$R$2:$R$201,"&gt;="&amp;$D8,Данные!$R$2:$R$201,"&lt;="&amp;$E8,Данные!$S$2:$S$201,"&gt;"&amp;L$5,Данные!$S$2:$S$201,"&lt;="&amp;L$6)</f>
        <v>0</v>
      </c>
      <c r="M8" s="49">
        <f>COUNTIFS(Данные!$R$2:$R$201,"&gt;="&amp;$D8,Данные!$R$2:$R$201,"&lt;="&amp;$E8,Данные!$S$2:$S$201,"&gt;"&amp;M$5,Данные!$S$2:$S$201,"&lt;="&amp;M$6)</f>
        <v>0</v>
      </c>
      <c r="N8" s="49">
        <f>COUNTIFS(Данные!$R$2:$R$201,"&gt;="&amp;$D8,Данные!$R$2:$R$201,"&lt;="&amp;$E8,Данные!$S$2:$S$201,"&gt;"&amp;N$5,Данные!$S$2:$S$201,"&lt;="&amp;N$6)</f>
        <v>0</v>
      </c>
      <c r="O8" s="49">
        <f>COUNTIFS(Данные!$R$2:$R$201,"&gt;="&amp;$D8,Данные!$R$2:$R$201,"&lt;="&amp;$E8,Данные!$S$2:$S$201,"&gt;"&amp;O$5,Данные!$S$2:$S$201,"&lt;="&amp;O$6)</f>
        <v>0</v>
      </c>
      <c r="P8" s="57">
        <f>COUNTIFS(Данные!$R$2:$R$201,"&gt;="&amp;$D8,Данные!$R$2:$R$201,"&lt;="&amp;$E8,Данные!$S$2:$S$201,"&gt;"&amp;P$5,Данные!$S$2:$S$201,"&lt;="&amp;P$6)</f>
        <v>0</v>
      </c>
      <c r="Q8" s="69">
        <f>SUM(G8:P8)</f>
        <v>8</v>
      </c>
      <c r="R8" s="190">
        <f>1/Q8*SUMPRODUCT($G$7:$P$7,$G8:$P8)</f>
        <v>56.2</v>
      </c>
      <c r="S8" s="191"/>
    </row>
    <row r="9" spans="1:19" x14ac:dyDescent="0.3">
      <c r="A9" s="48"/>
      <c r="B9" s="48"/>
      <c r="C9" s="48"/>
      <c r="D9" s="58">
        <f>№2!D11</f>
        <v>157.80000000000001</v>
      </c>
      <c r="E9" s="49">
        <f>№2!E11</f>
        <v>160.60000000000002</v>
      </c>
      <c r="F9" s="68">
        <f t="shared" ref="F9:F17" si="2">(D9+E9)/2</f>
        <v>159.20000000000002</v>
      </c>
      <c r="G9" s="49">
        <f>COUNTIFS(Данные!$R$2:$R$201,"&gt;"&amp;$D9,Данные!$R$2:$R$201,"&lt;="&amp;$E9,Данные!$S$2:$S$201,"&gt;="&amp;G$5,Данные!$S$2:$S$201,"&lt;="&amp;G$6)</f>
        <v>0</v>
      </c>
      <c r="H9" s="49">
        <f>COUNTIFS(Данные!$R$2:$R$201,"&gt;"&amp;$D9,Данные!$R$2:$R$201,"&lt;="&amp;$E9,Данные!$S$2:$S$201,"&gt;"&amp;H$5,Данные!$S$2:$S$201,"&lt;="&amp;H$6)</f>
        <v>5</v>
      </c>
      <c r="I9" s="49">
        <f>COUNTIFS(Данные!$R$2:$R$201,"&gt;"&amp;$D9,Данные!$R$2:$R$201,"&lt;="&amp;$E9,Данные!$S$2:$S$201,"&gt;"&amp;I$5,Данные!$S$2:$S$201,"&lt;="&amp;I$6)</f>
        <v>0</v>
      </c>
      <c r="J9" s="49">
        <f>COUNTIFS(Данные!$R$2:$R$201,"&gt;"&amp;$D9,Данные!$R$2:$R$201,"&lt;="&amp;$E9,Данные!$S$2:$S$201,"&gt;"&amp;J$5,Данные!$S$2:$S$201,"&lt;="&amp;J$6)</f>
        <v>4</v>
      </c>
      <c r="K9" s="49">
        <f>COUNTIFS(Данные!$R$2:$R$201,"&gt;"&amp;$D9,Данные!$R$2:$R$201,"&lt;="&amp;$E9,Данные!$S$2:$S$201,"&gt;"&amp;K$5,Данные!$S$2:$S$201,"&lt;="&amp;K$6)</f>
        <v>0</v>
      </c>
      <c r="L9" s="49">
        <f>COUNTIFS(Данные!$R$2:$R$201,"&gt;"&amp;$D9,Данные!$R$2:$R$201,"&lt;="&amp;$E9,Данные!$S$2:$S$201,"&gt;"&amp;L$5,Данные!$S$2:$S$201,"&lt;="&amp;L$6)</f>
        <v>1</v>
      </c>
      <c r="M9" s="49">
        <f>COUNTIFS(Данные!$R$2:$R$201,"&gt;"&amp;$D9,Данные!$R$2:$R$201,"&lt;="&amp;$E9,Данные!$S$2:$S$201,"&gt;"&amp;M$5,Данные!$S$2:$S$201,"&lt;="&amp;M$6)</f>
        <v>0</v>
      </c>
      <c r="N9" s="49">
        <f>COUNTIFS(Данные!$R$2:$R$201,"&gt;"&amp;$D9,Данные!$R$2:$R$201,"&lt;="&amp;$E9,Данные!$S$2:$S$201,"&gt;"&amp;N$5,Данные!$S$2:$S$201,"&lt;="&amp;N$6)</f>
        <v>0</v>
      </c>
      <c r="O9" s="49">
        <f>COUNTIFS(Данные!$R$2:$R$201,"&gt;"&amp;$D9,Данные!$R$2:$R$201,"&lt;="&amp;$E9,Данные!$S$2:$S$201,"&gt;"&amp;O$5,Данные!$S$2:$S$201,"&lt;="&amp;O$6)</f>
        <v>0</v>
      </c>
      <c r="P9" s="57">
        <f>COUNTIFS(Данные!$R$2:$R$201,"&gt;"&amp;$D9,Данные!$R$2:$R$201,"&lt;="&amp;$E9,Данные!$S$2:$S$201,"&gt;"&amp;P$5,Данные!$S$2:$S$201,"&lt;="&amp;P$6)</f>
        <v>0</v>
      </c>
      <c r="Q9" s="69">
        <f t="shared" ref="Q9:Q17" si="3">SUM(G9:P9)</f>
        <v>10</v>
      </c>
      <c r="R9" s="190">
        <f t="shared" ref="R9:R17" si="4">1/Q9*SUMPRODUCT($G$7:$P$7,$G9:$P9)</f>
        <v>58.370000000000005</v>
      </c>
      <c r="S9" s="191"/>
    </row>
    <row r="10" spans="1:19" x14ac:dyDescent="0.3">
      <c r="A10" s="48"/>
      <c r="B10" s="48"/>
      <c r="C10" s="48"/>
      <c r="D10" s="58">
        <f>№2!D12</f>
        <v>160.60000000000002</v>
      </c>
      <c r="E10" s="49">
        <f>№2!E12</f>
        <v>163.40000000000003</v>
      </c>
      <c r="F10" s="68">
        <f t="shared" si="2"/>
        <v>162.00000000000003</v>
      </c>
      <c r="G10" s="49">
        <f>COUNTIFS(Данные!$R$2:$R$201,"&gt;"&amp;$D10,Данные!$R$2:$R$201,"&lt;="&amp;$E10,Данные!$S$2:$S$201,"&gt;="&amp;G$5,Данные!$S$2:$S$201,"&lt;="&amp;G$6)</f>
        <v>3</v>
      </c>
      <c r="H10" s="49">
        <f>COUNTIFS(Данные!$R$2:$R$201,"&gt;"&amp;$D10,Данные!$R$2:$R$201,"&lt;="&amp;$E10,Данные!$S$2:$S$201,"&gt;"&amp;H$5,Данные!$S$2:$S$201,"&lt;="&amp;H$6)</f>
        <v>6</v>
      </c>
      <c r="I10" s="49">
        <f>COUNTIFS(Данные!$R$2:$R$201,"&gt;"&amp;$D10,Данные!$R$2:$R$201,"&lt;="&amp;$E10,Данные!$S$2:$S$201,"&gt;"&amp;I$5,Данные!$S$2:$S$201,"&lt;="&amp;I$6)</f>
        <v>4</v>
      </c>
      <c r="J10" s="49">
        <f>COUNTIFS(Данные!$R$2:$R$201,"&gt;"&amp;$D10,Данные!$R$2:$R$201,"&lt;="&amp;$E10,Данные!$S$2:$S$201,"&gt;"&amp;J$5,Данные!$S$2:$S$201,"&lt;="&amp;J$6)</f>
        <v>1</v>
      </c>
      <c r="K10" s="49">
        <f>COUNTIFS(Данные!$R$2:$R$201,"&gt;"&amp;$D10,Данные!$R$2:$R$201,"&lt;="&amp;$E10,Данные!$S$2:$S$201,"&gt;"&amp;K$5,Данные!$S$2:$S$201,"&lt;="&amp;K$6)</f>
        <v>9</v>
      </c>
      <c r="L10" s="49">
        <f>COUNTIFS(Данные!$R$2:$R$201,"&gt;"&amp;$D10,Данные!$R$2:$R$201,"&lt;="&amp;$E10,Данные!$S$2:$S$201,"&gt;"&amp;L$5,Данные!$S$2:$S$201,"&lt;="&amp;L$6)</f>
        <v>6</v>
      </c>
      <c r="M10" s="49">
        <f>COUNTIFS(Данные!$R$2:$R$201,"&gt;"&amp;$D10,Данные!$R$2:$R$201,"&lt;="&amp;$E10,Данные!$S$2:$S$201,"&gt;"&amp;M$5,Данные!$S$2:$S$201,"&lt;="&amp;M$6)</f>
        <v>0</v>
      </c>
      <c r="N10" s="49">
        <f>COUNTIFS(Данные!$R$2:$R$201,"&gt;"&amp;$D10,Данные!$R$2:$R$201,"&lt;="&amp;$E10,Данные!$S$2:$S$201,"&gt;"&amp;N$5,Данные!$S$2:$S$201,"&lt;="&amp;N$6)</f>
        <v>0</v>
      </c>
      <c r="O10" s="49">
        <f>COUNTIFS(Данные!$R$2:$R$201,"&gt;"&amp;$D10,Данные!$R$2:$R$201,"&lt;="&amp;$E10,Данные!$S$2:$S$201,"&gt;"&amp;O$5,Данные!$S$2:$S$201,"&lt;="&amp;O$6)</f>
        <v>0</v>
      </c>
      <c r="P10" s="57">
        <f>COUNTIFS(Данные!$R$2:$R$201,"&gt;"&amp;$D10,Данные!$R$2:$R$201,"&lt;="&amp;$E10,Данные!$S$2:$S$201,"&gt;"&amp;P$5,Данные!$S$2:$S$201,"&lt;="&amp;P$6)</f>
        <v>0</v>
      </c>
      <c r="Q10" s="69">
        <f t="shared" si="3"/>
        <v>29</v>
      </c>
      <c r="R10" s="190">
        <f t="shared" si="4"/>
        <v>60.422413793103445</v>
      </c>
      <c r="S10" s="191"/>
    </row>
    <row r="11" spans="1:19" x14ac:dyDescent="0.3">
      <c r="A11" s="48"/>
      <c r="B11" s="48"/>
      <c r="C11" s="48"/>
      <c r="D11" s="58">
        <f>№2!D13</f>
        <v>163.40000000000003</v>
      </c>
      <c r="E11" s="49">
        <f>№2!E13</f>
        <v>166.20000000000005</v>
      </c>
      <c r="F11" s="68">
        <f t="shared" si="2"/>
        <v>164.80000000000004</v>
      </c>
      <c r="G11" s="49">
        <f>COUNTIFS(Данные!$R$2:$R$201,"&gt;"&amp;$D11,Данные!$R$2:$R$201,"&lt;="&amp;$E11,Данные!$S$2:$S$201,"&gt;="&amp;G$5,Данные!$S$2:$S$201,"&lt;="&amp;G$6)</f>
        <v>1</v>
      </c>
      <c r="H11" s="49">
        <f>COUNTIFS(Данные!$R$2:$R$201,"&gt;"&amp;$D11,Данные!$R$2:$R$201,"&lt;="&amp;$E11,Данные!$S$2:$S$201,"&gt;"&amp;H$5,Данные!$S$2:$S$201,"&lt;="&amp;H$6)</f>
        <v>4</v>
      </c>
      <c r="I11" s="49">
        <f>COUNTIFS(Данные!$R$2:$R$201,"&gt;"&amp;$D11,Данные!$R$2:$R$201,"&lt;="&amp;$E11,Данные!$S$2:$S$201,"&gt;"&amp;I$5,Данные!$S$2:$S$201,"&lt;="&amp;I$6)</f>
        <v>3</v>
      </c>
      <c r="J11" s="49">
        <f>COUNTIFS(Данные!$R$2:$R$201,"&gt;"&amp;$D11,Данные!$R$2:$R$201,"&lt;="&amp;$E11,Данные!$S$2:$S$201,"&gt;"&amp;J$5,Данные!$S$2:$S$201,"&lt;="&amp;J$6)</f>
        <v>12</v>
      </c>
      <c r="K11" s="49">
        <f>COUNTIFS(Данные!$R$2:$R$201,"&gt;"&amp;$D11,Данные!$R$2:$R$201,"&lt;="&amp;$E11,Данные!$S$2:$S$201,"&gt;"&amp;K$5,Данные!$S$2:$S$201,"&lt;="&amp;K$6)</f>
        <v>12</v>
      </c>
      <c r="L11" s="49">
        <f>COUNTIFS(Данные!$R$2:$R$201,"&gt;"&amp;$D11,Данные!$R$2:$R$201,"&lt;="&amp;$E11,Данные!$S$2:$S$201,"&gt;"&amp;L$5,Данные!$S$2:$S$201,"&lt;="&amp;L$6)</f>
        <v>4</v>
      </c>
      <c r="M11" s="49">
        <f>COUNTIFS(Данные!$R$2:$R$201,"&gt;"&amp;$D11,Данные!$R$2:$R$201,"&lt;="&amp;$E11,Данные!$S$2:$S$201,"&gt;"&amp;M$5,Данные!$S$2:$S$201,"&lt;="&amp;M$6)</f>
        <v>1</v>
      </c>
      <c r="N11" s="49">
        <f>COUNTIFS(Данные!$R$2:$R$201,"&gt;"&amp;$D11,Данные!$R$2:$R$201,"&lt;="&amp;$E11,Данные!$S$2:$S$201,"&gt;"&amp;N$5,Данные!$S$2:$S$201,"&lt;="&amp;N$6)</f>
        <v>1</v>
      </c>
      <c r="O11" s="49">
        <f>COUNTIFS(Данные!$R$2:$R$201,"&gt;"&amp;$D11,Данные!$R$2:$R$201,"&lt;="&amp;$E11,Данные!$S$2:$S$201,"&gt;"&amp;O$5,Данные!$S$2:$S$201,"&lt;="&amp;O$6)</f>
        <v>1</v>
      </c>
      <c r="P11" s="57">
        <f>COUNTIFS(Данные!$R$2:$R$201,"&gt;"&amp;$D11,Данные!$R$2:$R$201,"&lt;="&amp;$E11,Данные!$S$2:$S$201,"&gt;"&amp;P$5,Данные!$S$2:$S$201,"&lt;="&amp;P$6)</f>
        <v>2</v>
      </c>
      <c r="Q11" s="69">
        <f t="shared" si="3"/>
        <v>41</v>
      </c>
      <c r="R11" s="190">
        <f t="shared" si="4"/>
        <v>63.118292682926842</v>
      </c>
      <c r="S11" s="191"/>
    </row>
    <row r="12" spans="1:19" x14ac:dyDescent="0.3">
      <c r="A12" s="48"/>
      <c r="B12" s="48"/>
      <c r="C12" s="48"/>
      <c r="D12" s="58">
        <f>№2!D14</f>
        <v>166.20000000000005</v>
      </c>
      <c r="E12" s="49">
        <f>№2!E14</f>
        <v>169.00000000000006</v>
      </c>
      <c r="F12" s="68">
        <f t="shared" si="2"/>
        <v>167.60000000000005</v>
      </c>
      <c r="G12" s="49">
        <f>COUNTIFS(Данные!$R$2:$R$201,"&gt;"&amp;$D12,Данные!$R$2:$R$201,"&lt;="&amp;$E12,Данные!$S$2:$S$201,"&gt;="&amp;G$5,Данные!$S$2:$S$201,"&lt;="&amp;G$6)</f>
        <v>1</v>
      </c>
      <c r="H12" s="49">
        <f>COUNTIFS(Данные!$R$2:$R$201,"&gt;"&amp;$D12,Данные!$R$2:$R$201,"&lt;="&amp;$E12,Данные!$S$2:$S$201,"&gt;"&amp;H$5,Данные!$S$2:$S$201,"&lt;="&amp;H$6)</f>
        <v>2</v>
      </c>
      <c r="I12" s="49">
        <f>COUNTIFS(Данные!$R$2:$R$201,"&gt;"&amp;$D12,Данные!$R$2:$R$201,"&lt;="&amp;$E12,Данные!$S$2:$S$201,"&gt;"&amp;I$5,Данные!$S$2:$S$201,"&lt;="&amp;I$6)</f>
        <v>5</v>
      </c>
      <c r="J12" s="49">
        <f>COUNTIFS(Данные!$R$2:$R$201,"&gt;"&amp;$D12,Данные!$R$2:$R$201,"&lt;="&amp;$E12,Данные!$S$2:$S$201,"&gt;"&amp;J$5,Данные!$S$2:$S$201,"&lt;="&amp;J$6)</f>
        <v>5</v>
      </c>
      <c r="K12" s="49">
        <f>COUNTIFS(Данные!$R$2:$R$201,"&gt;"&amp;$D12,Данные!$R$2:$R$201,"&lt;="&amp;$E12,Данные!$S$2:$S$201,"&gt;"&amp;K$5,Данные!$S$2:$S$201,"&lt;="&amp;K$6)</f>
        <v>9</v>
      </c>
      <c r="L12" s="49">
        <f>COUNTIFS(Данные!$R$2:$R$201,"&gt;"&amp;$D12,Данные!$R$2:$R$201,"&lt;="&amp;$E12,Данные!$S$2:$S$201,"&gt;"&amp;L$5,Данные!$S$2:$S$201,"&lt;="&amp;L$6)</f>
        <v>8</v>
      </c>
      <c r="M12" s="49">
        <f>COUNTIFS(Данные!$R$2:$R$201,"&gt;"&amp;$D12,Данные!$R$2:$R$201,"&lt;="&amp;$E12,Данные!$S$2:$S$201,"&gt;"&amp;M$5,Данные!$S$2:$S$201,"&lt;="&amp;M$6)</f>
        <v>2</v>
      </c>
      <c r="N12" s="49">
        <f>COUNTIFS(Данные!$R$2:$R$201,"&gt;"&amp;$D12,Данные!$R$2:$R$201,"&lt;="&amp;$E12,Данные!$S$2:$S$201,"&gt;"&amp;N$5,Данные!$S$2:$S$201,"&lt;="&amp;N$6)</f>
        <v>1</v>
      </c>
      <c r="O12" s="49">
        <f>COUNTIFS(Данные!$R$2:$R$201,"&gt;"&amp;$D12,Данные!$R$2:$R$201,"&lt;="&amp;$E12,Данные!$S$2:$S$201,"&gt;"&amp;O$5,Данные!$S$2:$S$201,"&lt;="&amp;O$6)</f>
        <v>1</v>
      </c>
      <c r="P12" s="57">
        <f>COUNTIFS(Данные!$R$2:$R$201,"&gt;"&amp;$D12,Данные!$R$2:$R$201,"&lt;="&amp;$E12,Данные!$S$2:$S$201,"&gt;"&amp;P$5,Данные!$S$2:$S$201,"&lt;="&amp;P$6)</f>
        <v>0</v>
      </c>
      <c r="Q12" s="69">
        <f t="shared" si="3"/>
        <v>34</v>
      </c>
      <c r="R12" s="190">
        <f t="shared" si="4"/>
        <v>63.402941176470584</v>
      </c>
      <c r="S12" s="191"/>
    </row>
    <row r="13" spans="1:19" x14ac:dyDescent="0.3">
      <c r="A13" s="48"/>
      <c r="B13" s="48"/>
      <c r="C13" s="48"/>
      <c r="D13" s="58">
        <f>№2!D15</f>
        <v>169.00000000000006</v>
      </c>
      <c r="E13" s="49">
        <f>№2!E15</f>
        <v>171.80000000000007</v>
      </c>
      <c r="F13" s="68">
        <f t="shared" si="2"/>
        <v>170.40000000000006</v>
      </c>
      <c r="G13" s="49">
        <f>COUNTIFS(Данные!$R$2:$R$201,"&gt;"&amp;$D13,Данные!$R$2:$R$201,"&lt;="&amp;$E13,Данные!$S$2:$S$201,"&gt;="&amp;G$5,Данные!$S$2:$S$201,"&lt;="&amp;G$6)</f>
        <v>0</v>
      </c>
      <c r="H13" s="49">
        <f>COUNTIFS(Данные!$R$2:$R$201,"&gt;"&amp;$D13,Данные!$R$2:$R$201,"&lt;="&amp;$E13,Данные!$S$2:$S$201,"&gt;"&amp;H$5,Данные!$S$2:$S$201,"&lt;="&amp;H$6)</f>
        <v>0</v>
      </c>
      <c r="I13" s="49">
        <f>COUNTIFS(Данные!$R$2:$R$201,"&gt;"&amp;$D13,Данные!$R$2:$R$201,"&lt;="&amp;$E13,Данные!$S$2:$S$201,"&gt;"&amp;I$5,Данные!$S$2:$S$201,"&lt;="&amp;I$6)</f>
        <v>2</v>
      </c>
      <c r="J13" s="49">
        <f>COUNTIFS(Данные!$R$2:$R$201,"&gt;"&amp;$D13,Данные!$R$2:$R$201,"&lt;="&amp;$E13,Данные!$S$2:$S$201,"&gt;"&amp;J$5,Данные!$S$2:$S$201,"&lt;="&amp;J$6)</f>
        <v>4</v>
      </c>
      <c r="K13" s="49">
        <f>COUNTIFS(Данные!$R$2:$R$201,"&gt;"&amp;$D13,Данные!$R$2:$R$201,"&lt;="&amp;$E13,Данные!$S$2:$S$201,"&gt;"&amp;K$5,Данные!$S$2:$S$201,"&lt;="&amp;K$6)</f>
        <v>6</v>
      </c>
      <c r="L13" s="49">
        <f>COUNTIFS(Данные!$R$2:$R$201,"&gt;"&amp;$D13,Данные!$R$2:$R$201,"&lt;="&amp;$E13,Данные!$S$2:$S$201,"&gt;"&amp;L$5,Данные!$S$2:$S$201,"&lt;="&amp;L$6)</f>
        <v>10</v>
      </c>
      <c r="M13" s="49">
        <f>COUNTIFS(Данные!$R$2:$R$201,"&gt;"&amp;$D13,Данные!$R$2:$R$201,"&lt;="&amp;$E13,Данные!$S$2:$S$201,"&gt;"&amp;M$5,Данные!$S$2:$S$201,"&lt;="&amp;M$6)</f>
        <v>3</v>
      </c>
      <c r="N13" s="49">
        <f>COUNTIFS(Данные!$R$2:$R$201,"&gt;"&amp;$D13,Данные!$R$2:$R$201,"&lt;="&amp;$E13,Данные!$S$2:$S$201,"&gt;"&amp;N$5,Данные!$S$2:$S$201,"&lt;="&amp;N$6)</f>
        <v>2</v>
      </c>
      <c r="O13" s="49">
        <f>COUNTIFS(Данные!$R$2:$R$201,"&gt;"&amp;$D13,Данные!$R$2:$R$201,"&lt;="&amp;$E13,Данные!$S$2:$S$201,"&gt;"&amp;O$5,Данные!$S$2:$S$201,"&lt;="&amp;O$6)</f>
        <v>2</v>
      </c>
      <c r="P13" s="57">
        <f>COUNTIFS(Данные!$R$2:$R$201,"&gt;"&amp;$D13,Данные!$R$2:$R$201,"&lt;="&amp;$E13,Данные!$S$2:$S$201,"&gt;"&amp;P$5,Данные!$S$2:$S$201,"&lt;="&amp;P$6)</f>
        <v>0</v>
      </c>
      <c r="Q13" s="69">
        <f t="shared" si="3"/>
        <v>29</v>
      </c>
      <c r="R13" s="190">
        <f t="shared" si="4"/>
        <v>66.301724137931046</v>
      </c>
      <c r="S13" s="191"/>
    </row>
    <row r="14" spans="1:19" x14ac:dyDescent="0.3">
      <c r="A14" s="48"/>
      <c r="B14" s="48"/>
      <c r="C14" s="48"/>
      <c r="D14" s="58">
        <f>№2!D16</f>
        <v>171.80000000000007</v>
      </c>
      <c r="E14" s="49">
        <f>№2!E16</f>
        <v>174.60000000000008</v>
      </c>
      <c r="F14" s="68">
        <f t="shared" si="2"/>
        <v>173.20000000000007</v>
      </c>
      <c r="G14" s="49">
        <f>COUNTIFS(Данные!$R$2:$R$201,"&gt;"&amp;$D14,Данные!$R$2:$R$201,"&lt;="&amp;$E14,Данные!$S$2:$S$201,"&gt;="&amp;G$5,Данные!$S$2:$S$201,"&lt;="&amp;G$6)</f>
        <v>0</v>
      </c>
      <c r="H14" s="49">
        <f>COUNTIFS(Данные!$R$2:$R$201,"&gt;"&amp;$D14,Данные!$R$2:$R$201,"&lt;="&amp;$E14,Данные!$S$2:$S$201,"&gt;"&amp;H$5,Данные!$S$2:$S$201,"&lt;="&amp;H$6)</f>
        <v>0</v>
      </c>
      <c r="I14" s="49">
        <f>COUNTIFS(Данные!$R$2:$R$201,"&gt;"&amp;$D14,Данные!$R$2:$R$201,"&lt;="&amp;$E14,Данные!$S$2:$S$201,"&gt;"&amp;I$5,Данные!$S$2:$S$201,"&lt;="&amp;I$6)</f>
        <v>0</v>
      </c>
      <c r="J14" s="49">
        <f>COUNTIFS(Данные!$R$2:$R$201,"&gt;"&amp;$D14,Данные!$R$2:$R$201,"&lt;="&amp;$E14,Данные!$S$2:$S$201,"&gt;"&amp;J$5,Данные!$S$2:$S$201,"&lt;="&amp;J$6)</f>
        <v>0</v>
      </c>
      <c r="K14" s="49">
        <f>COUNTIFS(Данные!$R$2:$R$201,"&gt;"&amp;$D14,Данные!$R$2:$R$201,"&lt;="&amp;$E14,Данные!$S$2:$S$201,"&gt;"&amp;K$5,Данные!$S$2:$S$201,"&lt;="&amp;K$6)</f>
        <v>4</v>
      </c>
      <c r="L14" s="49">
        <f>COUNTIFS(Данные!$R$2:$R$201,"&gt;"&amp;$D14,Данные!$R$2:$R$201,"&lt;="&amp;$E14,Данные!$S$2:$S$201,"&gt;"&amp;L$5,Данные!$S$2:$S$201,"&lt;="&amp;L$6)</f>
        <v>9</v>
      </c>
      <c r="M14" s="49">
        <f>COUNTIFS(Данные!$R$2:$R$201,"&gt;"&amp;$D14,Данные!$R$2:$R$201,"&lt;="&amp;$E14,Данные!$S$2:$S$201,"&gt;"&amp;M$5,Данные!$S$2:$S$201,"&lt;="&amp;M$6)</f>
        <v>6</v>
      </c>
      <c r="N14" s="49">
        <f>COUNTIFS(Данные!$R$2:$R$201,"&gt;"&amp;$D14,Данные!$R$2:$R$201,"&lt;="&amp;$E14,Данные!$S$2:$S$201,"&gt;"&amp;N$5,Данные!$S$2:$S$201,"&lt;="&amp;N$6)</f>
        <v>3</v>
      </c>
      <c r="O14" s="49">
        <f>COUNTIFS(Данные!$R$2:$R$201,"&gt;"&amp;$D14,Данные!$R$2:$R$201,"&lt;="&amp;$E14,Данные!$S$2:$S$201,"&gt;"&amp;O$5,Данные!$S$2:$S$201,"&lt;="&amp;O$6)</f>
        <v>3</v>
      </c>
      <c r="P14" s="57">
        <f>COUNTIFS(Данные!$R$2:$R$201,"&gt;"&amp;$D14,Данные!$R$2:$R$201,"&lt;="&amp;$E14,Данные!$S$2:$S$201,"&gt;"&amp;P$5,Данные!$S$2:$S$201,"&lt;="&amp;P$6)</f>
        <v>1</v>
      </c>
      <c r="Q14" s="69">
        <f t="shared" si="3"/>
        <v>26</v>
      </c>
      <c r="R14" s="190">
        <f t="shared" si="4"/>
        <v>69.553846153846166</v>
      </c>
      <c r="S14" s="191"/>
    </row>
    <row r="15" spans="1:19" x14ac:dyDescent="0.3">
      <c r="A15" s="48"/>
      <c r="B15" s="48"/>
      <c r="C15" s="48"/>
      <c r="D15" s="58">
        <f>№2!D17</f>
        <v>174.60000000000008</v>
      </c>
      <c r="E15" s="49">
        <f>№2!E17</f>
        <v>177.40000000000009</v>
      </c>
      <c r="F15" s="68">
        <f t="shared" si="2"/>
        <v>176.00000000000009</v>
      </c>
      <c r="G15" s="49">
        <f>COUNTIFS(Данные!$R$2:$R$201,"&gt;"&amp;$D15,Данные!$R$2:$R$201,"&lt;="&amp;$E15,Данные!$S$2:$S$201,"&gt;="&amp;G$5,Данные!$S$2:$S$201,"&lt;="&amp;G$6)</f>
        <v>0</v>
      </c>
      <c r="H15" s="49">
        <f>COUNTIFS(Данные!$R$2:$R$201,"&gt;"&amp;$D15,Данные!$R$2:$R$201,"&lt;="&amp;$E15,Данные!$S$2:$S$201,"&gt;"&amp;H$5,Данные!$S$2:$S$201,"&lt;="&amp;H$6)</f>
        <v>0</v>
      </c>
      <c r="I15" s="49">
        <f>COUNTIFS(Данные!$R$2:$R$201,"&gt;"&amp;$D15,Данные!$R$2:$R$201,"&lt;="&amp;$E15,Данные!$S$2:$S$201,"&gt;"&amp;I$5,Данные!$S$2:$S$201,"&lt;="&amp;I$6)</f>
        <v>0</v>
      </c>
      <c r="J15" s="49">
        <f>COUNTIFS(Данные!$R$2:$R$201,"&gt;"&amp;$D15,Данные!$R$2:$R$201,"&lt;="&amp;$E15,Данные!$S$2:$S$201,"&gt;"&amp;J$5,Данные!$S$2:$S$201,"&lt;="&amp;J$6)</f>
        <v>1</v>
      </c>
      <c r="K15" s="49">
        <f>COUNTIFS(Данные!$R$2:$R$201,"&gt;"&amp;$D15,Данные!$R$2:$R$201,"&lt;="&amp;$E15,Данные!$S$2:$S$201,"&gt;"&amp;K$5,Данные!$S$2:$S$201,"&lt;="&amp;K$6)</f>
        <v>0</v>
      </c>
      <c r="L15" s="49">
        <f>COUNTIFS(Данные!$R$2:$R$201,"&gt;"&amp;$D15,Данные!$R$2:$R$201,"&lt;="&amp;$E15,Данные!$S$2:$S$201,"&gt;"&amp;L$5,Данные!$S$2:$S$201,"&lt;="&amp;L$6)</f>
        <v>2</v>
      </c>
      <c r="M15" s="49">
        <f>COUNTIFS(Данные!$R$2:$R$201,"&gt;"&amp;$D15,Данные!$R$2:$R$201,"&lt;="&amp;$E15,Данные!$S$2:$S$201,"&gt;"&amp;M$5,Данные!$S$2:$S$201,"&lt;="&amp;M$6)</f>
        <v>1</v>
      </c>
      <c r="N15" s="49">
        <f>COUNTIFS(Данные!$R$2:$R$201,"&gt;"&amp;$D15,Данные!$R$2:$R$201,"&lt;="&amp;$E15,Данные!$S$2:$S$201,"&gt;"&amp;N$5,Данные!$S$2:$S$201,"&lt;="&amp;N$6)</f>
        <v>1</v>
      </c>
      <c r="O15" s="49">
        <f>COUNTIFS(Данные!$R$2:$R$201,"&gt;"&amp;$D15,Данные!$R$2:$R$201,"&lt;="&amp;$E15,Данные!$S$2:$S$201,"&gt;"&amp;O$5,Данные!$S$2:$S$201,"&lt;="&amp;O$6)</f>
        <v>3</v>
      </c>
      <c r="P15" s="57">
        <f>COUNTIFS(Данные!$R$2:$R$201,"&gt;"&amp;$D15,Данные!$R$2:$R$201,"&lt;="&amp;$E15,Данные!$S$2:$S$201,"&gt;"&amp;P$5,Данные!$S$2:$S$201,"&lt;="&amp;P$6)</f>
        <v>3</v>
      </c>
      <c r="Q15" s="69">
        <f t="shared" si="3"/>
        <v>11</v>
      </c>
      <c r="R15" s="190">
        <f t="shared" si="4"/>
        <v>73.249999999999986</v>
      </c>
      <c r="S15" s="191"/>
    </row>
    <row r="16" spans="1:19" x14ac:dyDescent="0.3">
      <c r="A16" s="48"/>
      <c r="B16" s="48"/>
      <c r="C16" s="48"/>
      <c r="D16" s="58">
        <f>№2!D18</f>
        <v>177.40000000000009</v>
      </c>
      <c r="E16" s="49">
        <f>№2!E18</f>
        <v>180.2000000000001</v>
      </c>
      <c r="F16" s="68">
        <f t="shared" si="2"/>
        <v>178.8000000000001</v>
      </c>
      <c r="G16" s="49">
        <f>COUNTIFS(Данные!$R$2:$R$201,"&gt;"&amp;$D16,Данные!$R$2:$R$201,"&lt;="&amp;$E16,Данные!$S$2:$S$201,"&gt;="&amp;G$5,Данные!$S$2:$S$201,"&lt;="&amp;G$6)</f>
        <v>0</v>
      </c>
      <c r="H16" s="49">
        <f>COUNTIFS(Данные!$R$2:$R$201,"&gt;"&amp;$D16,Данные!$R$2:$R$201,"&lt;="&amp;$E16,Данные!$S$2:$S$201,"&gt;"&amp;H$5,Данные!$S$2:$S$201,"&lt;="&amp;H$6)</f>
        <v>0</v>
      </c>
      <c r="I16" s="49">
        <f>COUNTIFS(Данные!$R$2:$R$201,"&gt;"&amp;$D16,Данные!$R$2:$R$201,"&lt;="&amp;$E16,Данные!$S$2:$S$201,"&gt;"&amp;I$5,Данные!$S$2:$S$201,"&lt;="&amp;I$6)</f>
        <v>0</v>
      </c>
      <c r="J16" s="49">
        <f>COUNTIFS(Данные!$R$2:$R$201,"&gt;"&amp;$D16,Данные!$R$2:$R$201,"&lt;="&amp;$E16,Данные!$S$2:$S$201,"&gt;"&amp;J$5,Данные!$S$2:$S$201,"&lt;="&amp;J$6)</f>
        <v>0</v>
      </c>
      <c r="K16" s="49">
        <f>COUNTIFS(Данные!$R$2:$R$201,"&gt;"&amp;$D16,Данные!$R$2:$R$201,"&lt;="&amp;$E16,Данные!$S$2:$S$201,"&gt;"&amp;K$5,Данные!$S$2:$S$201,"&lt;="&amp;K$6)</f>
        <v>1</v>
      </c>
      <c r="L16" s="49">
        <f>COUNTIFS(Данные!$R$2:$R$201,"&gt;"&amp;$D16,Данные!$R$2:$R$201,"&lt;="&amp;$E16,Данные!$S$2:$S$201,"&gt;"&amp;L$5,Данные!$S$2:$S$201,"&lt;="&amp;L$6)</f>
        <v>0</v>
      </c>
      <c r="M16" s="49">
        <f>COUNTIFS(Данные!$R$2:$R$201,"&gt;"&amp;$D16,Данные!$R$2:$R$201,"&lt;="&amp;$E16,Данные!$S$2:$S$201,"&gt;"&amp;M$5,Данные!$S$2:$S$201,"&lt;="&amp;M$6)</f>
        <v>4</v>
      </c>
      <c r="N16" s="49">
        <f>COUNTIFS(Данные!$R$2:$R$201,"&gt;"&amp;$D16,Данные!$R$2:$R$201,"&lt;="&amp;$E16,Данные!$S$2:$S$201,"&gt;"&amp;N$5,Данные!$S$2:$S$201,"&lt;="&amp;N$6)</f>
        <v>0</v>
      </c>
      <c r="O16" s="49">
        <f>COUNTIFS(Данные!$R$2:$R$201,"&gt;"&amp;$D16,Данные!$R$2:$R$201,"&lt;="&amp;$E16,Данные!$S$2:$S$201,"&gt;"&amp;O$5,Данные!$S$2:$S$201,"&lt;="&amp;O$6)</f>
        <v>2</v>
      </c>
      <c r="P16" s="57">
        <f>COUNTIFS(Данные!$R$2:$R$201,"&gt;"&amp;$D16,Данные!$R$2:$R$201,"&lt;="&amp;$E16,Данные!$S$2:$S$201,"&gt;"&amp;P$5,Данные!$S$2:$S$201,"&lt;="&amp;P$6)</f>
        <v>2</v>
      </c>
      <c r="Q16" s="69">
        <f t="shared" si="3"/>
        <v>9</v>
      </c>
      <c r="R16" s="190">
        <f t="shared" si="4"/>
        <v>72.905555555555537</v>
      </c>
      <c r="S16" s="191"/>
    </row>
    <row r="17" spans="1:19" ht="15" thickBot="1" x14ac:dyDescent="0.35">
      <c r="A17" s="48"/>
      <c r="B17" s="48"/>
      <c r="C17" s="48"/>
      <c r="D17" s="59">
        <f>№2!D19</f>
        <v>180.2000000000001</v>
      </c>
      <c r="E17" s="60">
        <f>№2!E19</f>
        <v>183.00000000000011</v>
      </c>
      <c r="F17" s="68">
        <f t="shared" si="2"/>
        <v>181.60000000000011</v>
      </c>
      <c r="G17" s="60">
        <f>COUNTIFS(Данные!$R$2:$R$201,"&gt;"&amp;$D17,Данные!$R$2:$R$201,"&lt;="&amp;$E17,Данные!$S$2:$S$201,"&gt;="&amp;G$5,Данные!$S$2:$S$201,"&lt;="&amp;G$6)</f>
        <v>0</v>
      </c>
      <c r="H17" s="60">
        <f>COUNTIFS(Данные!$R$2:$R$201,"&gt;"&amp;$D17,Данные!$R$2:$R$201,"&lt;="&amp;$E17,Данные!$S$2:$S$201,"&gt;"&amp;H$5,Данные!$S$2:$S$201,"&lt;="&amp;H$6)</f>
        <v>0</v>
      </c>
      <c r="I17" s="60">
        <f>COUNTIFS(Данные!$R$2:$R$201,"&gt;"&amp;$D17,Данные!$R$2:$R$201,"&lt;="&amp;$E17,Данные!$S$2:$S$201,"&gt;"&amp;I$5,Данные!$S$2:$S$201,"&lt;="&amp;I$6)</f>
        <v>0</v>
      </c>
      <c r="J17" s="60">
        <f>COUNTIFS(Данные!$R$2:$R$201,"&gt;"&amp;$D17,Данные!$R$2:$R$201,"&lt;="&amp;$E17,Данные!$S$2:$S$201,"&gt;"&amp;J$5,Данные!$S$2:$S$201,"&lt;="&amp;J$6)</f>
        <v>0</v>
      </c>
      <c r="K17" s="60">
        <f>COUNTIFS(Данные!$R$2:$R$201,"&gt;"&amp;$D17,Данные!$R$2:$R$201,"&lt;="&amp;$E17,Данные!$S$2:$S$201,"&gt;"&amp;K$5,Данные!$S$2:$S$201,"&lt;="&amp;K$6)</f>
        <v>0</v>
      </c>
      <c r="L17" s="60">
        <f>COUNTIFS(Данные!$R$2:$R$201,"&gt;"&amp;$D17,Данные!$R$2:$R$201,"&lt;="&amp;$E17,Данные!$S$2:$S$201,"&gt;"&amp;L$5,Данные!$S$2:$S$201,"&lt;="&amp;L$6)</f>
        <v>1</v>
      </c>
      <c r="M17" s="60">
        <f>COUNTIFS(Данные!$R$2:$R$201,"&gt;"&amp;$D17,Данные!$R$2:$R$201,"&lt;="&amp;$E17,Данные!$S$2:$S$201,"&gt;"&amp;M$5,Данные!$S$2:$S$201,"&lt;="&amp;M$6)</f>
        <v>0</v>
      </c>
      <c r="N17" s="60">
        <f>COUNTIFS(Данные!$R$2:$R$201,"&gt;"&amp;$D17,Данные!$R$2:$R$201,"&lt;="&amp;$E17,Данные!$S$2:$S$201,"&gt;"&amp;N$5,Данные!$S$2:$S$201,"&lt;="&amp;N$6)</f>
        <v>1</v>
      </c>
      <c r="O17" s="60">
        <f>COUNTIFS(Данные!$R$2:$R$201,"&gt;"&amp;$D17,Данные!$R$2:$R$201,"&lt;="&amp;$E17,Данные!$S$2:$S$201,"&gt;"&amp;O$5,Данные!$S$2:$S$201,"&lt;="&amp;O$6)</f>
        <v>1</v>
      </c>
      <c r="P17" s="61">
        <f>COUNTIFS(Данные!$R$2:$R$201,"&gt;"&amp;$D17,Данные!$R$2:$R$201,"&lt;="&amp;$E17,Данные!$S$2:$S$201,"&gt;"&amp;P$5,Данные!$S$2:$S$201,"&lt;="&amp;P$6)</f>
        <v>0</v>
      </c>
      <c r="Q17" s="69">
        <f t="shared" si="3"/>
        <v>3</v>
      </c>
      <c r="R17" s="190">
        <f t="shared" si="4"/>
        <v>72.216666666666654</v>
      </c>
      <c r="S17" s="191"/>
    </row>
    <row r="18" spans="1:19" x14ac:dyDescent="0.3">
      <c r="A18" s="48"/>
      <c r="B18" s="48"/>
      <c r="C18" s="48"/>
      <c r="D18" s="53" t="s">
        <v>70</v>
      </c>
      <c r="E18" s="54" t="s">
        <v>65</v>
      </c>
      <c r="F18" s="62"/>
      <c r="G18" s="54">
        <f>SUM(G8:G17)</f>
        <v>8</v>
      </c>
      <c r="H18" s="54">
        <f t="shared" ref="H18:P18" si="5">SUM(H8:H17)</f>
        <v>17</v>
      </c>
      <c r="I18" s="54">
        <f t="shared" si="5"/>
        <v>17</v>
      </c>
      <c r="J18" s="54">
        <f t="shared" si="5"/>
        <v>29</v>
      </c>
      <c r="K18" s="54">
        <f t="shared" si="5"/>
        <v>41</v>
      </c>
      <c r="L18" s="54">
        <f t="shared" si="5"/>
        <v>41</v>
      </c>
      <c r="M18" s="54">
        <f t="shared" si="5"/>
        <v>17</v>
      </c>
      <c r="N18" s="54">
        <f t="shared" si="5"/>
        <v>9</v>
      </c>
      <c r="O18" s="54">
        <f t="shared" si="5"/>
        <v>13</v>
      </c>
      <c r="P18" s="54">
        <f t="shared" si="5"/>
        <v>8</v>
      </c>
      <c r="Q18" s="70">
        <f>SUM(G18:P18)</f>
        <v>200</v>
      </c>
      <c r="R18" s="70"/>
      <c r="S18" s="71"/>
    </row>
    <row r="19" spans="1:19" ht="15" thickBot="1" x14ac:dyDescent="0.35">
      <c r="A19" s="48"/>
      <c r="B19" s="48"/>
      <c r="C19" s="48"/>
      <c r="D19" s="184" t="s">
        <v>66</v>
      </c>
      <c r="E19" s="185"/>
      <c r="F19" s="63"/>
      <c r="G19" s="66">
        <f>1/G18*SUMPRODUCT($F$8:$F$17,G8:G17)</f>
        <v>160.95000000000005</v>
      </c>
      <c r="H19" s="66">
        <f t="shared" ref="H19:P19" si="6">1/H18*SUMPRODUCT($F$8:$F$17,H8:H17)</f>
        <v>162.49411764705889</v>
      </c>
      <c r="I19" s="66">
        <f t="shared" si="6"/>
        <v>164.14117647058828</v>
      </c>
      <c r="J19" s="66">
        <f t="shared" si="6"/>
        <v>164.99310344827589</v>
      </c>
      <c r="K19" s="66">
        <f t="shared" si="6"/>
        <v>166.78048780487811</v>
      </c>
      <c r="L19" s="66">
        <f t="shared" si="6"/>
        <v>168.96585365853664</v>
      </c>
      <c r="M19" s="66">
        <f t="shared" si="6"/>
        <v>173.03529411764711</v>
      </c>
      <c r="N19" s="66">
        <f t="shared" si="6"/>
        <v>172.26666666666674</v>
      </c>
      <c r="O19" s="66">
        <f t="shared" si="6"/>
        <v>173.84615384615392</v>
      </c>
      <c r="P19" s="66">
        <f t="shared" si="6"/>
        <v>173.55000000000007</v>
      </c>
      <c r="Q19" s="178" t="s">
        <v>71</v>
      </c>
      <c r="R19" s="179"/>
      <c r="S19" s="72" t="b">
        <f>Q18=Данные!U2</f>
        <v>1</v>
      </c>
    </row>
    <row r="20" spans="1:19" x14ac:dyDescent="0.3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</row>
    <row r="21" spans="1:19" ht="15" thickBot="1" x14ac:dyDescent="0.3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</row>
    <row r="22" spans="1:19" ht="15" thickBot="1" x14ac:dyDescent="0.35">
      <c r="A22" s="48"/>
      <c r="B22" s="48"/>
      <c r="C22" s="48"/>
      <c r="D22" s="48"/>
      <c r="E22" s="48"/>
      <c r="F22" s="48"/>
      <c r="G22" s="67" t="s">
        <v>69</v>
      </c>
      <c r="H22" s="176" t="s">
        <v>68</v>
      </c>
      <c r="I22" s="176"/>
      <c r="J22" s="176"/>
      <c r="K22" s="176"/>
      <c r="L22" s="176"/>
      <c r="M22" s="176"/>
      <c r="N22" s="176"/>
      <c r="O22" s="176"/>
      <c r="P22" s="176"/>
      <c r="Q22" s="176"/>
      <c r="R22" s="177"/>
    </row>
    <row r="23" spans="1:19" x14ac:dyDescent="0.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</row>
    <row r="24" spans="1:19" x14ac:dyDescent="0.3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9" x14ac:dyDescent="0.3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</row>
    <row r="26" spans="1:19" x14ac:dyDescent="0.3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</row>
    <row r="27" spans="1:19" x14ac:dyDescent="0.3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</row>
    <row r="28" spans="1:19" x14ac:dyDescent="0.3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</row>
  </sheetData>
  <mergeCells count="16">
    <mergeCell ref="H22:R22"/>
    <mergeCell ref="Q19:R19"/>
    <mergeCell ref="D5:E6"/>
    <mergeCell ref="D19:E19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A235-BD19-4AC0-94D1-B2BFC359624D}">
  <dimension ref="C2:V24"/>
  <sheetViews>
    <sheetView zoomScale="77" workbookViewId="0">
      <selection activeCell="H32" sqref="H32"/>
    </sheetView>
  </sheetViews>
  <sheetFormatPr defaultRowHeight="14.4" x14ac:dyDescent="0.3"/>
  <cols>
    <col min="16" max="16" width="9.6640625" bestFit="1" customWidth="1"/>
    <col min="17" max="17" width="12" bestFit="1" customWidth="1"/>
    <col min="19" max="19" width="10.33203125" bestFit="1" customWidth="1"/>
  </cols>
  <sheetData>
    <row r="2" spans="3:19" ht="15" thickBot="1" x14ac:dyDescent="0.35"/>
    <row r="3" spans="3:19" x14ac:dyDescent="0.3">
      <c r="C3" s="207" t="str">
        <f>№9!D5</f>
        <v>X_рост/Y_вес</v>
      </c>
      <c r="D3" s="208"/>
      <c r="E3" s="121" t="str">
        <f>№9!F5</f>
        <v>left</v>
      </c>
      <c r="F3" s="121">
        <f>№9!G5</f>
        <v>50</v>
      </c>
      <c r="G3" s="121">
        <f>№9!H5</f>
        <v>53.1</v>
      </c>
      <c r="H3" s="121">
        <f>№9!I5</f>
        <v>56.2</v>
      </c>
      <c r="I3" s="121">
        <f>№9!J5</f>
        <v>59.300000000000004</v>
      </c>
      <c r="J3" s="121">
        <f>№9!K5</f>
        <v>62.400000000000006</v>
      </c>
      <c r="K3" s="121">
        <f>№9!L5</f>
        <v>65.5</v>
      </c>
      <c r="L3" s="121">
        <f>№9!M5</f>
        <v>68.599999999999994</v>
      </c>
      <c r="M3" s="121">
        <f>№9!N5</f>
        <v>71.699999999999989</v>
      </c>
      <c r="N3" s="121">
        <f>№9!O5</f>
        <v>74.799999999999983</v>
      </c>
      <c r="O3" s="121">
        <f>№9!P5</f>
        <v>77.899999999999977</v>
      </c>
      <c r="P3" s="121" t="str">
        <f>№9!Q5</f>
        <v>Сумма</v>
      </c>
      <c r="Q3" s="121"/>
      <c r="R3" s="121"/>
      <c r="S3" s="145"/>
    </row>
    <row r="4" spans="3:19" x14ac:dyDescent="0.3">
      <c r="C4" s="209"/>
      <c r="D4" s="204"/>
      <c r="E4" s="48" t="str">
        <f>№9!F6</f>
        <v>right</v>
      </c>
      <c r="F4" s="48">
        <f>№9!G6</f>
        <v>53.1</v>
      </c>
      <c r="G4" s="48">
        <f>№9!H6</f>
        <v>56.2</v>
      </c>
      <c r="H4" s="48">
        <f>№9!I6</f>
        <v>59.300000000000004</v>
      </c>
      <c r="I4" s="48">
        <f>№9!J6</f>
        <v>62.400000000000006</v>
      </c>
      <c r="J4" s="48">
        <f>№9!K6</f>
        <v>65.5</v>
      </c>
      <c r="K4" s="48">
        <f>№9!L6</f>
        <v>68.599999999999994</v>
      </c>
      <c r="L4" s="48">
        <f>№9!M6</f>
        <v>71.699999999999989</v>
      </c>
      <c r="M4" s="48">
        <f>№9!N6</f>
        <v>74.799999999999983</v>
      </c>
      <c r="N4" s="48">
        <f>№9!O6</f>
        <v>77.899999999999977</v>
      </c>
      <c r="O4" s="48">
        <f>№9!P6</f>
        <v>80.999999999999972</v>
      </c>
      <c r="P4" s="48" t="str">
        <f>№9!Q6</f>
        <v>n_Y</v>
      </c>
      <c r="Q4" s="204" t="str">
        <f>№9!R6</f>
        <v>Условные средние</v>
      </c>
      <c r="R4" s="204"/>
      <c r="S4" s="16" t="s">
        <v>72</v>
      </c>
    </row>
    <row r="5" spans="3:19" x14ac:dyDescent="0.3">
      <c r="C5" s="148" t="str">
        <f>№9!D7</f>
        <v>left</v>
      </c>
      <c r="D5" s="48" t="str">
        <f>№9!E7</f>
        <v>right</v>
      </c>
      <c r="E5" s="146" t="str">
        <f>№9!F7</f>
        <v>Среднее</v>
      </c>
      <c r="F5" s="146">
        <f>№9!G7</f>
        <v>51.55</v>
      </c>
      <c r="G5" s="146">
        <f>№9!H7</f>
        <v>54.650000000000006</v>
      </c>
      <c r="H5" s="146">
        <f>№9!I7</f>
        <v>57.75</v>
      </c>
      <c r="I5" s="146">
        <f>№9!J7</f>
        <v>60.850000000000009</v>
      </c>
      <c r="J5" s="146">
        <f>№9!K7</f>
        <v>63.95</v>
      </c>
      <c r="K5" s="146">
        <f>№9!L7</f>
        <v>67.05</v>
      </c>
      <c r="L5" s="146">
        <f>№9!M7</f>
        <v>70.149999999999991</v>
      </c>
      <c r="M5" s="146">
        <f>№9!N7</f>
        <v>73.249999999999986</v>
      </c>
      <c r="N5" s="146">
        <f>№9!O7</f>
        <v>76.34999999999998</v>
      </c>
      <c r="O5" s="146">
        <f>№9!P7</f>
        <v>79.449999999999974</v>
      </c>
      <c r="P5" s="146"/>
      <c r="Q5" s="146"/>
      <c r="R5" s="146"/>
      <c r="S5" s="16"/>
    </row>
    <row r="6" spans="3:19" x14ac:dyDescent="0.3">
      <c r="C6" s="148">
        <f>№9!D8</f>
        <v>155</v>
      </c>
      <c r="D6" s="48">
        <f>№9!E8</f>
        <v>157.80000000000001</v>
      </c>
      <c r="E6" s="146">
        <f>№9!F8</f>
        <v>156.4</v>
      </c>
      <c r="F6" s="48">
        <f>№9!G8</f>
        <v>3</v>
      </c>
      <c r="G6" s="48">
        <f>№9!H8</f>
        <v>0</v>
      </c>
      <c r="H6" s="48">
        <f>№9!I8</f>
        <v>3</v>
      </c>
      <c r="I6" s="48">
        <f>№9!J8</f>
        <v>2</v>
      </c>
      <c r="J6" s="48">
        <f>№9!K8</f>
        <v>0</v>
      </c>
      <c r="K6" s="48">
        <f>№9!L8</f>
        <v>0</v>
      </c>
      <c r="L6" s="48">
        <f>№9!M8</f>
        <v>0</v>
      </c>
      <c r="M6" s="48">
        <f>№9!N8</f>
        <v>0</v>
      </c>
      <c r="N6" s="48">
        <f>№9!O8</f>
        <v>0</v>
      </c>
      <c r="O6" s="48">
        <f>№9!P8</f>
        <v>0</v>
      </c>
      <c r="P6" s="48">
        <f>№9!Q8</f>
        <v>8</v>
      </c>
      <c r="Q6" s="204">
        <f>№9!R8</f>
        <v>56.2</v>
      </c>
      <c r="R6" s="204"/>
      <c r="S6" s="163">
        <f>1/P6*SUMPRODUCT($F$5:$O$5,$F$5:$O$5,F6:O6) -POWER(Q6,2)</f>
        <v>14.414999999999509</v>
      </c>
    </row>
    <row r="7" spans="3:19" x14ac:dyDescent="0.3">
      <c r="C7" s="148">
        <f>№9!D9</f>
        <v>157.80000000000001</v>
      </c>
      <c r="D7" s="48">
        <f>№9!E9</f>
        <v>160.60000000000002</v>
      </c>
      <c r="E7" s="146">
        <f>№9!F9</f>
        <v>159.20000000000002</v>
      </c>
      <c r="F7" s="48">
        <f>№9!G9</f>
        <v>0</v>
      </c>
      <c r="G7" s="48">
        <f>№9!H9</f>
        <v>5</v>
      </c>
      <c r="H7" s="48">
        <f>№9!I9</f>
        <v>0</v>
      </c>
      <c r="I7" s="48">
        <f>№9!J9</f>
        <v>4</v>
      </c>
      <c r="J7" s="48">
        <f>№9!K9</f>
        <v>0</v>
      </c>
      <c r="K7" s="48">
        <f>№9!L9</f>
        <v>1</v>
      </c>
      <c r="L7" s="48">
        <f>№9!M9</f>
        <v>0</v>
      </c>
      <c r="M7" s="48">
        <f>№9!N9</f>
        <v>0</v>
      </c>
      <c r="N7" s="48">
        <f>№9!O9</f>
        <v>0</v>
      </c>
      <c r="O7" s="48">
        <f>№9!P9</f>
        <v>0</v>
      </c>
      <c r="P7" s="48">
        <f>№9!Q9</f>
        <v>10</v>
      </c>
      <c r="Q7" s="204">
        <f>№9!R9</f>
        <v>58.370000000000005</v>
      </c>
      <c r="R7" s="204"/>
      <c r="S7" s="163">
        <f t="shared" ref="S7:S15" si="0">1/P7*SUMPRODUCT($F$5:$O$5,$F$5:$O$5,F7:O7) -POWER(Q7,2)</f>
        <v>16.91360000000077</v>
      </c>
    </row>
    <row r="8" spans="3:19" x14ac:dyDescent="0.3">
      <c r="C8" s="148">
        <f>№9!D10</f>
        <v>160.60000000000002</v>
      </c>
      <c r="D8" s="48">
        <f>№9!E10</f>
        <v>163.40000000000003</v>
      </c>
      <c r="E8" s="146">
        <f>№9!F10</f>
        <v>162.00000000000003</v>
      </c>
      <c r="F8" s="48">
        <f>№9!G10</f>
        <v>3</v>
      </c>
      <c r="G8" s="48">
        <f>№9!H10</f>
        <v>6</v>
      </c>
      <c r="H8" s="48">
        <f>№9!I10</f>
        <v>4</v>
      </c>
      <c r="I8" s="48">
        <f>№9!J10</f>
        <v>1</v>
      </c>
      <c r="J8" s="48">
        <f>№9!K10</f>
        <v>9</v>
      </c>
      <c r="K8" s="48">
        <f>№9!L10</f>
        <v>6</v>
      </c>
      <c r="L8" s="48">
        <f>№9!M10</f>
        <v>0</v>
      </c>
      <c r="M8" s="48">
        <f>№9!N10</f>
        <v>0</v>
      </c>
      <c r="N8" s="48">
        <f>№9!O10</f>
        <v>0</v>
      </c>
      <c r="O8" s="48">
        <f>№9!P10</f>
        <v>0</v>
      </c>
      <c r="P8" s="48">
        <f>№9!Q10</f>
        <v>29</v>
      </c>
      <c r="Q8" s="204">
        <f>№9!R10</f>
        <v>60.422413793103445</v>
      </c>
      <c r="R8" s="204"/>
      <c r="S8" s="163">
        <f t="shared" si="0"/>
        <v>28.97854934601628</v>
      </c>
    </row>
    <row r="9" spans="3:19" x14ac:dyDescent="0.3">
      <c r="C9" s="148">
        <f>№9!D11</f>
        <v>163.40000000000003</v>
      </c>
      <c r="D9" s="48">
        <f>№9!E11</f>
        <v>166.20000000000005</v>
      </c>
      <c r="E9" s="146">
        <f>№9!F11</f>
        <v>164.80000000000004</v>
      </c>
      <c r="F9" s="48">
        <f>№9!G11</f>
        <v>1</v>
      </c>
      <c r="G9" s="48">
        <f>№9!H11</f>
        <v>4</v>
      </c>
      <c r="H9" s="48">
        <f>№9!I11</f>
        <v>3</v>
      </c>
      <c r="I9" s="48">
        <f>№9!J11</f>
        <v>12</v>
      </c>
      <c r="J9" s="48">
        <f>№9!K11</f>
        <v>12</v>
      </c>
      <c r="K9" s="48">
        <f>№9!L11</f>
        <v>4</v>
      </c>
      <c r="L9" s="48">
        <f>№9!M11</f>
        <v>1</v>
      </c>
      <c r="M9" s="48">
        <f>№9!N11</f>
        <v>1</v>
      </c>
      <c r="N9" s="48">
        <f>№9!O11</f>
        <v>1</v>
      </c>
      <c r="O9" s="48">
        <f>№9!P11</f>
        <v>2</v>
      </c>
      <c r="P9" s="48">
        <f>№9!Q11</f>
        <v>41</v>
      </c>
      <c r="Q9" s="204">
        <f>№9!R11</f>
        <v>63.118292682926842</v>
      </c>
      <c r="R9" s="204"/>
      <c r="S9" s="163">
        <f t="shared" si="0"/>
        <v>36.576311719213209</v>
      </c>
    </row>
    <row r="10" spans="3:19" x14ac:dyDescent="0.3">
      <c r="C10" s="148">
        <f>№9!D12</f>
        <v>166.20000000000005</v>
      </c>
      <c r="D10" s="48">
        <f>№9!E12</f>
        <v>169.00000000000006</v>
      </c>
      <c r="E10" s="146">
        <f>№9!F12</f>
        <v>167.60000000000005</v>
      </c>
      <c r="F10" s="48">
        <f>№9!G12</f>
        <v>1</v>
      </c>
      <c r="G10" s="48">
        <f>№9!H12</f>
        <v>2</v>
      </c>
      <c r="H10" s="48">
        <f>№9!I12</f>
        <v>5</v>
      </c>
      <c r="I10" s="48">
        <f>№9!J12</f>
        <v>5</v>
      </c>
      <c r="J10" s="48">
        <f>№9!K12</f>
        <v>9</v>
      </c>
      <c r="K10" s="48">
        <f>№9!L12</f>
        <v>8</v>
      </c>
      <c r="L10" s="48">
        <f>№9!M12</f>
        <v>2</v>
      </c>
      <c r="M10" s="48">
        <f>№9!N12</f>
        <v>1</v>
      </c>
      <c r="N10" s="48">
        <f>№9!O12</f>
        <v>1</v>
      </c>
      <c r="O10" s="48">
        <f>№9!P12</f>
        <v>0</v>
      </c>
      <c r="P10" s="48">
        <f>№9!Q12</f>
        <v>34</v>
      </c>
      <c r="Q10" s="204">
        <f>№9!R12</f>
        <v>63.402941176470584</v>
      </c>
      <c r="R10" s="204"/>
      <c r="S10" s="163">
        <f t="shared" si="0"/>
        <v>27.965432525952565</v>
      </c>
    </row>
    <row r="11" spans="3:19" x14ac:dyDescent="0.3">
      <c r="C11" s="148">
        <f>№9!D13</f>
        <v>169.00000000000006</v>
      </c>
      <c r="D11" s="48">
        <f>№9!E13</f>
        <v>171.80000000000007</v>
      </c>
      <c r="E11" s="146">
        <f>№9!F13</f>
        <v>170.40000000000006</v>
      </c>
      <c r="F11" s="48">
        <f>№9!G13</f>
        <v>0</v>
      </c>
      <c r="G11" s="48">
        <f>№9!H13</f>
        <v>0</v>
      </c>
      <c r="H11" s="48">
        <f>№9!I13</f>
        <v>2</v>
      </c>
      <c r="I11" s="48">
        <f>№9!J13</f>
        <v>4</v>
      </c>
      <c r="J11" s="48">
        <f>№9!K13</f>
        <v>6</v>
      </c>
      <c r="K11" s="48">
        <f>№9!L13</f>
        <v>10</v>
      </c>
      <c r="L11" s="48">
        <f>№9!M13</f>
        <v>3</v>
      </c>
      <c r="M11" s="48">
        <f>№9!N13</f>
        <v>2</v>
      </c>
      <c r="N11" s="48">
        <f>№9!O13</f>
        <v>2</v>
      </c>
      <c r="O11" s="48">
        <f>№9!P13</f>
        <v>0</v>
      </c>
      <c r="P11" s="48">
        <f>№9!Q13</f>
        <v>29</v>
      </c>
      <c r="Q11" s="204">
        <f>№9!R13</f>
        <v>66.301724137931046</v>
      </c>
      <c r="R11" s="204"/>
      <c r="S11" s="163">
        <f t="shared" si="0"/>
        <v>22.305255648036109</v>
      </c>
    </row>
    <row r="12" spans="3:19" x14ac:dyDescent="0.3">
      <c r="C12" s="148">
        <f>№9!D14</f>
        <v>171.80000000000007</v>
      </c>
      <c r="D12" s="48">
        <f>№9!E14</f>
        <v>174.60000000000008</v>
      </c>
      <c r="E12" s="146">
        <f>№9!F14</f>
        <v>173.20000000000007</v>
      </c>
      <c r="F12" s="48">
        <f>№9!G14</f>
        <v>0</v>
      </c>
      <c r="G12" s="48">
        <f>№9!H14</f>
        <v>0</v>
      </c>
      <c r="H12" s="48">
        <f>№9!I14</f>
        <v>0</v>
      </c>
      <c r="I12" s="48">
        <f>№9!J14</f>
        <v>0</v>
      </c>
      <c r="J12" s="48">
        <f>№9!K14</f>
        <v>4</v>
      </c>
      <c r="K12" s="48">
        <f>№9!L14</f>
        <v>9</v>
      </c>
      <c r="L12" s="48">
        <f>№9!M14</f>
        <v>6</v>
      </c>
      <c r="M12" s="48">
        <f>№9!N14</f>
        <v>3</v>
      </c>
      <c r="N12" s="48">
        <f>№9!O14</f>
        <v>3</v>
      </c>
      <c r="O12" s="48">
        <f>№9!P14</f>
        <v>1</v>
      </c>
      <c r="P12" s="48">
        <f>№9!Q14</f>
        <v>26</v>
      </c>
      <c r="Q12" s="204">
        <f>№9!R14</f>
        <v>69.553846153846166</v>
      </c>
      <c r="R12" s="204"/>
      <c r="S12" s="163">
        <f t="shared" si="0"/>
        <v>17.755754437866926</v>
      </c>
    </row>
    <row r="13" spans="3:19" x14ac:dyDescent="0.3">
      <c r="C13" s="148">
        <f>№9!D15</f>
        <v>174.60000000000008</v>
      </c>
      <c r="D13" s="48">
        <f>№9!E15</f>
        <v>177.40000000000009</v>
      </c>
      <c r="E13" s="146">
        <f>№9!F15</f>
        <v>176.00000000000009</v>
      </c>
      <c r="F13" s="48">
        <f>№9!G15</f>
        <v>0</v>
      </c>
      <c r="G13" s="48">
        <f>№9!H15</f>
        <v>0</v>
      </c>
      <c r="H13" s="48">
        <f>№9!I15</f>
        <v>0</v>
      </c>
      <c r="I13" s="48">
        <f>№9!J15</f>
        <v>1</v>
      </c>
      <c r="J13" s="48">
        <f>№9!K15</f>
        <v>0</v>
      </c>
      <c r="K13" s="48">
        <f>№9!L15</f>
        <v>2</v>
      </c>
      <c r="L13" s="48">
        <f>№9!M15</f>
        <v>1</v>
      </c>
      <c r="M13" s="48">
        <f>№9!N15</f>
        <v>1</v>
      </c>
      <c r="N13" s="48">
        <f>№9!O15</f>
        <v>3</v>
      </c>
      <c r="O13" s="48">
        <f>№9!P15</f>
        <v>3</v>
      </c>
      <c r="P13" s="48">
        <f>№9!Q15</f>
        <v>11</v>
      </c>
      <c r="Q13" s="204">
        <f>№9!R15</f>
        <v>73.249999999999986</v>
      </c>
      <c r="R13" s="204"/>
      <c r="S13" s="163">
        <f t="shared" si="0"/>
        <v>34.945454545454595</v>
      </c>
    </row>
    <row r="14" spans="3:19" x14ac:dyDescent="0.3">
      <c r="C14" s="148">
        <f>№9!D16</f>
        <v>177.40000000000009</v>
      </c>
      <c r="D14" s="48">
        <f>№9!E16</f>
        <v>180.2000000000001</v>
      </c>
      <c r="E14" s="146">
        <f>№9!F16</f>
        <v>178.8000000000001</v>
      </c>
      <c r="F14" s="48">
        <f>№9!G16</f>
        <v>0</v>
      </c>
      <c r="G14" s="48">
        <f>№9!H16</f>
        <v>0</v>
      </c>
      <c r="H14" s="48">
        <f>№9!I16</f>
        <v>0</v>
      </c>
      <c r="I14" s="48">
        <f>№9!J16</f>
        <v>0</v>
      </c>
      <c r="J14" s="48">
        <f>№9!K16</f>
        <v>1</v>
      </c>
      <c r="K14" s="48">
        <f>№9!L16</f>
        <v>0</v>
      </c>
      <c r="L14" s="48">
        <f>№9!M16</f>
        <v>4</v>
      </c>
      <c r="M14" s="48">
        <f>№9!N16</f>
        <v>0</v>
      </c>
      <c r="N14" s="48">
        <f>№9!O16</f>
        <v>2</v>
      </c>
      <c r="O14" s="48">
        <f>№9!P16</f>
        <v>2</v>
      </c>
      <c r="P14" s="48">
        <f>№9!Q16</f>
        <v>9</v>
      </c>
      <c r="Q14" s="204">
        <f>№9!R16</f>
        <v>72.905555555555537</v>
      </c>
      <c r="R14" s="204"/>
      <c r="S14" s="163">
        <f t="shared" si="0"/>
        <v>24.440246913581177</v>
      </c>
    </row>
    <row r="15" spans="3:19" x14ac:dyDescent="0.3">
      <c r="C15" s="148">
        <f>№9!D17</f>
        <v>180.2000000000001</v>
      </c>
      <c r="D15" s="48">
        <f>№9!E17</f>
        <v>183.00000000000011</v>
      </c>
      <c r="E15" s="146">
        <f>№9!F17</f>
        <v>181.60000000000011</v>
      </c>
      <c r="F15" s="48">
        <f>№9!G17</f>
        <v>0</v>
      </c>
      <c r="G15" s="48">
        <f>№9!H17</f>
        <v>0</v>
      </c>
      <c r="H15" s="48">
        <f>№9!I17</f>
        <v>0</v>
      </c>
      <c r="I15" s="48">
        <f>№9!J17</f>
        <v>0</v>
      </c>
      <c r="J15" s="48">
        <f>№9!K17</f>
        <v>0</v>
      </c>
      <c r="K15" s="48">
        <f>№9!L17</f>
        <v>1</v>
      </c>
      <c r="L15" s="48">
        <f>№9!M17</f>
        <v>0</v>
      </c>
      <c r="M15" s="48">
        <f>№9!N17</f>
        <v>1</v>
      </c>
      <c r="N15" s="48">
        <f>№9!O17</f>
        <v>1</v>
      </c>
      <c r="O15" s="48">
        <f>№9!P17</f>
        <v>0</v>
      </c>
      <c r="P15" s="48">
        <f>№9!Q17</f>
        <v>3</v>
      </c>
      <c r="Q15" s="204">
        <f>№9!R17</f>
        <v>72.216666666666654</v>
      </c>
      <c r="R15" s="204"/>
      <c r="S15" s="163">
        <f t="shared" si="0"/>
        <v>14.948888888889087</v>
      </c>
    </row>
    <row r="16" spans="3:19" x14ac:dyDescent="0.3">
      <c r="C16" s="148" t="str">
        <f>№9!D18</f>
        <v>Сумма</v>
      </c>
      <c r="D16" s="48" t="str">
        <f>№9!E18</f>
        <v>n_X</v>
      </c>
      <c r="E16" s="146"/>
      <c r="F16" s="48">
        <f>№9!G18</f>
        <v>8</v>
      </c>
      <c r="G16" s="48">
        <f>№9!H18</f>
        <v>17</v>
      </c>
      <c r="H16" s="48">
        <f>№9!I18</f>
        <v>17</v>
      </c>
      <c r="I16" s="48">
        <f>№9!J18</f>
        <v>29</v>
      </c>
      <c r="J16" s="48">
        <f>№9!K18</f>
        <v>41</v>
      </c>
      <c r="K16" s="48">
        <f>№9!L18</f>
        <v>41</v>
      </c>
      <c r="L16" s="48">
        <f>№9!M18</f>
        <v>17</v>
      </c>
      <c r="M16" s="48">
        <f>№9!N18</f>
        <v>9</v>
      </c>
      <c r="N16" s="48">
        <f>№9!O18</f>
        <v>13</v>
      </c>
      <c r="O16" s="48">
        <f>№9!P18</f>
        <v>8</v>
      </c>
      <c r="P16" s="146" t="s">
        <v>74</v>
      </c>
      <c r="Q16" s="194">
        <f>SUMPRODUCT(P6:P15,Q6:Q15)/Данные!U2</f>
        <v>64.694000000000003</v>
      </c>
      <c r="R16" s="194"/>
      <c r="S16" s="16"/>
    </row>
    <row r="17" spans="3:22" ht="15" thickBot="1" x14ac:dyDescent="0.35">
      <c r="C17" s="205" t="str">
        <f>№9!D19</f>
        <v>Условные средние</v>
      </c>
      <c r="D17" s="206"/>
      <c r="E17" s="150"/>
      <c r="F17" s="149">
        <f>№9!G19</f>
        <v>160.95000000000005</v>
      </c>
      <c r="G17" s="149">
        <f>№9!H19</f>
        <v>162.49411764705889</v>
      </c>
      <c r="H17" s="149">
        <f>№9!I19</f>
        <v>164.14117647058828</v>
      </c>
      <c r="I17" s="149">
        <f>№9!J19</f>
        <v>164.99310344827589</v>
      </c>
      <c r="J17" s="149">
        <f>№9!K19</f>
        <v>166.78048780487811</v>
      </c>
      <c r="K17" s="149">
        <f>№9!L19</f>
        <v>168.96585365853664</v>
      </c>
      <c r="L17" s="149">
        <f>№9!M19</f>
        <v>173.03529411764711</v>
      </c>
      <c r="M17" s="149">
        <f>№9!N19</f>
        <v>172.26666666666674</v>
      </c>
      <c r="N17" s="149">
        <f>№9!O19</f>
        <v>173.84615384615392</v>
      </c>
      <c r="O17" s="149">
        <f>№9!P19</f>
        <v>173.55000000000007</v>
      </c>
      <c r="P17" s="150"/>
      <c r="Q17" s="150"/>
      <c r="R17" s="150"/>
      <c r="S17" s="141"/>
    </row>
    <row r="18" spans="3:22" ht="15" thickBot="1" x14ac:dyDescent="0.35"/>
    <row r="19" spans="3:22" x14ac:dyDescent="0.3">
      <c r="M19" s="197" t="s">
        <v>76</v>
      </c>
      <c r="N19" s="197"/>
      <c r="O19" s="74">
        <f>№4!D5</f>
        <v>46.343263999998271</v>
      </c>
      <c r="Q19" s="202" t="s">
        <v>136</v>
      </c>
      <c r="R19" s="203"/>
      <c r="S19" s="151">
        <f>SUMPRODUCT(P6:P15,S6:S15)/Данные!U2</f>
        <v>26.664991677355452</v>
      </c>
    </row>
    <row r="20" spans="3:22" x14ac:dyDescent="0.3">
      <c r="Q20" s="192" t="s">
        <v>73</v>
      </c>
      <c r="R20" s="193"/>
      <c r="S20" s="152">
        <f>SUMPRODUCT(Q6:Q15,Q6:Q15,P6:P15)/Данные!U2 - POWER(Q16,2)</f>
        <v>19.678272322643352</v>
      </c>
    </row>
    <row r="21" spans="3:22" ht="15" thickBot="1" x14ac:dyDescent="0.35">
      <c r="Q21" s="195" t="s">
        <v>75</v>
      </c>
      <c r="R21" s="196"/>
      <c r="S21" s="153">
        <f>S19+S20</f>
        <v>46.343263999998804</v>
      </c>
    </row>
    <row r="22" spans="3:22" x14ac:dyDescent="0.3">
      <c r="G22" s="77" t="b">
        <f>ABS(O19-S21) &lt;= 0.1</f>
        <v>1</v>
      </c>
    </row>
    <row r="23" spans="3:22" ht="15" thickBot="1" x14ac:dyDescent="0.35"/>
    <row r="24" spans="3:22" ht="15" thickBot="1" x14ac:dyDescent="0.35">
      <c r="F24" s="75"/>
      <c r="G24" s="198" t="s">
        <v>137</v>
      </c>
      <c r="H24" s="199"/>
      <c r="I24" s="199"/>
      <c r="J24" s="199"/>
      <c r="K24" s="199"/>
      <c r="L24" s="199"/>
      <c r="M24" s="199"/>
      <c r="N24" s="199"/>
      <c r="O24" s="199"/>
      <c r="P24" s="199"/>
      <c r="Q24" s="76" t="s">
        <v>69</v>
      </c>
      <c r="R24" s="200" t="s">
        <v>77</v>
      </c>
      <c r="S24" s="200"/>
      <c r="T24" s="200"/>
      <c r="U24" s="200"/>
      <c r="V24" s="201"/>
    </row>
  </sheetData>
  <mergeCells count="20">
    <mergeCell ref="C3:D4"/>
    <mergeCell ref="Q4:R4"/>
    <mergeCell ref="Q6:R6"/>
    <mergeCell ref="Q7:R7"/>
    <mergeCell ref="Q8:R8"/>
    <mergeCell ref="Q15:R15"/>
    <mergeCell ref="C17:D17"/>
    <mergeCell ref="Q9:R9"/>
    <mergeCell ref="Q10:R10"/>
    <mergeCell ref="Q11:R11"/>
    <mergeCell ref="Q12:R12"/>
    <mergeCell ref="Q13:R13"/>
    <mergeCell ref="Q14:R14"/>
    <mergeCell ref="Q20:R20"/>
    <mergeCell ref="Q16:R16"/>
    <mergeCell ref="Q21:R21"/>
    <mergeCell ref="M19:N19"/>
    <mergeCell ref="G24:P24"/>
    <mergeCell ref="R24:V24"/>
    <mergeCell ref="Q19:R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20B5-7313-4BD9-8E13-9727D1DC7EEB}">
  <dimension ref="A1:O6"/>
  <sheetViews>
    <sheetView workbookViewId="0">
      <selection activeCell="F21" sqref="F21"/>
    </sheetView>
  </sheetViews>
  <sheetFormatPr defaultRowHeight="14.4" x14ac:dyDescent="0.3"/>
  <cols>
    <col min="1" max="1" width="21.6640625" bestFit="1" customWidth="1"/>
  </cols>
  <sheetData>
    <row r="1" spans="1:15" x14ac:dyDescent="0.3">
      <c r="A1" s="154" t="s">
        <v>80</v>
      </c>
      <c r="B1" s="155">
        <v>0.05</v>
      </c>
      <c r="C1" s="48"/>
      <c r="D1" s="211" t="s">
        <v>139</v>
      </c>
      <c r="E1" s="211"/>
      <c r="F1" s="211"/>
      <c r="G1" s="211"/>
      <c r="H1" s="48"/>
      <c r="I1" s="48"/>
      <c r="J1" s="48"/>
      <c r="K1" s="48"/>
      <c r="L1" s="48"/>
      <c r="M1" s="48"/>
      <c r="N1" s="48"/>
      <c r="O1" s="48"/>
    </row>
    <row r="2" spans="1:15" x14ac:dyDescent="0.3">
      <c r="A2" s="156" t="s">
        <v>83</v>
      </c>
      <c r="B2" s="156">
        <f>Данные!U2-№2!A2</f>
        <v>190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" thickBot="1" x14ac:dyDescent="0.35">
      <c r="A3" s="156" t="s">
        <v>83</v>
      </c>
      <c r="B3" s="156">
        <f>№2!A2-1</f>
        <v>9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x14ac:dyDescent="0.3">
      <c r="A4" s="48"/>
      <c r="B4" s="48"/>
      <c r="C4" s="157" t="s">
        <v>81</v>
      </c>
      <c r="D4" s="158">
        <f>№10!S20/№10!S19 * (Данные!U2 - №2!A2) / (№2!A2-1)</f>
        <v>15.579610843487327</v>
      </c>
      <c r="E4" s="194" t="s">
        <v>84</v>
      </c>
      <c r="F4" s="194"/>
      <c r="G4" s="210" t="s">
        <v>82</v>
      </c>
      <c r="H4" s="210"/>
      <c r="I4" s="210"/>
      <c r="J4" s="210"/>
      <c r="K4" s="210"/>
      <c r="L4" s="210"/>
      <c r="M4" s="210"/>
      <c r="N4" s="210"/>
      <c r="O4" s="210"/>
    </row>
    <row r="5" spans="1:15" ht="15" thickBot="1" x14ac:dyDescent="0.35">
      <c r="A5" s="48"/>
      <c r="B5" s="48"/>
      <c r="C5" s="159" t="s">
        <v>79</v>
      </c>
      <c r="D5" s="160">
        <f>_xlfn.F.INV.RT(B1,№2!A2-1,Данные!U2-№2!A2)</f>
        <v>1.9294247566488121</v>
      </c>
      <c r="E5" s="194"/>
      <c r="F5" s="194"/>
      <c r="G5" s="210"/>
      <c r="H5" s="210"/>
      <c r="I5" s="210"/>
      <c r="J5" s="210"/>
      <c r="K5" s="210"/>
      <c r="L5" s="210"/>
      <c r="M5" s="210"/>
      <c r="N5" s="210"/>
      <c r="O5" s="210"/>
    </row>
    <row r="6" spans="1:15" x14ac:dyDescent="0.3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</sheetData>
  <mergeCells count="3">
    <mergeCell ref="E4:F5"/>
    <mergeCell ref="G4:O5"/>
    <mergeCell ref="D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1013-3765-4D43-9D46-53D8A0AA5D2C}">
  <dimension ref="A1:V33"/>
  <sheetViews>
    <sheetView topLeftCell="B9" zoomScale="87" workbookViewId="0">
      <selection activeCell="O22" sqref="O22"/>
    </sheetView>
  </sheetViews>
  <sheetFormatPr defaultRowHeight="14.4" x14ac:dyDescent="0.3"/>
  <cols>
    <col min="1" max="1" width="11.5546875" bestFit="1" customWidth="1"/>
    <col min="2" max="3" width="12" bestFit="1" customWidth="1"/>
  </cols>
  <sheetData>
    <row r="1" spans="1:19" x14ac:dyDescent="0.3">
      <c r="A1" s="83"/>
      <c r="B1" s="84" t="s">
        <v>85</v>
      </c>
      <c r="C1" s="85" t="s">
        <v>86</v>
      </c>
    </row>
    <row r="2" spans="1:19" x14ac:dyDescent="0.3">
      <c r="A2" s="86" t="s">
        <v>28</v>
      </c>
      <c r="B2" s="73">
        <f>SQRT(№4!B5)</f>
        <v>5.6899968365532061</v>
      </c>
      <c r="C2" s="87">
        <f>SQRT(№4!D5)</f>
        <v>6.8075887067300318</v>
      </c>
    </row>
    <row r="3" spans="1:19" ht="15" thickBot="1" x14ac:dyDescent="0.35">
      <c r="A3" s="88" t="s">
        <v>89</v>
      </c>
      <c r="B3" s="89">
        <f>№4!B3</f>
        <v>167.65600000000006</v>
      </c>
      <c r="C3" s="90">
        <f>№4!D3</f>
        <v>64.694000000000003</v>
      </c>
    </row>
    <row r="4" spans="1:19" ht="15" thickBot="1" x14ac:dyDescent="0.35"/>
    <row r="5" spans="1:19" x14ac:dyDescent="0.3">
      <c r="D5" s="180" t="s">
        <v>63</v>
      </c>
      <c r="E5" s="181"/>
      <c r="F5" s="55" t="s">
        <v>20</v>
      </c>
      <c r="G5" s="55">
        <f>№2!T10</f>
        <v>50</v>
      </c>
      <c r="H5" s="55">
        <f>G6</f>
        <v>53.1</v>
      </c>
      <c r="I5" s="55">
        <f t="shared" ref="I5:P5" si="0">H6</f>
        <v>56.2</v>
      </c>
      <c r="J5" s="55">
        <f t="shared" si="0"/>
        <v>59.300000000000004</v>
      </c>
      <c r="K5" s="55">
        <f t="shared" si="0"/>
        <v>62.400000000000006</v>
      </c>
      <c r="L5" s="55">
        <f t="shared" si="0"/>
        <v>65.5</v>
      </c>
      <c r="M5" s="55">
        <f t="shared" si="0"/>
        <v>68.599999999999994</v>
      </c>
      <c r="N5" s="55">
        <f t="shared" si="0"/>
        <v>71.699999999999989</v>
      </c>
      <c r="O5" s="55">
        <f t="shared" si="0"/>
        <v>74.799999999999983</v>
      </c>
      <c r="P5" s="56">
        <f t="shared" si="0"/>
        <v>77.899999999999977</v>
      </c>
      <c r="Q5" s="51" t="s">
        <v>70</v>
      </c>
      <c r="R5" s="44"/>
      <c r="S5" s="50"/>
    </row>
    <row r="6" spans="1:19" x14ac:dyDescent="0.3">
      <c r="D6" s="182"/>
      <c r="E6" s="183"/>
      <c r="F6" s="49" t="s">
        <v>21</v>
      </c>
      <c r="G6" s="49">
        <f>G5+№2!$T$7</f>
        <v>53.1</v>
      </c>
      <c r="H6" s="49">
        <f>H5+№2!$T$7</f>
        <v>56.2</v>
      </c>
      <c r="I6" s="49">
        <f>I5+№2!$T$7</f>
        <v>59.300000000000004</v>
      </c>
      <c r="J6" s="49">
        <f>J5+№2!$T$7</f>
        <v>62.400000000000006</v>
      </c>
      <c r="K6" s="49">
        <f>K5+№2!$T$7</f>
        <v>65.5</v>
      </c>
      <c r="L6" s="49">
        <f>L5+№2!$T$7</f>
        <v>68.599999999999994</v>
      </c>
      <c r="M6" s="49">
        <f>M5+№2!$T$7</f>
        <v>71.699999999999989</v>
      </c>
      <c r="N6" s="49">
        <f>N5+№2!$T$7</f>
        <v>74.799999999999983</v>
      </c>
      <c r="O6" s="49">
        <f>O5+№2!$T$7</f>
        <v>77.899999999999977</v>
      </c>
      <c r="P6" s="57">
        <f>P5+№2!$T$7</f>
        <v>80.999999999999972</v>
      </c>
      <c r="Q6" s="52" t="s">
        <v>64</v>
      </c>
      <c r="R6" s="186"/>
      <c r="S6" s="187"/>
    </row>
    <row r="7" spans="1:19" x14ac:dyDescent="0.3">
      <c r="D7" s="58" t="s">
        <v>20</v>
      </c>
      <c r="E7" s="49" t="s">
        <v>21</v>
      </c>
      <c r="F7" s="68" t="s">
        <v>67</v>
      </c>
      <c r="G7" s="64">
        <f>(G5+G6)/2</f>
        <v>51.55</v>
      </c>
      <c r="H7" s="64">
        <f t="shared" ref="H7:P7" si="1">(H5+H6)/2</f>
        <v>54.650000000000006</v>
      </c>
      <c r="I7" s="64">
        <f t="shared" si="1"/>
        <v>57.75</v>
      </c>
      <c r="J7" s="64">
        <f t="shared" si="1"/>
        <v>60.850000000000009</v>
      </c>
      <c r="K7" s="64">
        <f t="shared" si="1"/>
        <v>63.95</v>
      </c>
      <c r="L7" s="64">
        <f t="shared" si="1"/>
        <v>67.05</v>
      </c>
      <c r="M7" s="64">
        <f t="shared" si="1"/>
        <v>70.149999999999991</v>
      </c>
      <c r="N7" s="64">
        <f t="shared" si="1"/>
        <v>73.249999999999986</v>
      </c>
      <c r="O7" s="64">
        <f t="shared" si="1"/>
        <v>76.34999999999998</v>
      </c>
      <c r="P7" s="64">
        <f t="shared" si="1"/>
        <v>79.449999999999974</v>
      </c>
      <c r="Q7" s="65"/>
      <c r="R7" s="188"/>
      <c r="S7" s="189"/>
    </row>
    <row r="8" spans="1:19" x14ac:dyDescent="0.3">
      <c r="D8" s="58">
        <f>№2!D10</f>
        <v>155</v>
      </c>
      <c r="E8" s="49">
        <f>№2!E10</f>
        <v>157.80000000000001</v>
      </c>
      <c r="F8" s="68">
        <f>(D8+E8)/2</f>
        <v>156.4</v>
      </c>
      <c r="G8" s="49">
        <f>COUNTIFS(Данные!$R$2:$R$201,"&gt;="&amp;$D8,Данные!$R$2:$R$201,"&lt;="&amp;$E8,Данные!$S$2:$S$201,"&gt;="&amp;G$5,Данные!$S$2:$S$201,"&lt;="&amp;G$6)</f>
        <v>3</v>
      </c>
      <c r="H8" s="49">
        <f>COUNTIFS(Данные!$R$2:$R$201,"&gt;="&amp;$D8,Данные!$R$2:$R$201,"&lt;="&amp;$E8,Данные!$S$2:$S$201,"&gt;"&amp;H$5,Данные!$S$2:$S$201,"&lt;="&amp;H$6)</f>
        <v>0</v>
      </c>
      <c r="I8" s="49">
        <f>COUNTIFS(Данные!$R$2:$R$201,"&gt;="&amp;$D8,Данные!$R$2:$R$201,"&lt;="&amp;$E8,Данные!$S$2:$S$201,"&gt;"&amp;I$5,Данные!$S$2:$S$201,"&lt;="&amp;I$6)</f>
        <v>3</v>
      </c>
      <c r="J8" s="49">
        <f>COUNTIFS(Данные!$R$2:$R$201,"&gt;="&amp;$D8,Данные!$R$2:$R$201,"&lt;="&amp;$E8,Данные!$S$2:$S$201,"&gt;"&amp;J$5,Данные!$S$2:$S$201,"&lt;="&amp;J$6)</f>
        <v>2</v>
      </c>
      <c r="K8" s="49">
        <f>COUNTIFS(Данные!$R$2:$R$201,"&gt;="&amp;$D8,Данные!$R$2:$R$201,"&lt;="&amp;$E8,Данные!$S$2:$S$201,"&gt;"&amp;K$5,Данные!$S$2:$S$201,"&lt;="&amp;K$6)</f>
        <v>0</v>
      </c>
      <c r="L8" s="49">
        <f>COUNTIFS(Данные!$R$2:$R$201,"&gt;="&amp;$D8,Данные!$R$2:$R$201,"&lt;="&amp;$E8,Данные!$S$2:$S$201,"&gt;"&amp;L$5,Данные!$S$2:$S$201,"&lt;="&amp;L$6)</f>
        <v>0</v>
      </c>
      <c r="M8" s="49">
        <f>COUNTIFS(Данные!$R$2:$R$201,"&gt;="&amp;$D8,Данные!$R$2:$R$201,"&lt;="&amp;$E8,Данные!$S$2:$S$201,"&gt;"&amp;M$5,Данные!$S$2:$S$201,"&lt;="&amp;M$6)</f>
        <v>0</v>
      </c>
      <c r="N8" s="49">
        <f>COUNTIFS(Данные!$R$2:$R$201,"&gt;="&amp;$D8,Данные!$R$2:$R$201,"&lt;="&amp;$E8,Данные!$S$2:$S$201,"&gt;"&amp;N$5,Данные!$S$2:$S$201,"&lt;="&amp;N$6)</f>
        <v>0</v>
      </c>
      <c r="O8" s="49">
        <f>COUNTIFS(Данные!$R$2:$R$201,"&gt;="&amp;$D8,Данные!$R$2:$R$201,"&lt;="&amp;$E8,Данные!$S$2:$S$201,"&gt;"&amp;O$5,Данные!$S$2:$S$201,"&lt;="&amp;O$6)</f>
        <v>0</v>
      </c>
      <c r="P8" s="57">
        <f>COUNTIFS(Данные!$R$2:$R$201,"&gt;="&amp;$D8,Данные!$R$2:$R$201,"&lt;="&amp;$E8,Данные!$S$2:$S$201,"&gt;"&amp;P$5,Данные!$S$2:$S$201,"&lt;="&amp;P$6)</f>
        <v>0</v>
      </c>
      <c r="Q8" s="69">
        <f>SUM(G8:P8)</f>
        <v>8</v>
      </c>
      <c r="R8" s="216">
        <f>SUMPRODUCT($G$7:$P$7,G8:P8)</f>
        <v>449.6</v>
      </c>
      <c r="S8" s="217"/>
    </row>
    <row r="9" spans="1:19" x14ac:dyDescent="0.3">
      <c r="D9" s="58">
        <f>№2!D11</f>
        <v>157.80000000000001</v>
      </c>
      <c r="E9" s="49">
        <f>№2!E11</f>
        <v>160.60000000000002</v>
      </c>
      <c r="F9" s="68">
        <f t="shared" ref="F9:F17" si="2">(D9+E9)/2</f>
        <v>159.20000000000002</v>
      </c>
      <c r="G9" s="49">
        <f>COUNTIFS(Данные!$R$2:$R$201,"&gt;"&amp;$D9,Данные!$R$2:$R$201,"&lt;="&amp;$E9,Данные!$S$2:$S$201,"&gt;="&amp;G$5,Данные!$S$2:$S$201,"&lt;="&amp;G$6)</f>
        <v>0</v>
      </c>
      <c r="H9" s="49">
        <f>COUNTIFS(Данные!$R$2:$R$201,"&gt;"&amp;$D9,Данные!$R$2:$R$201,"&lt;="&amp;$E9,Данные!$S$2:$S$201,"&gt;"&amp;H$5,Данные!$S$2:$S$201,"&lt;="&amp;H$6)</f>
        <v>5</v>
      </c>
      <c r="I9" s="49">
        <f>COUNTIFS(Данные!$R$2:$R$201,"&gt;"&amp;$D9,Данные!$R$2:$R$201,"&lt;="&amp;$E9,Данные!$S$2:$S$201,"&gt;"&amp;I$5,Данные!$S$2:$S$201,"&lt;="&amp;I$6)</f>
        <v>0</v>
      </c>
      <c r="J9" s="49">
        <f>COUNTIFS(Данные!$R$2:$R$201,"&gt;"&amp;$D9,Данные!$R$2:$R$201,"&lt;="&amp;$E9,Данные!$S$2:$S$201,"&gt;"&amp;J$5,Данные!$S$2:$S$201,"&lt;="&amp;J$6)</f>
        <v>4</v>
      </c>
      <c r="K9" s="49">
        <f>COUNTIFS(Данные!$R$2:$R$201,"&gt;"&amp;$D9,Данные!$R$2:$R$201,"&lt;="&amp;$E9,Данные!$S$2:$S$201,"&gt;"&amp;K$5,Данные!$S$2:$S$201,"&lt;="&amp;K$6)</f>
        <v>0</v>
      </c>
      <c r="L9" s="49">
        <f>COUNTIFS(Данные!$R$2:$R$201,"&gt;"&amp;$D9,Данные!$R$2:$R$201,"&lt;="&amp;$E9,Данные!$S$2:$S$201,"&gt;"&amp;L$5,Данные!$S$2:$S$201,"&lt;="&amp;L$6)</f>
        <v>1</v>
      </c>
      <c r="M9" s="49">
        <f>COUNTIFS(Данные!$R$2:$R$201,"&gt;"&amp;$D9,Данные!$R$2:$R$201,"&lt;="&amp;$E9,Данные!$S$2:$S$201,"&gt;"&amp;M$5,Данные!$S$2:$S$201,"&lt;="&amp;M$6)</f>
        <v>0</v>
      </c>
      <c r="N9" s="49">
        <f>COUNTIFS(Данные!$R$2:$R$201,"&gt;"&amp;$D9,Данные!$R$2:$R$201,"&lt;="&amp;$E9,Данные!$S$2:$S$201,"&gt;"&amp;N$5,Данные!$S$2:$S$201,"&lt;="&amp;N$6)</f>
        <v>0</v>
      </c>
      <c r="O9" s="49">
        <f>COUNTIFS(Данные!$R$2:$R$201,"&gt;"&amp;$D9,Данные!$R$2:$R$201,"&lt;="&amp;$E9,Данные!$S$2:$S$201,"&gt;"&amp;O$5,Данные!$S$2:$S$201,"&lt;="&amp;O$6)</f>
        <v>0</v>
      </c>
      <c r="P9" s="57">
        <f>COUNTIFS(Данные!$R$2:$R$201,"&gt;"&amp;$D9,Данные!$R$2:$R$201,"&lt;="&amp;$E9,Данные!$S$2:$S$201,"&gt;"&amp;P$5,Данные!$S$2:$S$201,"&lt;="&amp;P$6)</f>
        <v>0</v>
      </c>
      <c r="Q9" s="69">
        <f t="shared" ref="Q9:Q17" si="3">SUM(G9:P9)</f>
        <v>10</v>
      </c>
      <c r="R9" s="216">
        <f t="shared" ref="R9:R17" si="4">SUMPRODUCT($G$7:$P$7,G9:P9)</f>
        <v>583.70000000000005</v>
      </c>
      <c r="S9" s="217"/>
    </row>
    <row r="10" spans="1:19" x14ac:dyDescent="0.3">
      <c r="D10" s="58">
        <f>№2!D12</f>
        <v>160.60000000000002</v>
      </c>
      <c r="E10" s="49">
        <f>№2!E12</f>
        <v>163.40000000000003</v>
      </c>
      <c r="F10" s="68">
        <f t="shared" si="2"/>
        <v>162.00000000000003</v>
      </c>
      <c r="G10" s="49">
        <f>COUNTIFS(Данные!$R$2:$R$201,"&gt;"&amp;$D10,Данные!$R$2:$R$201,"&lt;="&amp;$E10,Данные!$S$2:$S$201,"&gt;="&amp;G$5,Данные!$S$2:$S$201,"&lt;="&amp;G$6)</f>
        <v>3</v>
      </c>
      <c r="H10" s="49">
        <f>COUNTIFS(Данные!$R$2:$R$201,"&gt;"&amp;$D10,Данные!$R$2:$R$201,"&lt;="&amp;$E10,Данные!$S$2:$S$201,"&gt;"&amp;H$5,Данные!$S$2:$S$201,"&lt;="&amp;H$6)</f>
        <v>6</v>
      </c>
      <c r="I10" s="49">
        <f>COUNTIFS(Данные!$R$2:$R$201,"&gt;"&amp;$D10,Данные!$R$2:$R$201,"&lt;="&amp;$E10,Данные!$S$2:$S$201,"&gt;"&amp;I$5,Данные!$S$2:$S$201,"&lt;="&amp;I$6)</f>
        <v>4</v>
      </c>
      <c r="J10" s="49">
        <f>COUNTIFS(Данные!$R$2:$R$201,"&gt;"&amp;$D10,Данные!$R$2:$R$201,"&lt;="&amp;$E10,Данные!$S$2:$S$201,"&gt;"&amp;J$5,Данные!$S$2:$S$201,"&lt;="&amp;J$6)</f>
        <v>1</v>
      </c>
      <c r="K10" s="49">
        <f>COUNTIFS(Данные!$R$2:$R$201,"&gt;"&amp;$D10,Данные!$R$2:$R$201,"&lt;="&amp;$E10,Данные!$S$2:$S$201,"&gt;"&amp;K$5,Данные!$S$2:$S$201,"&lt;="&amp;K$6)</f>
        <v>9</v>
      </c>
      <c r="L10" s="49">
        <f>COUNTIFS(Данные!$R$2:$R$201,"&gt;"&amp;$D10,Данные!$R$2:$R$201,"&lt;="&amp;$E10,Данные!$S$2:$S$201,"&gt;"&amp;L$5,Данные!$S$2:$S$201,"&lt;="&amp;L$6)</f>
        <v>6</v>
      </c>
      <c r="M10" s="49">
        <f>COUNTIFS(Данные!$R$2:$R$201,"&gt;"&amp;$D10,Данные!$R$2:$R$201,"&lt;="&amp;$E10,Данные!$S$2:$S$201,"&gt;"&amp;M$5,Данные!$S$2:$S$201,"&lt;="&amp;M$6)</f>
        <v>0</v>
      </c>
      <c r="N10" s="49">
        <f>COUNTIFS(Данные!$R$2:$R$201,"&gt;"&amp;$D10,Данные!$R$2:$R$201,"&lt;="&amp;$E10,Данные!$S$2:$S$201,"&gt;"&amp;N$5,Данные!$S$2:$S$201,"&lt;="&amp;N$6)</f>
        <v>0</v>
      </c>
      <c r="O10" s="49">
        <f>COUNTIFS(Данные!$R$2:$R$201,"&gt;"&amp;$D10,Данные!$R$2:$R$201,"&lt;="&amp;$E10,Данные!$S$2:$S$201,"&gt;"&amp;O$5,Данные!$S$2:$S$201,"&lt;="&amp;O$6)</f>
        <v>0</v>
      </c>
      <c r="P10" s="57">
        <f>COUNTIFS(Данные!$R$2:$R$201,"&gt;"&amp;$D10,Данные!$R$2:$R$201,"&lt;="&amp;$E10,Данные!$S$2:$S$201,"&gt;"&amp;P$5,Данные!$S$2:$S$201,"&lt;="&amp;P$6)</f>
        <v>0</v>
      </c>
      <c r="Q10" s="69">
        <f t="shared" si="3"/>
        <v>29</v>
      </c>
      <c r="R10" s="216">
        <f t="shared" si="4"/>
        <v>1752.25</v>
      </c>
      <c r="S10" s="217"/>
    </row>
    <row r="11" spans="1:19" x14ac:dyDescent="0.3">
      <c r="D11" s="58">
        <f>№2!D13</f>
        <v>163.40000000000003</v>
      </c>
      <c r="E11" s="49">
        <f>№2!E13</f>
        <v>166.20000000000005</v>
      </c>
      <c r="F11" s="68">
        <f t="shared" si="2"/>
        <v>164.80000000000004</v>
      </c>
      <c r="G11" s="49">
        <f>COUNTIFS(Данные!$R$2:$R$201,"&gt;"&amp;$D11,Данные!$R$2:$R$201,"&lt;="&amp;$E11,Данные!$S$2:$S$201,"&gt;="&amp;G$5,Данные!$S$2:$S$201,"&lt;="&amp;G$6)</f>
        <v>1</v>
      </c>
      <c r="H11" s="49">
        <f>COUNTIFS(Данные!$R$2:$R$201,"&gt;"&amp;$D11,Данные!$R$2:$R$201,"&lt;="&amp;$E11,Данные!$S$2:$S$201,"&gt;"&amp;H$5,Данные!$S$2:$S$201,"&lt;="&amp;H$6)</f>
        <v>4</v>
      </c>
      <c r="I11" s="49">
        <f>COUNTIFS(Данные!$R$2:$R$201,"&gt;"&amp;$D11,Данные!$R$2:$R$201,"&lt;="&amp;$E11,Данные!$S$2:$S$201,"&gt;"&amp;I$5,Данные!$S$2:$S$201,"&lt;="&amp;I$6)</f>
        <v>3</v>
      </c>
      <c r="J11" s="49">
        <f>COUNTIFS(Данные!$R$2:$R$201,"&gt;"&amp;$D11,Данные!$R$2:$R$201,"&lt;="&amp;$E11,Данные!$S$2:$S$201,"&gt;"&amp;J$5,Данные!$S$2:$S$201,"&lt;="&amp;J$6)</f>
        <v>12</v>
      </c>
      <c r="K11" s="49">
        <f>COUNTIFS(Данные!$R$2:$R$201,"&gt;"&amp;$D11,Данные!$R$2:$R$201,"&lt;="&amp;$E11,Данные!$S$2:$S$201,"&gt;"&amp;K$5,Данные!$S$2:$S$201,"&lt;="&amp;K$6)</f>
        <v>12</v>
      </c>
      <c r="L11" s="49">
        <f>COUNTIFS(Данные!$R$2:$R$201,"&gt;"&amp;$D11,Данные!$R$2:$R$201,"&lt;="&amp;$E11,Данные!$S$2:$S$201,"&gt;"&amp;L$5,Данные!$S$2:$S$201,"&lt;="&amp;L$6)</f>
        <v>4</v>
      </c>
      <c r="M11" s="49">
        <f>COUNTIFS(Данные!$R$2:$R$201,"&gt;"&amp;$D11,Данные!$R$2:$R$201,"&lt;="&amp;$E11,Данные!$S$2:$S$201,"&gt;"&amp;M$5,Данные!$S$2:$S$201,"&lt;="&amp;M$6)</f>
        <v>1</v>
      </c>
      <c r="N11" s="49">
        <f>COUNTIFS(Данные!$R$2:$R$201,"&gt;"&amp;$D11,Данные!$R$2:$R$201,"&lt;="&amp;$E11,Данные!$S$2:$S$201,"&gt;"&amp;N$5,Данные!$S$2:$S$201,"&lt;="&amp;N$6)</f>
        <v>1</v>
      </c>
      <c r="O11" s="49">
        <f>COUNTIFS(Данные!$R$2:$R$201,"&gt;"&amp;$D11,Данные!$R$2:$R$201,"&lt;="&amp;$E11,Данные!$S$2:$S$201,"&gt;"&amp;O$5,Данные!$S$2:$S$201,"&lt;="&amp;O$6)</f>
        <v>1</v>
      </c>
      <c r="P11" s="57">
        <f>COUNTIFS(Данные!$R$2:$R$201,"&gt;"&amp;$D11,Данные!$R$2:$R$201,"&lt;="&amp;$E11,Данные!$S$2:$S$201,"&gt;"&amp;P$5,Данные!$S$2:$S$201,"&lt;="&amp;P$6)</f>
        <v>2</v>
      </c>
      <c r="Q11" s="69">
        <f t="shared" si="3"/>
        <v>41</v>
      </c>
      <c r="R11" s="216">
        <f t="shared" si="4"/>
        <v>2587.8500000000004</v>
      </c>
      <c r="S11" s="217"/>
    </row>
    <row r="12" spans="1:19" x14ac:dyDescent="0.3">
      <c r="D12" s="58">
        <f>№2!D14</f>
        <v>166.20000000000005</v>
      </c>
      <c r="E12" s="49">
        <f>№2!E14</f>
        <v>169.00000000000006</v>
      </c>
      <c r="F12" s="68">
        <f t="shared" si="2"/>
        <v>167.60000000000005</v>
      </c>
      <c r="G12" s="49">
        <f>COUNTIFS(Данные!$R$2:$R$201,"&gt;"&amp;$D12,Данные!$R$2:$R$201,"&lt;="&amp;$E12,Данные!$S$2:$S$201,"&gt;="&amp;G$5,Данные!$S$2:$S$201,"&lt;="&amp;G$6)</f>
        <v>1</v>
      </c>
      <c r="H12" s="49">
        <f>COUNTIFS(Данные!$R$2:$R$201,"&gt;"&amp;$D12,Данные!$R$2:$R$201,"&lt;="&amp;$E12,Данные!$S$2:$S$201,"&gt;"&amp;H$5,Данные!$S$2:$S$201,"&lt;="&amp;H$6)</f>
        <v>2</v>
      </c>
      <c r="I12" s="49">
        <f>COUNTIFS(Данные!$R$2:$R$201,"&gt;"&amp;$D12,Данные!$R$2:$R$201,"&lt;="&amp;$E12,Данные!$S$2:$S$201,"&gt;"&amp;I$5,Данные!$S$2:$S$201,"&lt;="&amp;I$6)</f>
        <v>5</v>
      </c>
      <c r="J12" s="49">
        <f>COUNTIFS(Данные!$R$2:$R$201,"&gt;"&amp;$D12,Данные!$R$2:$R$201,"&lt;="&amp;$E12,Данные!$S$2:$S$201,"&gt;"&amp;J$5,Данные!$S$2:$S$201,"&lt;="&amp;J$6)</f>
        <v>5</v>
      </c>
      <c r="K12" s="49">
        <f>COUNTIFS(Данные!$R$2:$R$201,"&gt;"&amp;$D12,Данные!$R$2:$R$201,"&lt;="&amp;$E12,Данные!$S$2:$S$201,"&gt;"&amp;K$5,Данные!$S$2:$S$201,"&lt;="&amp;K$6)</f>
        <v>9</v>
      </c>
      <c r="L12" s="49">
        <f>COUNTIFS(Данные!$R$2:$R$201,"&gt;"&amp;$D12,Данные!$R$2:$R$201,"&lt;="&amp;$E12,Данные!$S$2:$S$201,"&gt;"&amp;L$5,Данные!$S$2:$S$201,"&lt;="&amp;L$6)</f>
        <v>8</v>
      </c>
      <c r="M12" s="49">
        <f>COUNTIFS(Данные!$R$2:$R$201,"&gt;"&amp;$D12,Данные!$R$2:$R$201,"&lt;="&amp;$E12,Данные!$S$2:$S$201,"&gt;"&amp;M$5,Данные!$S$2:$S$201,"&lt;="&amp;M$6)</f>
        <v>2</v>
      </c>
      <c r="N12" s="49">
        <f>COUNTIFS(Данные!$R$2:$R$201,"&gt;"&amp;$D12,Данные!$R$2:$R$201,"&lt;="&amp;$E12,Данные!$S$2:$S$201,"&gt;"&amp;N$5,Данные!$S$2:$S$201,"&lt;="&amp;N$6)</f>
        <v>1</v>
      </c>
      <c r="O12" s="49">
        <f>COUNTIFS(Данные!$R$2:$R$201,"&gt;"&amp;$D12,Данные!$R$2:$R$201,"&lt;="&amp;$E12,Данные!$S$2:$S$201,"&gt;"&amp;O$5,Данные!$S$2:$S$201,"&lt;="&amp;O$6)</f>
        <v>1</v>
      </c>
      <c r="P12" s="57">
        <f>COUNTIFS(Данные!$R$2:$R$201,"&gt;"&amp;$D12,Данные!$R$2:$R$201,"&lt;="&amp;$E12,Данные!$S$2:$S$201,"&gt;"&amp;P$5,Данные!$S$2:$S$201,"&lt;="&amp;P$6)</f>
        <v>0</v>
      </c>
      <c r="Q12" s="69">
        <f t="shared" si="3"/>
        <v>34</v>
      </c>
      <c r="R12" s="216">
        <f t="shared" si="4"/>
        <v>2155.6999999999998</v>
      </c>
      <c r="S12" s="217"/>
    </row>
    <row r="13" spans="1:19" x14ac:dyDescent="0.3">
      <c r="D13" s="58">
        <f>№2!D15</f>
        <v>169.00000000000006</v>
      </c>
      <c r="E13" s="49">
        <f>№2!E15</f>
        <v>171.80000000000007</v>
      </c>
      <c r="F13" s="68">
        <f t="shared" si="2"/>
        <v>170.40000000000006</v>
      </c>
      <c r="G13" s="49">
        <f>COUNTIFS(Данные!$R$2:$R$201,"&gt;"&amp;$D13,Данные!$R$2:$R$201,"&lt;="&amp;$E13,Данные!$S$2:$S$201,"&gt;="&amp;G$5,Данные!$S$2:$S$201,"&lt;="&amp;G$6)</f>
        <v>0</v>
      </c>
      <c r="H13" s="49">
        <f>COUNTIFS(Данные!$R$2:$R$201,"&gt;"&amp;$D13,Данные!$R$2:$R$201,"&lt;="&amp;$E13,Данные!$S$2:$S$201,"&gt;"&amp;H$5,Данные!$S$2:$S$201,"&lt;="&amp;H$6)</f>
        <v>0</v>
      </c>
      <c r="I13" s="49">
        <f>COUNTIFS(Данные!$R$2:$R$201,"&gt;"&amp;$D13,Данные!$R$2:$R$201,"&lt;="&amp;$E13,Данные!$S$2:$S$201,"&gt;"&amp;I$5,Данные!$S$2:$S$201,"&lt;="&amp;I$6)</f>
        <v>2</v>
      </c>
      <c r="J13" s="49">
        <f>COUNTIFS(Данные!$R$2:$R$201,"&gt;"&amp;$D13,Данные!$R$2:$R$201,"&lt;="&amp;$E13,Данные!$S$2:$S$201,"&gt;"&amp;J$5,Данные!$S$2:$S$201,"&lt;="&amp;J$6)</f>
        <v>4</v>
      </c>
      <c r="K13" s="49">
        <f>COUNTIFS(Данные!$R$2:$R$201,"&gt;"&amp;$D13,Данные!$R$2:$R$201,"&lt;="&amp;$E13,Данные!$S$2:$S$201,"&gt;"&amp;K$5,Данные!$S$2:$S$201,"&lt;="&amp;K$6)</f>
        <v>6</v>
      </c>
      <c r="L13" s="49">
        <f>COUNTIFS(Данные!$R$2:$R$201,"&gt;"&amp;$D13,Данные!$R$2:$R$201,"&lt;="&amp;$E13,Данные!$S$2:$S$201,"&gt;"&amp;L$5,Данные!$S$2:$S$201,"&lt;="&amp;L$6)</f>
        <v>10</v>
      </c>
      <c r="M13" s="49">
        <f>COUNTIFS(Данные!$R$2:$R$201,"&gt;"&amp;$D13,Данные!$R$2:$R$201,"&lt;="&amp;$E13,Данные!$S$2:$S$201,"&gt;"&amp;M$5,Данные!$S$2:$S$201,"&lt;="&amp;M$6)</f>
        <v>3</v>
      </c>
      <c r="N13" s="49">
        <f>COUNTIFS(Данные!$R$2:$R$201,"&gt;"&amp;$D13,Данные!$R$2:$R$201,"&lt;="&amp;$E13,Данные!$S$2:$S$201,"&gt;"&amp;N$5,Данные!$S$2:$S$201,"&lt;="&amp;N$6)</f>
        <v>2</v>
      </c>
      <c r="O13" s="49">
        <f>COUNTIFS(Данные!$R$2:$R$201,"&gt;"&amp;$D13,Данные!$R$2:$R$201,"&lt;="&amp;$E13,Данные!$S$2:$S$201,"&gt;"&amp;O$5,Данные!$S$2:$S$201,"&lt;="&amp;O$6)</f>
        <v>2</v>
      </c>
      <c r="P13" s="57">
        <f>COUNTIFS(Данные!$R$2:$R$201,"&gt;"&amp;$D13,Данные!$R$2:$R$201,"&lt;="&amp;$E13,Данные!$S$2:$S$201,"&gt;"&amp;P$5,Данные!$S$2:$S$201,"&lt;="&amp;P$6)</f>
        <v>0</v>
      </c>
      <c r="Q13" s="69">
        <f t="shared" si="3"/>
        <v>29</v>
      </c>
      <c r="R13" s="216">
        <f t="shared" si="4"/>
        <v>1922.7500000000002</v>
      </c>
      <c r="S13" s="217"/>
    </row>
    <row r="14" spans="1:19" x14ac:dyDescent="0.3">
      <c r="D14" s="58">
        <f>№2!D16</f>
        <v>171.80000000000007</v>
      </c>
      <c r="E14" s="49">
        <f>№2!E16</f>
        <v>174.60000000000008</v>
      </c>
      <c r="F14" s="68">
        <f t="shared" si="2"/>
        <v>173.20000000000007</v>
      </c>
      <c r="G14" s="49">
        <f>COUNTIFS(Данные!$R$2:$R$201,"&gt;"&amp;$D14,Данные!$R$2:$R$201,"&lt;="&amp;$E14,Данные!$S$2:$S$201,"&gt;="&amp;G$5,Данные!$S$2:$S$201,"&lt;="&amp;G$6)</f>
        <v>0</v>
      </c>
      <c r="H14" s="49">
        <f>COUNTIFS(Данные!$R$2:$R$201,"&gt;"&amp;$D14,Данные!$R$2:$R$201,"&lt;="&amp;$E14,Данные!$S$2:$S$201,"&gt;"&amp;H$5,Данные!$S$2:$S$201,"&lt;="&amp;H$6)</f>
        <v>0</v>
      </c>
      <c r="I14" s="49">
        <f>COUNTIFS(Данные!$R$2:$R$201,"&gt;"&amp;$D14,Данные!$R$2:$R$201,"&lt;="&amp;$E14,Данные!$S$2:$S$201,"&gt;"&amp;I$5,Данные!$S$2:$S$201,"&lt;="&amp;I$6)</f>
        <v>0</v>
      </c>
      <c r="J14" s="49">
        <f>COUNTIFS(Данные!$R$2:$R$201,"&gt;"&amp;$D14,Данные!$R$2:$R$201,"&lt;="&amp;$E14,Данные!$S$2:$S$201,"&gt;"&amp;J$5,Данные!$S$2:$S$201,"&lt;="&amp;J$6)</f>
        <v>0</v>
      </c>
      <c r="K14" s="49">
        <f>COUNTIFS(Данные!$R$2:$R$201,"&gt;"&amp;$D14,Данные!$R$2:$R$201,"&lt;="&amp;$E14,Данные!$S$2:$S$201,"&gt;"&amp;K$5,Данные!$S$2:$S$201,"&lt;="&amp;K$6)</f>
        <v>4</v>
      </c>
      <c r="L14" s="49">
        <f>COUNTIFS(Данные!$R$2:$R$201,"&gt;"&amp;$D14,Данные!$R$2:$R$201,"&lt;="&amp;$E14,Данные!$S$2:$S$201,"&gt;"&amp;L$5,Данные!$S$2:$S$201,"&lt;="&amp;L$6)</f>
        <v>9</v>
      </c>
      <c r="M14" s="49">
        <f>COUNTIFS(Данные!$R$2:$R$201,"&gt;"&amp;$D14,Данные!$R$2:$R$201,"&lt;="&amp;$E14,Данные!$S$2:$S$201,"&gt;"&amp;M$5,Данные!$S$2:$S$201,"&lt;="&amp;M$6)</f>
        <v>6</v>
      </c>
      <c r="N14" s="49">
        <f>COUNTIFS(Данные!$R$2:$R$201,"&gt;"&amp;$D14,Данные!$R$2:$R$201,"&lt;="&amp;$E14,Данные!$S$2:$S$201,"&gt;"&amp;N$5,Данные!$S$2:$S$201,"&lt;="&amp;N$6)</f>
        <v>3</v>
      </c>
      <c r="O14" s="49">
        <f>COUNTIFS(Данные!$R$2:$R$201,"&gt;"&amp;$D14,Данные!$R$2:$R$201,"&lt;="&amp;$E14,Данные!$S$2:$S$201,"&gt;"&amp;O$5,Данные!$S$2:$S$201,"&lt;="&amp;O$6)</f>
        <v>3</v>
      </c>
      <c r="P14" s="57">
        <f>COUNTIFS(Данные!$R$2:$R$201,"&gt;"&amp;$D14,Данные!$R$2:$R$201,"&lt;="&amp;$E14,Данные!$S$2:$S$201,"&gt;"&amp;P$5,Данные!$S$2:$S$201,"&lt;="&amp;P$6)</f>
        <v>1</v>
      </c>
      <c r="Q14" s="69">
        <f t="shared" si="3"/>
        <v>26</v>
      </c>
      <c r="R14" s="216">
        <f t="shared" si="4"/>
        <v>1808.4</v>
      </c>
      <c r="S14" s="217"/>
    </row>
    <row r="15" spans="1:19" x14ac:dyDescent="0.3">
      <c r="D15" s="58">
        <f>№2!D17</f>
        <v>174.60000000000008</v>
      </c>
      <c r="E15" s="49">
        <f>№2!E17</f>
        <v>177.40000000000009</v>
      </c>
      <c r="F15" s="68">
        <f t="shared" si="2"/>
        <v>176.00000000000009</v>
      </c>
      <c r="G15" s="49">
        <f>COUNTIFS(Данные!$R$2:$R$201,"&gt;"&amp;$D15,Данные!$R$2:$R$201,"&lt;="&amp;$E15,Данные!$S$2:$S$201,"&gt;="&amp;G$5,Данные!$S$2:$S$201,"&lt;="&amp;G$6)</f>
        <v>0</v>
      </c>
      <c r="H15" s="49">
        <f>COUNTIFS(Данные!$R$2:$R$201,"&gt;"&amp;$D15,Данные!$R$2:$R$201,"&lt;="&amp;$E15,Данные!$S$2:$S$201,"&gt;"&amp;H$5,Данные!$S$2:$S$201,"&lt;="&amp;H$6)</f>
        <v>0</v>
      </c>
      <c r="I15" s="49">
        <f>COUNTIFS(Данные!$R$2:$R$201,"&gt;"&amp;$D15,Данные!$R$2:$R$201,"&lt;="&amp;$E15,Данные!$S$2:$S$201,"&gt;"&amp;I$5,Данные!$S$2:$S$201,"&lt;="&amp;I$6)</f>
        <v>0</v>
      </c>
      <c r="J15" s="49">
        <f>COUNTIFS(Данные!$R$2:$R$201,"&gt;"&amp;$D15,Данные!$R$2:$R$201,"&lt;="&amp;$E15,Данные!$S$2:$S$201,"&gt;"&amp;J$5,Данные!$S$2:$S$201,"&lt;="&amp;J$6)</f>
        <v>1</v>
      </c>
      <c r="K15" s="49">
        <f>COUNTIFS(Данные!$R$2:$R$201,"&gt;"&amp;$D15,Данные!$R$2:$R$201,"&lt;="&amp;$E15,Данные!$S$2:$S$201,"&gt;"&amp;K$5,Данные!$S$2:$S$201,"&lt;="&amp;K$6)</f>
        <v>0</v>
      </c>
      <c r="L15" s="49">
        <f>COUNTIFS(Данные!$R$2:$R$201,"&gt;"&amp;$D15,Данные!$R$2:$R$201,"&lt;="&amp;$E15,Данные!$S$2:$S$201,"&gt;"&amp;L$5,Данные!$S$2:$S$201,"&lt;="&amp;L$6)</f>
        <v>2</v>
      </c>
      <c r="M15" s="49">
        <f>COUNTIFS(Данные!$R$2:$R$201,"&gt;"&amp;$D15,Данные!$R$2:$R$201,"&lt;="&amp;$E15,Данные!$S$2:$S$201,"&gt;"&amp;M$5,Данные!$S$2:$S$201,"&lt;="&amp;M$6)</f>
        <v>1</v>
      </c>
      <c r="N15" s="49">
        <f>COUNTIFS(Данные!$R$2:$R$201,"&gt;"&amp;$D15,Данные!$R$2:$R$201,"&lt;="&amp;$E15,Данные!$S$2:$S$201,"&gt;"&amp;N$5,Данные!$S$2:$S$201,"&lt;="&amp;N$6)</f>
        <v>1</v>
      </c>
      <c r="O15" s="49">
        <f>COUNTIFS(Данные!$R$2:$R$201,"&gt;"&amp;$D15,Данные!$R$2:$R$201,"&lt;="&amp;$E15,Данные!$S$2:$S$201,"&gt;"&amp;O$5,Данные!$S$2:$S$201,"&lt;="&amp;O$6)</f>
        <v>3</v>
      </c>
      <c r="P15" s="57">
        <f>COUNTIFS(Данные!$R$2:$R$201,"&gt;"&amp;$D15,Данные!$R$2:$R$201,"&lt;="&amp;$E15,Данные!$S$2:$S$201,"&gt;"&amp;P$5,Данные!$S$2:$S$201,"&lt;="&amp;P$6)</f>
        <v>3</v>
      </c>
      <c r="Q15" s="69">
        <f t="shared" si="3"/>
        <v>11</v>
      </c>
      <c r="R15" s="216">
        <f t="shared" si="4"/>
        <v>805.74999999999977</v>
      </c>
      <c r="S15" s="217"/>
    </row>
    <row r="16" spans="1:19" x14ac:dyDescent="0.3">
      <c r="D16" s="58">
        <f>№2!D18</f>
        <v>177.40000000000009</v>
      </c>
      <c r="E16" s="49">
        <f>№2!E18</f>
        <v>180.2000000000001</v>
      </c>
      <c r="F16" s="68">
        <f t="shared" si="2"/>
        <v>178.8000000000001</v>
      </c>
      <c r="G16" s="49">
        <f>COUNTIFS(Данные!$R$2:$R$201,"&gt;"&amp;$D16,Данные!$R$2:$R$201,"&lt;="&amp;$E16,Данные!$S$2:$S$201,"&gt;="&amp;G$5,Данные!$S$2:$S$201,"&lt;="&amp;G$6)</f>
        <v>0</v>
      </c>
      <c r="H16" s="49">
        <f>COUNTIFS(Данные!$R$2:$R$201,"&gt;"&amp;$D16,Данные!$R$2:$R$201,"&lt;="&amp;$E16,Данные!$S$2:$S$201,"&gt;"&amp;H$5,Данные!$S$2:$S$201,"&lt;="&amp;H$6)</f>
        <v>0</v>
      </c>
      <c r="I16" s="49">
        <f>COUNTIFS(Данные!$R$2:$R$201,"&gt;"&amp;$D16,Данные!$R$2:$R$201,"&lt;="&amp;$E16,Данные!$S$2:$S$201,"&gt;"&amp;I$5,Данные!$S$2:$S$201,"&lt;="&amp;I$6)</f>
        <v>0</v>
      </c>
      <c r="J16" s="49">
        <f>COUNTIFS(Данные!$R$2:$R$201,"&gt;"&amp;$D16,Данные!$R$2:$R$201,"&lt;="&amp;$E16,Данные!$S$2:$S$201,"&gt;"&amp;J$5,Данные!$S$2:$S$201,"&lt;="&amp;J$6)</f>
        <v>0</v>
      </c>
      <c r="K16" s="49">
        <f>COUNTIFS(Данные!$R$2:$R$201,"&gt;"&amp;$D16,Данные!$R$2:$R$201,"&lt;="&amp;$E16,Данные!$S$2:$S$201,"&gt;"&amp;K$5,Данные!$S$2:$S$201,"&lt;="&amp;K$6)</f>
        <v>1</v>
      </c>
      <c r="L16" s="49">
        <f>COUNTIFS(Данные!$R$2:$R$201,"&gt;"&amp;$D16,Данные!$R$2:$R$201,"&lt;="&amp;$E16,Данные!$S$2:$S$201,"&gt;"&amp;L$5,Данные!$S$2:$S$201,"&lt;="&amp;L$6)</f>
        <v>0</v>
      </c>
      <c r="M16" s="49">
        <f>COUNTIFS(Данные!$R$2:$R$201,"&gt;"&amp;$D16,Данные!$R$2:$R$201,"&lt;="&amp;$E16,Данные!$S$2:$S$201,"&gt;"&amp;M$5,Данные!$S$2:$S$201,"&lt;="&amp;M$6)</f>
        <v>4</v>
      </c>
      <c r="N16" s="49">
        <f>COUNTIFS(Данные!$R$2:$R$201,"&gt;"&amp;$D16,Данные!$R$2:$R$201,"&lt;="&amp;$E16,Данные!$S$2:$S$201,"&gt;"&amp;N$5,Данные!$S$2:$S$201,"&lt;="&amp;N$6)</f>
        <v>0</v>
      </c>
      <c r="O16" s="49">
        <f>COUNTIFS(Данные!$R$2:$R$201,"&gt;"&amp;$D16,Данные!$R$2:$R$201,"&lt;="&amp;$E16,Данные!$S$2:$S$201,"&gt;"&amp;O$5,Данные!$S$2:$S$201,"&lt;="&amp;O$6)</f>
        <v>2</v>
      </c>
      <c r="P16" s="57">
        <f>COUNTIFS(Данные!$R$2:$R$201,"&gt;"&amp;$D16,Данные!$R$2:$R$201,"&lt;="&amp;$E16,Данные!$S$2:$S$201,"&gt;"&amp;P$5,Данные!$S$2:$S$201,"&lt;="&amp;P$6)</f>
        <v>2</v>
      </c>
      <c r="Q16" s="69">
        <f t="shared" si="3"/>
        <v>9</v>
      </c>
      <c r="R16" s="216">
        <f t="shared" si="4"/>
        <v>656.14999999999986</v>
      </c>
      <c r="S16" s="217"/>
    </row>
    <row r="17" spans="4:20" ht="15" thickBot="1" x14ac:dyDescent="0.35">
      <c r="D17" s="59">
        <f>№2!D19</f>
        <v>180.2000000000001</v>
      </c>
      <c r="E17" s="60">
        <f>№2!E19</f>
        <v>183.00000000000011</v>
      </c>
      <c r="F17" s="68">
        <f t="shared" si="2"/>
        <v>181.60000000000011</v>
      </c>
      <c r="G17" s="60">
        <f>COUNTIFS(Данные!$R$2:$R$201,"&gt;"&amp;$D17,Данные!$R$2:$R$201,"&lt;="&amp;$E17,Данные!$S$2:$S$201,"&gt;="&amp;G$5,Данные!$S$2:$S$201,"&lt;="&amp;G$6)</f>
        <v>0</v>
      </c>
      <c r="H17" s="60">
        <f>COUNTIFS(Данные!$R$2:$R$201,"&gt;"&amp;$D17,Данные!$R$2:$R$201,"&lt;="&amp;$E17,Данные!$S$2:$S$201,"&gt;"&amp;H$5,Данные!$S$2:$S$201,"&lt;="&amp;H$6)</f>
        <v>0</v>
      </c>
      <c r="I17" s="60">
        <f>COUNTIFS(Данные!$R$2:$R$201,"&gt;"&amp;$D17,Данные!$R$2:$R$201,"&lt;="&amp;$E17,Данные!$S$2:$S$201,"&gt;"&amp;I$5,Данные!$S$2:$S$201,"&lt;="&amp;I$6)</f>
        <v>0</v>
      </c>
      <c r="J17" s="60">
        <f>COUNTIFS(Данные!$R$2:$R$201,"&gt;"&amp;$D17,Данные!$R$2:$R$201,"&lt;="&amp;$E17,Данные!$S$2:$S$201,"&gt;"&amp;J$5,Данные!$S$2:$S$201,"&lt;="&amp;J$6)</f>
        <v>0</v>
      </c>
      <c r="K17" s="60">
        <f>COUNTIFS(Данные!$R$2:$R$201,"&gt;"&amp;$D17,Данные!$R$2:$R$201,"&lt;="&amp;$E17,Данные!$S$2:$S$201,"&gt;"&amp;K$5,Данные!$S$2:$S$201,"&lt;="&amp;K$6)</f>
        <v>0</v>
      </c>
      <c r="L17" s="60">
        <f>COUNTIFS(Данные!$R$2:$R$201,"&gt;"&amp;$D17,Данные!$R$2:$R$201,"&lt;="&amp;$E17,Данные!$S$2:$S$201,"&gt;"&amp;L$5,Данные!$S$2:$S$201,"&lt;="&amp;L$6)</f>
        <v>1</v>
      </c>
      <c r="M17" s="60">
        <f>COUNTIFS(Данные!$R$2:$R$201,"&gt;"&amp;$D17,Данные!$R$2:$R$201,"&lt;="&amp;$E17,Данные!$S$2:$S$201,"&gt;"&amp;M$5,Данные!$S$2:$S$201,"&lt;="&amp;M$6)</f>
        <v>0</v>
      </c>
      <c r="N17" s="60">
        <f>COUNTIFS(Данные!$R$2:$R$201,"&gt;"&amp;$D17,Данные!$R$2:$R$201,"&lt;="&amp;$E17,Данные!$S$2:$S$201,"&gt;"&amp;N$5,Данные!$S$2:$S$201,"&lt;="&amp;N$6)</f>
        <v>1</v>
      </c>
      <c r="O17" s="60">
        <f>COUNTIFS(Данные!$R$2:$R$201,"&gt;"&amp;$D17,Данные!$R$2:$R$201,"&lt;="&amp;$E17,Данные!$S$2:$S$201,"&gt;"&amp;O$5,Данные!$S$2:$S$201,"&lt;="&amp;O$6)</f>
        <v>1</v>
      </c>
      <c r="P17" s="61">
        <f>COUNTIFS(Данные!$R$2:$R$201,"&gt;"&amp;$D17,Данные!$R$2:$R$201,"&lt;="&amp;$E17,Данные!$S$2:$S$201,"&gt;"&amp;P$5,Данные!$S$2:$S$201,"&lt;="&amp;P$6)</f>
        <v>0</v>
      </c>
      <c r="Q17" s="69">
        <f t="shared" si="3"/>
        <v>3</v>
      </c>
      <c r="R17" s="216">
        <f t="shared" si="4"/>
        <v>216.64999999999998</v>
      </c>
      <c r="S17" s="217"/>
    </row>
    <row r="18" spans="4:20" x14ac:dyDescent="0.3">
      <c r="D18" s="53" t="s">
        <v>70</v>
      </c>
      <c r="E18" s="54" t="s">
        <v>65</v>
      </c>
      <c r="F18" s="62"/>
      <c r="G18" s="54">
        <f>SUM(G8:G17)</f>
        <v>8</v>
      </c>
      <c r="H18" s="54">
        <f t="shared" ref="H18:P18" si="5">SUM(H8:H17)</f>
        <v>17</v>
      </c>
      <c r="I18" s="54">
        <f t="shared" si="5"/>
        <v>17</v>
      </c>
      <c r="J18" s="54">
        <f t="shared" si="5"/>
        <v>29</v>
      </c>
      <c r="K18" s="54">
        <f t="shared" si="5"/>
        <v>41</v>
      </c>
      <c r="L18" s="54">
        <f t="shared" si="5"/>
        <v>41</v>
      </c>
      <c r="M18" s="54">
        <f t="shared" si="5"/>
        <v>17</v>
      </c>
      <c r="N18" s="54">
        <f t="shared" si="5"/>
        <v>9</v>
      </c>
      <c r="O18" s="54">
        <f t="shared" si="5"/>
        <v>13</v>
      </c>
      <c r="P18" s="54">
        <f t="shared" si="5"/>
        <v>8</v>
      </c>
      <c r="Q18" s="147" t="s">
        <v>138</v>
      </c>
      <c r="R18" s="218">
        <f>SUMPRODUCT(F8:F17,R8:R17)/Данные!U2</f>
        <v>10871.033600000002</v>
      </c>
      <c r="S18" s="219"/>
    </row>
    <row r="19" spans="4:20" ht="15" thickBot="1" x14ac:dyDescent="0.35">
      <c r="D19" s="184"/>
      <c r="E19" s="185"/>
      <c r="F19" s="63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178"/>
      <c r="R19" s="179"/>
      <c r="S19" s="72"/>
    </row>
    <row r="21" spans="4:20" ht="15" thickBot="1" x14ac:dyDescent="0.35">
      <c r="O21" s="48"/>
      <c r="P21" s="48"/>
      <c r="Q21" s="48"/>
      <c r="R21" s="48"/>
      <c r="S21" s="48"/>
      <c r="T21" s="48"/>
    </row>
    <row r="22" spans="4:20" x14ac:dyDescent="0.3">
      <c r="H22" s="220" t="s">
        <v>87</v>
      </c>
      <c r="I22" s="221"/>
      <c r="J22" s="221"/>
      <c r="K22" s="80">
        <f>1/(B2*C2) * (R18-B3*C3)</f>
        <v>0.6375689978792437</v>
      </c>
      <c r="L22" s="194" t="s">
        <v>99</v>
      </c>
      <c r="M22" s="194"/>
      <c r="R22" s="48"/>
      <c r="S22" s="48"/>
      <c r="T22" s="48"/>
    </row>
    <row r="23" spans="4:20" x14ac:dyDescent="0.3">
      <c r="H23" s="215" t="s">
        <v>36</v>
      </c>
      <c r="I23" s="193"/>
      <c r="J23" s="193"/>
      <c r="K23" s="81">
        <f>C3-K24*B3</f>
        <v>-63.193346294391901</v>
      </c>
      <c r="L23" s="194"/>
      <c r="M23" s="194"/>
      <c r="R23" s="48"/>
      <c r="S23" s="48"/>
      <c r="T23" s="48"/>
    </row>
    <row r="24" spans="4:20" ht="15" thickBot="1" x14ac:dyDescent="0.35">
      <c r="H24" s="212" t="s">
        <v>88</v>
      </c>
      <c r="I24" s="213"/>
      <c r="J24" s="213"/>
      <c r="K24" s="82">
        <f>K22*C2/B2</f>
        <v>0.76279611999804275</v>
      </c>
      <c r="L24" s="194"/>
      <c r="M24" s="194"/>
      <c r="R24" s="48"/>
      <c r="S24" s="48"/>
      <c r="T24" s="48"/>
    </row>
    <row r="25" spans="4:20" x14ac:dyDescent="0.3">
      <c r="L25" s="194"/>
      <c r="M25" s="194"/>
      <c r="N25" s="214" t="s">
        <v>97</v>
      </c>
      <c r="O25" s="214"/>
      <c r="P25" s="214"/>
      <c r="Q25" s="214"/>
      <c r="R25" s="214"/>
      <c r="S25" s="214"/>
      <c r="T25" s="48"/>
    </row>
    <row r="26" spans="4:20" x14ac:dyDescent="0.3">
      <c r="L26" s="194"/>
      <c r="M26" s="194"/>
      <c r="N26" s="214"/>
      <c r="O26" s="214"/>
      <c r="P26" s="214"/>
      <c r="Q26" s="214"/>
      <c r="R26" s="214"/>
      <c r="S26" s="214"/>
      <c r="T26" s="48"/>
    </row>
    <row r="27" spans="4:20" x14ac:dyDescent="0.3">
      <c r="H27" s="48"/>
      <c r="I27" s="48" t="s">
        <v>90</v>
      </c>
      <c r="J27" s="78"/>
      <c r="L27" s="194"/>
      <c r="M27" s="194"/>
      <c r="N27" s="214"/>
      <c r="O27" s="214"/>
      <c r="P27" s="214"/>
      <c r="Q27" s="214"/>
      <c r="R27" s="214"/>
      <c r="S27" s="214"/>
      <c r="T27" s="48"/>
    </row>
    <row r="28" spans="4:20" x14ac:dyDescent="0.3">
      <c r="H28" s="91" t="s">
        <v>20</v>
      </c>
      <c r="I28" s="91" t="s">
        <v>21</v>
      </c>
      <c r="J28" s="91" t="s">
        <v>91</v>
      </c>
      <c r="L28" s="194"/>
      <c r="M28" s="194"/>
      <c r="N28" s="214"/>
      <c r="O28" s="214"/>
      <c r="P28" s="214"/>
      <c r="Q28" s="214"/>
      <c r="R28" s="214"/>
      <c r="S28" s="214"/>
      <c r="T28" s="48"/>
    </row>
    <row r="29" spans="4:20" x14ac:dyDescent="0.3">
      <c r="H29" s="91">
        <v>0.1</v>
      </c>
      <c r="I29" s="91">
        <v>0.3</v>
      </c>
      <c r="J29" s="91" t="s">
        <v>93</v>
      </c>
      <c r="L29" s="194"/>
      <c r="M29" s="194"/>
      <c r="N29" s="214"/>
      <c r="O29" s="214"/>
      <c r="P29" s="214"/>
      <c r="Q29" s="214"/>
      <c r="R29" s="214"/>
      <c r="S29" s="214"/>
      <c r="T29" s="48"/>
    </row>
    <row r="30" spans="4:20" x14ac:dyDescent="0.3">
      <c r="H30" s="91">
        <v>0.3</v>
      </c>
      <c r="I30" s="91">
        <v>0.5</v>
      </c>
      <c r="J30" s="91" t="s">
        <v>94</v>
      </c>
      <c r="L30" s="194"/>
      <c r="M30" s="194"/>
      <c r="N30" s="214"/>
      <c r="O30" s="214"/>
      <c r="P30" s="214"/>
      <c r="Q30" s="214"/>
      <c r="R30" s="214"/>
      <c r="S30" s="214"/>
      <c r="T30" s="48"/>
    </row>
    <row r="31" spans="4:20" x14ac:dyDescent="0.3">
      <c r="G31" s="115"/>
      <c r="H31" s="114">
        <v>0.5</v>
      </c>
      <c r="I31" s="114">
        <v>0.7</v>
      </c>
      <c r="J31" s="114" t="s">
        <v>92</v>
      </c>
      <c r="K31" s="115"/>
      <c r="L31" s="194"/>
      <c r="M31" s="194"/>
    </row>
    <row r="32" spans="4:20" x14ac:dyDescent="0.3">
      <c r="H32" s="91">
        <v>0.7</v>
      </c>
      <c r="I32" s="91">
        <v>0.9</v>
      </c>
      <c r="J32" s="91" t="s">
        <v>95</v>
      </c>
      <c r="L32" s="194"/>
      <c r="M32" s="194"/>
    </row>
    <row r="33" spans="8:22" x14ac:dyDescent="0.3">
      <c r="H33" s="91">
        <v>0.9</v>
      </c>
      <c r="I33" s="91">
        <v>0.99</v>
      </c>
      <c r="J33" s="91" t="s">
        <v>96</v>
      </c>
      <c r="L33" s="194"/>
      <c r="M33" s="194"/>
      <c r="N33" s="193" t="s">
        <v>98</v>
      </c>
      <c r="O33" s="193"/>
      <c r="P33" s="193" t="str">
        <f>"y = "&amp;K24&amp;"x +("&amp;K23&amp;")"</f>
        <v>y = 0,762796119998043x +(-63,1933462943919)</v>
      </c>
      <c r="Q33" s="193"/>
      <c r="R33" s="193"/>
      <c r="S33" s="193"/>
      <c r="T33" s="193"/>
      <c r="U33" s="193"/>
      <c r="V33" s="193"/>
    </row>
  </sheetData>
  <mergeCells count="23">
    <mergeCell ref="R16:S16"/>
    <mergeCell ref="D5:E6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7:S17"/>
    <mergeCell ref="D19:E19"/>
    <mergeCell ref="Q19:R19"/>
    <mergeCell ref="R18:S18"/>
    <mergeCell ref="H22:J22"/>
    <mergeCell ref="H24:J24"/>
    <mergeCell ref="L22:M33"/>
    <mergeCell ref="N25:S30"/>
    <mergeCell ref="N33:O33"/>
    <mergeCell ref="P33:V33"/>
    <mergeCell ref="H23:J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DA97-AF47-4224-8838-92B716964FDA}">
  <dimension ref="A1:F3"/>
  <sheetViews>
    <sheetView zoomScale="78" zoomScaleNormal="130" workbookViewId="0">
      <selection activeCell="K5" sqref="K5"/>
    </sheetView>
  </sheetViews>
  <sheetFormatPr defaultRowHeight="14.4" x14ac:dyDescent="0.3"/>
  <sheetData>
    <row r="1" spans="1:6" x14ac:dyDescent="0.3">
      <c r="A1" s="74" t="s">
        <v>36</v>
      </c>
      <c r="B1" s="74">
        <f>№12!K23</f>
        <v>-63.193346294391901</v>
      </c>
      <c r="D1" s="125"/>
      <c r="E1" s="126" t="s">
        <v>20</v>
      </c>
      <c r="F1" s="127" t="s">
        <v>21</v>
      </c>
    </row>
    <row r="2" spans="1:6" x14ac:dyDescent="0.3">
      <c r="A2" s="74" t="s">
        <v>88</v>
      </c>
      <c r="B2" s="74">
        <f>№12!K24</f>
        <v>0.76279611999804275</v>
      </c>
      <c r="D2" s="128" t="s">
        <v>100</v>
      </c>
      <c r="E2" s="129">
        <f>№1!B3</f>
        <v>155</v>
      </c>
      <c r="F2" s="130">
        <f>№1!B202</f>
        <v>183</v>
      </c>
    </row>
    <row r="3" spans="1:6" ht="15" thickBot="1" x14ac:dyDescent="0.35">
      <c r="D3" s="131" t="s">
        <v>101</v>
      </c>
      <c r="E3" s="132">
        <f>B2*E2+B1</f>
        <v>55.040052305304727</v>
      </c>
      <c r="F3" s="133">
        <f>B2*F2+B1</f>
        <v>76.398343665249925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0E68-C338-45A3-A6D8-7CD7B3300213}">
  <dimension ref="A1:N11"/>
  <sheetViews>
    <sheetView workbookViewId="0">
      <selection activeCell="A5" sqref="A5"/>
    </sheetView>
  </sheetViews>
  <sheetFormatPr defaultRowHeight="14.4" x14ac:dyDescent="0.3"/>
  <cols>
    <col min="1" max="1" width="25.5546875" bestFit="1" customWidth="1"/>
  </cols>
  <sheetData>
    <row r="1" spans="1:14" x14ac:dyDescent="0.3">
      <c r="A1" s="116" t="s">
        <v>102</v>
      </c>
      <c r="B1" s="117">
        <f>№12!K22</f>
        <v>0.6375689978792437</v>
      </c>
      <c r="C1" s="194" t="s">
        <v>104</v>
      </c>
      <c r="D1" s="194"/>
      <c r="E1" s="194"/>
      <c r="F1" s="194"/>
      <c r="G1" s="214" t="s">
        <v>126</v>
      </c>
      <c r="H1" s="214"/>
      <c r="I1" s="214"/>
      <c r="J1" s="214"/>
      <c r="K1" s="214"/>
      <c r="L1" s="214"/>
      <c r="M1" s="214"/>
      <c r="N1" s="214"/>
    </row>
    <row r="2" spans="1:14" ht="15" thickBot="1" x14ac:dyDescent="0.35">
      <c r="A2" s="118" t="s">
        <v>103</v>
      </c>
      <c r="B2" s="119">
        <f>SQRT(№10!S20/№4!D5)</f>
        <v>0.65162865518418966</v>
      </c>
      <c r="C2" s="194"/>
      <c r="D2" s="194"/>
      <c r="E2" s="194"/>
      <c r="F2" s="194"/>
      <c r="G2" s="214"/>
      <c r="H2" s="214"/>
      <c r="I2" s="214"/>
      <c r="J2" s="214"/>
      <c r="K2" s="214"/>
      <c r="L2" s="214"/>
      <c r="M2" s="214"/>
      <c r="N2" s="214"/>
    </row>
    <row r="3" spans="1:14" x14ac:dyDescent="0.3">
      <c r="A3" s="48"/>
      <c r="B3" s="48"/>
      <c r="C3" s="48"/>
      <c r="D3" s="48"/>
      <c r="E3" s="48"/>
      <c r="F3" s="48"/>
    </row>
    <row r="4" spans="1:14" x14ac:dyDescent="0.3">
      <c r="A4" s="48"/>
      <c r="B4" s="48"/>
      <c r="C4" s="48"/>
      <c r="D4" s="48"/>
      <c r="E4" s="48"/>
      <c r="F4" s="48"/>
    </row>
    <row r="5" spans="1:14" x14ac:dyDescent="0.3">
      <c r="A5" s="48"/>
      <c r="B5" s="48"/>
      <c r="C5" s="48"/>
      <c r="D5" s="48"/>
      <c r="E5" s="48"/>
      <c r="F5" s="48"/>
    </row>
    <row r="6" spans="1:14" x14ac:dyDescent="0.3">
      <c r="A6" s="48"/>
      <c r="B6" s="48"/>
      <c r="C6" s="48"/>
      <c r="D6" s="48"/>
      <c r="E6" s="48"/>
      <c r="F6" s="48"/>
    </row>
    <row r="7" spans="1:14" x14ac:dyDescent="0.3">
      <c r="A7" s="48"/>
      <c r="B7" s="48"/>
      <c r="C7" s="48"/>
      <c r="D7" s="48"/>
      <c r="E7" s="48"/>
      <c r="F7" s="48"/>
    </row>
    <row r="8" spans="1:14" x14ac:dyDescent="0.3">
      <c r="A8" s="48"/>
      <c r="B8" s="48"/>
      <c r="C8" s="48"/>
      <c r="D8" s="48"/>
      <c r="E8" s="48"/>
      <c r="F8" s="48"/>
    </row>
    <row r="9" spans="1:14" x14ac:dyDescent="0.3">
      <c r="A9" s="48"/>
      <c r="B9" s="48"/>
      <c r="C9" s="48"/>
      <c r="D9" s="48"/>
      <c r="E9" s="48"/>
      <c r="F9" s="48"/>
    </row>
    <row r="10" spans="1:14" x14ac:dyDescent="0.3">
      <c r="A10" s="48"/>
      <c r="B10" s="48"/>
      <c r="C10" s="48"/>
      <c r="D10" s="48"/>
      <c r="E10" s="48"/>
      <c r="F10" s="48"/>
    </row>
    <row r="11" spans="1:14" x14ac:dyDescent="0.3">
      <c r="A11" s="48"/>
      <c r="B11" s="48"/>
      <c r="C11" s="48"/>
      <c r="D11" s="48"/>
      <c r="E11" s="48"/>
      <c r="F11" s="48"/>
    </row>
  </sheetData>
  <mergeCells count="2">
    <mergeCell ref="C1:F2"/>
    <mergeCell ref="G1:N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AB8F-7F9F-49C5-870C-102F54B7D651}">
  <dimension ref="A1:W37"/>
  <sheetViews>
    <sheetView zoomScale="81" workbookViewId="0">
      <selection activeCell="W17" sqref="W17"/>
    </sheetView>
  </sheetViews>
  <sheetFormatPr defaultRowHeight="14.4" x14ac:dyDescent="0.3"/>
  <cols>
    <col min="3" max="3" width="19.109375" bestFit="1" customWidth="1"/>
    <col min="6" max="6" width="28.77734375" bestFit="1" customWidth="1"/>
  </cols>
  <sheetData>
    <row r="1" spans="1:23" x14ac:dyDescent="0.3">
      <c r="A1" s="224" t="s">
        <v>25</v>
      </c>
      <c r="B1" s="225"/>
      <c r="C1" s="101"/>
      <c r="D1" s="230" t="s">
        <v>111</v>
      </c>
      <c r="E1" s="230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2"/>
      <c r="T1" s="48"/>
      <c r="U1" s="48"/>
      <c r="V1" s="48"/>
      <c r="W1" s="48"/>
    </row>
    <row r="2" spans="1:23" x14ac:dyDescent="0.3">
      <c r="A2" s="226"/>
      <c r="B2" s="227"/>
      <c r="C2" s="113" t="s">
        <v>88</v>
      </c>
      <c r="D2" s="107" cm="1">
        <f t="array" ref="D2:E6">LINEST(Данные!S2:S201,Данные!R2:R201,1,1)</f>
        <v>0.74528126213997481</v>
      </c>
      <c r="E2" s="107">
        <v>-60.390837349223588</v>
      </c>
      <c r="F2" s="106" t="s">
        <v>36</v>
      </c>
      <c r="G2" s="194" t="s">
        <v>114</v>
      </c>
      <c r="H2" s="194"/>
      <c r="I2" s="194"/>
      <c r="J2" s="194"/>
      <c r="K2" s="214" t="str">
        <f>"y="&amp;D2&amp;"x +("&amp;E2&amp;")"</f>
        <v>y=0,745281262139975x +(-60,3908373492236)</v>
      </c>
      <c r="L2" s="214"/>
      <c r="M2" s="214"/>
      <c r="N2" s="214"/>
      <c r="O2" s="214"/>
      <c r="P2" s="214"/>
      <c r="Q2" s="214"/>
      <c r="R2" s="214"/>
      <c r="S2" s="231"/>
      <c r="T2" s="48"/>
      <c r="U2" s="48"/>
      <c r="V2" s="48"/>
      <c r="W2" s="48"/>
    </row>
    <row r="3" spans="1:23" ht="15" thickBot="1" x14ac:dyDescent="0.35">
      <c r="A3" s="228"/>
      <c r="B3" s="229"/>
      <c r="C3" s="113" t="s">
        <v>107</v>
      </c>
      <c r="D3" s="107">
        <v>6.370536514246096E-2</v>
      </c>
      <c r="E3" s="107">
        <v>10.693761039213859</v>
      </c>
      <c r="F3" s="106" t="s">
        <v>106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103"/>
      <c r="T3" s="48"/>
      <c r="U3" s="48"/>
      <c r="V3" s="48"/>
      <c r="W3" s="48"/>
    </row>
    <row r="4" spans="1:23" x14ac:dyDescent="0.3">
      <c r="A4" s="92"/>
      <c r="B4" s="48"/>
      <c r="C4" s="106" t="s">
        <v>108</v>
      </c>
      <c r="D4" s="107">
        <v>0.40871471105777968</v>
      </c>
      <c r="E4" s="107">
        <v>5.0280526396382079</v>
      </c>
      <c r="F4" s="106" t="s">
        <v>109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103"/>
      <c r="T4" s="48"/>
      <c r="U4" s="48"/>
      <c r="V4" s="48"/>
      <c r="W4" s="48"/>
    </row>
    <row r="5" spans="1:23" x14ac:dyDescent="0.3">
      <c r="A5" s="92"/>
      <c r="B5" s="48"/>
      <c r="C5" s="106" t="s">
        <v>110</v>
      </c>
      <c r="D5" s="107">
        <v>136.86373448291272</v>
      </c>
      <c r="E5" s="107">
        <v>198</v>
      </c>
      <c r="F5" s="48" t="s">
        <v>117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103"/>
      <c r="T5" s="48"/>
      <c r="U5" s="48"/>
      <c r="V5" s="48"/>
      <c r="W5" s="48"/>
    </row>
    <row r="6" spans="1:23" x14ac:dyDescent="0.3">
      <c r="A6" s="92"/>
      <c r="B6" s="48"/>
      <c r="C6" s="107"/>
      <c r="D6" s="107">
        <v>3460.0949572993959</v>
      </c>
      <c r="E6" s="107">
        <v>5005.7000427006042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103"/>
      <c r="T6" s="48"/>
      <c r="U6" s="48"/>
      <c r="V6" s="48"/>
      <c r="W6" s="48"/>
    </row>
    <row r="7" spans="1:23" x14ac:dyDescent="0.3">
      <c r="A7" s="92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103"/>
      <c r="T7" s="48"/>
      <c r="U7" s="48"/>
      <c r="V7" s="48"/>
      <c r="W7" s="48"/>
    </row>
    <row r="8" spans="1:23" x14ac:dyDescent="0.3">
      <c r="A8" s="92"/>
      <c r="B8" s="48"/>
      <c r="C8" s="48"/>
      <c r="D8" s="48"/>
      <c r="E8" s="48"/>
      <c r="F8" s="106" t="s">
        <v>112</v>
      </c>
      <c r="G8" s="107">
        <f>D6/Данные!U2</f>
        <v>17.300474786496981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103"/>
      <c r="T8" s="48"/>
      <c r="U8" s="48"/>
      <c r="V8" s="48"/>
      <c r="W8" s="48"/>
    </row>
    <row r="9" spans="1:23" x14ac:dyDescent="0.3">
      <c r="A9" s="92"/>
      <c r="B9" s="48"/>
      <c r="C9" s="48"/>
      <c r="D9" s="48"/>
      <c r="E9" s="48"/>
      <c r="F9" s="106" t="s">
        <v>113</v>
      </c>
      <c r="G9" s="107">
        <f>E6/Данные!U2</f>
        <v>25.028500213503023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103"/>
      <c r="T9" s="48"/>
      <c r="U9" s="48"/>
      <c r="V9" s="48"/>
      <c r="W9" s="48"/>
    </row>
    <row r="10" spans="1:23" x14ac:dyDescent="0.3">
      <c r="A10" s="92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103"/>
      <c r="T10" s="48"/>
      <c r="U10" s="48"/>
      <c r="V10" s="48"/>
      <c r="W10" s="48"/>
    </row>
    <row r="11" spans="1:23" x14ac:dyDescent="0.3">
      <c r="A11" s="92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103"/>
      <c r="T11" s="48"/>
      <c r="U11" s="48"/>
      <c r="V11" s="48"/>
      <c r="W11" s="48"/>
    </row>
    <row r="12" spans="1:23" ht="15" thickBot="1" x14ac:dyDescent="0.35">
      <c r="A12" s="92"/>
      <c r="B12" s="48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5"/>
      <c r="T12" s="48"/>
      <c r="U12" s="48"/>
      <c r="V12" s="48"/>
      <c r="W12" s="48"/>
    </row>
    <row r="13" spans="1:23" x14ac:dyDescent="0.3">
      <c r="A13" s="236" t="s">
        <v>31</v>
      </c>
      <c r="B13" s="237"/>
      <c r="C13" s="108" t="s">
        <v>1</v>
      </c>
      <c r="D13" s="108">
        <v>180</v>
      </c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2"/>
      <c r="T13" s="48"/>
      <c r="U13" s="48"/>
      <c r="V13" s="48"/>
      <c r="W13" s="48"/>
    </row>
    <row r="14" spans="1:23" x14ac:dyDescent="0.3">
      <c r="A14" s="238"/>
      <c r="B14" s="239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103"/>
      <c r="T14" s="48"/>
      <c r="U14" s="48"/>
      <c r="V14" s="48"/>
      <c r="W14" s="48"/>
    </row>
    <row r="15" spans="1:23" ht="15" thickBot="1" x14ac:dyDescent="0.35">
      <c r="A15" s="240"/>
      <c r="B15" s="241"/>
      <c r="C15" s="48"/>
      <c r="D15" s="48"/>
      <c r="E15" s="48"/>
      <c r="F15" s="106" t="s">
        <v>2</v>
      </c>
      <c r="G15" s="106">
        <f>D2*D13+E2</f>
        <v>73.759789835971887</v>
      </c>
      <c r="H15" s="48"/>
      <c r="I15" s="242" t="s">
        <v>118</v>
      </c>
      <c r="J15" s="242"/>
      <c r="K15" s="242"/>
      <c r="L15" s="48"/>
      <c r="M15" s="48"/>
      <c r="N15" s="48"/>
      <c r="O15" s="48"/>
      <c r="P15" s="48"/>
      <c r="Q15" s="48"/>
      <c r="R15" s="48"/>
      <c r="S15" s="103"/>
      <c r="T15" s="48"/>
      <c r="U15" s="48"/>
      <c r="V15" s="48"/>
      <c r="W15" s="48"/>
    </row>
    <row r="16" spans="1:23" x14ac:dyDescent="0.3">
      <c r="A16" s="92"/>
      <c r="B16" s="48"/>
      <c r="C16" s="48"/>
      <c r="D16" s="48"/>
      <c r="E16" s="48"/>
      <c r="F16" s="106" t="s">
        <v>116</v>
      </c>
      <c r="G16" s="106">
        <f>SQRT(1+1/Данные!U2+POWER(D13-№5!B3, 2)/(Данные!U2*№5!B5))*E4</f>
        <v>5.1004649410181653</v>
      </c>
      <c r="H16" s="48"/>
      <c r="I16" s="106" t="s">
        <v>20</v>
      </c>
      <c r="J16" s="242">
        <f>G15-G18</f>
        <v>63.701583827192735</v>
      </c>
      <c r="K16" s="242"/>
      <c r="L16" s="48"/>
      <c r="M16" s="48"/>
      <c r="N16" s="48"/>
      <c r="O16" s="48"/>
      <c r="P16" s="48"/>
      <c r="Q16" s="48"/>
      <c r="R16" s="48"/>
      <c r="S16" s="103"/>
      <c r="T16" s="48"/>
      <c r="U16" s="48"/>
      <c r="V16" s="48"/>
      <c r="W16" s="48"/>
    </row>
    <row r="17" spans="1:23" x14ac:dyDescent="0.3">
      <c r="A17" s="92"/>
      <c r="B17" s="48"/>
      <c r="C17" s="48"/>
      <c r="D17" s="48"/>
      <c r="E17" s="48"/>
      <c r="F17" s="111" t="s">
        <v>79</v>
      </c>
      <c r="G17" s="111">
        <f>_xlfn.T.INV.2T(D31,E5)</f>
        <v>1.9720174778363073</v>
      </c>
      <c r="H17" s="48"/>
      <c r="I17" s="106" t="s">
        <v>21</v>
      </c>
      <c r="J17" s="242">
        <f>G15+G18</f>
        <v>83.817995844751039</v>
      </c>
      <c r="K17" s="242"/>
      <c r="L17" s="48"/>
      <c r="M17" s="48"/>
      <c r="N17" s="48"/>
      <c r="O17" s="48"/>
      <c r="P17" s="48"/>
      <c r="Q17" s="48"/>
      <c r="R17" s="48"/>
      <c r="S17" s="103"/>
      <c r="T17" s="48"/>
      <c r="U17" s="48"/>
      <c r="V17" s="48"/>
      <c r="W17" s="48"/>
    </row>
    <row r="18" spans="1:23" x14ac:dyDescent="0.3">
      <c r="A18" s="92"/>
      <c r="B18" s="48"/>
      <c r="C18" s="48"/>
      <c r="D18" s="48"/>
      <c r="E18" s="48"/>
      <c r="F18" s="111" t="s">
        <v>30</v>
      </c>
      <c r="G18" s="111">
        <f>G16*G17</f>
        <v>10.058206008779152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103"/>
      <c r="T18" s="48"/>
      <c r="U18" s="48"/>
      <c r="V18" s="48"/>
      <c r="W18" s="48"/>
    </row>
    <row r="19" spans="1:23" x14ac:dyDescent="0.3">
      <c r="A19" s="92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103"/>
      <c r="T19" s="48"/>
      <c r="U19" s="48"/>
      <c r="V19" s="48"/>
      <c r="W19" s="48"/>
    </row>
    <row r="20" spans="1:23" ht="15" thickBot="1" x14ac:dyDescent="0.35">
      <c r="A20" s="92"/>
      <c r="B20" s="48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5"/>
      <c r="T20" s="48"/>
      <c r="U20" s="48"/>
      <c r="V20" s="48"/>
      <c r="W20" s="48"/>
    </row>
    <row r="21" spans="1:23" x14ac:dyDescent="0.3">
      <c r="A21" s="224" t="s">
        <v>35</v>
      </c>
      <c r="B21" s="225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2"/>
      <c r="T21" s="48"/>
      <c r="U21" s="48"/>
      <c r="V21" s="48"/>
      <c r="W21" s="48"/>
    </row>
    <row r="22" spans="1:23" x14ac:dyDescent="0.3">
      <c r="A22" s="226"/>
      <c r="B22" s="227"/>
      <c r="C22" s="48"/>
      <c r="D22" s="48"/>
      <c r="E22" s="48"/>
      <c r="I22" s="242" t="s">
        <v>121</v>
      </c>
      <c r="J22" s="242"/>
      <c r="K22" s="242"/>
      <c r="L22" s="48"/>
      <c r="M22" s="48"/>
      <c r="N22" s="48"/>
      <c r="O22" s="48"/>
      <c r="P22" s="48"/>
      <c r="Q22" s="48"/>
      <c r="R22" s="48"/>
      <c r="S22" s="103"/>
      <c r="T22" s="48"/>
      <c r="U22" s="48"/>
      <c r="V22" s="48"/>
      <c r="W22" s="48"/>
    </row>
    <row r="23" spans="1:23" ht="15" thickBot="1" x14ac:dyDescent="0.35">
      <c r="A23" s="228"/>
      <c r="B23" s="229"/>
      <c r="C23" s="48"/>
      <c r="D23" s="48"/>
      <c r="E23" s="48"/>
      <c r="F23" s="48"/>
      <c r="G23" s="48"/>
      <c r="H23" s="48"/>
      <c r="I23" s="106" t="s">
        <v>20</v>
      </c>
      <c r="J23" s="222">
        <f>D2-D3*G17</f>
        <v>0.61965316864709796</v>
      </c>
      <c r="K23" s="223"/>
      <c r="L23" s="48"/>
      <c r="M23" s="48"/>
      <c r="N23" s="48"/>
      <c r="O23" s="48"/>
      <c r="P23" s="48"/>
      <c r="Q23" s="48"/>
      <c r="R23" s="48"/>
      <c r="S23" s="103"/>
      <c r="T23" s="48"/>
      <c r="U23" s="48"/>
      <c r="V23" s="48"/>
      <c r="W23" s="48"/>
    </row>
    <row r="24" spans="1:23" x14ac:dyDescent="0.3">
      <c r="A24" s="92"/>
      <c r="B24" s="48"/>
      <c r="C24" s="48"/>
      <c r="D24" s="48"/>
      <c r="E24" s="48"/>
      <c r="F24" s="48"/>
      <c r="G24" s="48"/>
      <c r="H24" s="48"/>
      <c r="I24" s="106" t="s">
        <v>21</v>
      </c>
      <c r="J24" s="222">
        <f>D2+D3*G17</f>
        <v>0.87090935563285166</v>
      </c>
      <c r="K24" s="223"/>
      <c r="L24" s="48"/>
      <c r="M24" s="48"/>
      <c r="N24" s="48"/>
      <c r="O24" s="48"/>
      <c r="P24" s="48"/>
      <c r="Q24" s="48"/>
      <c r="R24" s="48"/>
      <c r="S24" s="103"/>
      <c r="T24" s="48"/>
      <c r="U24" s="48"/>
      <c r="V24" s="48"/>
      <c r="W24" s="48"/>
    </row>
    <row r="25" spans="1:23" x14ac:dyDescent="0.3">
      <c r="A25" s="92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103"/>
      <c r="T25" s="48"/>
      <c r="U25" s="48"/>
      <c r="V25" s="48"/>
      <c r="W25" s="48"/>
    </row>
    <row r="26" spans="1:23" x14ac:dyDescent="0.3">
      <c r="A26" s="92"/>
      <c r="B26" s="48"/>
      <c r="C26" s="48"/>
      <c r="D26" s="48"/>
      <c r="E26" s="48"/>
      <c r="F26" s="48"/>
      <c r="G26" s="48"/>
      <c r="H26" s="48"/>
      <c r="I26" s="242" t="s">
        <v>120</v>
      </c>
      <c r="J26" s="242"/>
      <c r="K26" s="242"/>
      <c r="L26" s="48"/>
      <c r="M26" s="48"/>
      <c r="N26" s="48"/>
      <c r="O26" s="48"/>
      <c r="P26" s="48"/>
      <c r="Q26" s="48"/>
      <c r="R26" s="48"/>
      <c r="S26" s="103"/>
      <c r="T26" s="48"/>
      <c r="U26" s="48"/>
      <c r="V26" s="48"/>
      <c r="W26" s="48"/>
    </row>
    <row r="27" spans="1:23" x14ac:dyDescent="0.3">
      <c r="A27" s="92"/>
      <c r="B27" s="48"/>
      <c r="C27" s="48"/>
      <c r="D27" s="48"/>
      <c r="E27" s="48"/>
      <c r="F27" s="48"/>
      <c r="G27" s="48"/>
      <c r="H27" s="48"/>
      <c r="I27" s="106" t="s">
        <v>20</v>
      </c>
      <c r="J27" s="222">
        <f>E2-E3*G17</f>
        <v>-81.479121022358271</v>
      </c>
      <c r="K27" s="223"/>
      <c r="L27" s="48"/>
      <c r="M27" s="48"/>
      <c r="N27" s="48"/>
      <c r="O27" s="48"/>
      <c r="P27" s="48"/>
      <c r="Q27" s="48"/>
      <c r="R27" s="48"/>
      <c r="S27" s="103"/>
      <c r="T27" s="48"/>
      <c r="U27" s="48"/>
      <c r="V27" s="48"/>
      <c r="W27" s="48"/>
    </row>
    <row r="28" spans="1:23" x14ac:dyDescent="0.3">
      <c r="A28" s="92"/>
      <c r="B28" s="48"/>
      <c r="C28" s="48"/>
      <c r="D28" s="48"/>
      <c r="E28" s="48"/>
      <c r="F28" s="48"/>
      <c r="G28" s="48"/>
      <c r="H28" s="48"/>
      <c r="I28" s="106" t="s">
        <v>21</v>
      </c>
      <c r="J28" s="222">
        <f>E2+E3*G17</f>
        <v>-39.302553676088905</v>
      </c>
      <c r="K28" s="223"/>
      <c r="L28" s="48"/>
      <c r="M28" s="48"/>
      <c r="N28" s="48"/>
      <c r="O28" s="48"/>
      <c r="P28" s="48"/>
      <c r="Q28" s="48"/>
      <c r="R28" s="48"/>
      <c r="S28" s="103"/>
      <c r="T28" s="48"/>
      <c r="U28" s="48"/>
      <c r="V28" s="48"/>
      <c r="W28" s="48"/>
    </row>
    <row r="29" spans="1:23" x14ac:dyDescent="0.3">
      <c r="A29" s="92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103"/>
      <c r="T29" s="48"/>
      <c r="U29" s="48"/>
      <c r="V29" s="48"/>
      <c r="W29" s="48"/>
    </row>
    <row r="30" spans="1:23" ht="15" thickBot="1" x14ac:dyDescent="0.35">
      <c r="A30" s="92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103"/>
      <c r="T30" s="48"/>
      <c r="U30" s="48"/>
      <c r="V30" s="48"/>
      <c r="W30" s="48"/>
    </row>
    <row r="31" spans="1:23" x14ac:dyDescent="0.3">
      <c r="A31" s="224" t="s">
        <v>39</v>
      </c>
      <c r="B31" s="225"/>
      <c r="C31" s="120" t="s">
        <v>80</v>
      </c>
      <c r="D31" s="120">
        <v>0.05</v>
      </c>
      <c r="E31" s="121"/>
      <c r="F31" s="121"/>
      <c r="G31" s="121"/>
      <c r="H31" s="121"/>
      <c r="I31" s="121"/>
      <c r="J31" s="121"/>
      <c r="K31" s="232" t="s">
        <v>127</v>
      </c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3"/>
    </row>
    <row r="32" spans="1:23" x14ac:dyDescent="0.3">
      <c r="A32" s="226"/>
      <c r="B32" s="227"/>
      <c r="F32" s="111" t="s">
        <v>79</v>
      </c>
      <c r="G32" s="112">
        <f>_xlfn.F.INV.RT(D31,1,E5)</f>
        <v>3.8888529328918917</v>
      </c>
      <c r="H32" s="235" t="s">
        <v>122</v>
      </c>
      <c r="I32" s="172"/>
      <c r="J32" s="172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34"/>
    </row>
    <row r="33" spans="1:23" ht="15" thickBot="1" x14ac:dyDescent="0.35">
      <c r="A33" s="228"/>
      <c r="B33" s="229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34"/>
    </row>
    <row r="34" spans="1:23" x14ac:dyDescent="0.3">
      <c r="A34" s="45"/>
      <c r="W34" s="11"/>
    </row>
    <row r="35" spans="1:23" x14ac:dyDescent="0.3">
      <c r="A35" s="45"/>
      <c r="W35" s="11"/>
    </row>
    <row r="36" spans="1:23" x14ac:dyDescent="0.3">
      <c r="A36" s="45"/>
      <c r="W36" s="11"/>
    </row>
    <row r="37" spans="1:23" ht="15" thickBot="1" x14ac:dyDescent="0.35">
      <c r="A37" s="122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123"/>
    </row>
  </sheetData>
  <mergeCells count="18">
    <mergeCell ref="K31:W33"/>
    <mergeCell ref="A31:B33"/>
    <mergeCell ref="H32:J32"/>
    <mergeCell ref="A13:B15"/>
    <mergeCell ref="I15:K15"/>
    <mergeCell ref="J16:K16"/>
    <mergeCell ref="J17:K17"/>
    <mergeCell ref="A21:B23"/>
    <mergeCell ref="I22:K22"/>
    <mergeCell ref="I26:K26"/>
    <mergeCell ref="J23:K23"/>
    <mergeCell ref="J24:K24"/>
    <mergeCell ref="J27:K27"/>
    <mergeCell ref="J28:K28"/>
    <mergeCell ref="A1:B3"/>
    <mergeCell ref="D1:E1"/>
    <mergeCell ref="G2:J2"/>
    <mergeCell ref="K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Данные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  <vt:lpstr>№11</vt:lpstr>
      <vt:lpstr>№12</vt:lpstr>
      <vt:lpstr>№13</vt:lpstr>
      <vt:lpstr>№14</vt:lpstr>
      <vt:lpstr>№15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Левицкий</dc:creator>
  <cp:lastModifiedBy>Иван Левицкий</cp:lastModifiedBy>
  <dcterms:created xsi:type="dcterms:W3CDTF">2015-06-05T18:19:34Z</dcterms:created>
  <dcterms:modified xsi:type="dcterms:W3CDTF">2023-11-29T10:01:46Z</dcterms:modified>
</cp:coreProperties>
</file>