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rdy\AFD - MSIB\"/>
    </mc:Choice>
  </mc:AlternateContent>
  <xr:revisionPtr revIDLastSave="0" documentId="8_{E000163D-4F91-4D85-91CF-4CDCED828B17}" xr6:coauthVersionLast="47" xr6:coauthVersionMax="47" xr10:uidLastSave="{00000000-0000-0000-0000-000000000000}"/>
  <bookViews>
    <workbookView xWindow="-108" yWindow="-108" windowWidth="23256" windowHeight="12456" xr2:uid="{1526DC17-33EC-4CF7-AC25-C221884BD499}"/>
  </bookViews>
  <sheets>
    <sheet name="JANUARI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2" l="1"/>
  <c r="L21" i="12"/>
  <c r="N21" i="12"/>
  <c r="P21" i="12"/>
  <c r="Q21" i="12"/>
  <c r="R21" i="12"/>
  <c r="K28" i="12"/>
  <c r="K29" i="12"/>
  <c r="F29" i="12"/>
  <c r="N29" i="12" s="1"/>
  <c r="F28" i="12"/>
  <c r="N28" i="12" s="1"/>
  <c r="F26" i="12"/>
  <c r="Q26" i="12" s="1"/>
  <c r="R26" i="12" s="1"/>
  <c r="M39" i="12"/>
  <c r="Q39" i="12" s="1"/>
  <c r="R39" i="12" s="1"/>
  <c r="M33" i="12"/>
  <c r="N33" i="12" s="1"/>
  <c r="I33" i="12" s="1"/>
  <c r="P33" i="12" s="1"/>
  <c r="M46" i="12"/>
  <c r="N46" i="12" s="1"/>
  <c r="I46" i="12" s="1"/>
  <c r="P46" i="12" s="1"/>
  <c r="M8" i="12"/>
  <c r="Q8" i="12" s="1"/>
  <c r="K33" i="12"/>
  <c r="L33" i="12" s="1"/>
  <c r="K72" i="12"/>
  <c r="L72" i="12" s="1"/>
  <c r="K74" i="12"/>
  <c r="L74" i="12" s="1"/>
  <c r="K70" i="12"/>
  <c r="L70" i="12" s="1"/>
  <c r="K68" i="12"/>
  <c r="L68" i="12" s="1"/>
  <c r="K65" i="12"/>
  <c r="L65" i="12" s="1"/>
  <c r="K62" i="12"/>
  <c r="L62" i="12" s="1"/>
  <c r="K60" i="12"/>
  <c r="L60" i="12" s="1"/>
  <c r="K46" i="12"/>
  <c r="L46" i="12" s="1"/>
  <c r="K43" i="12"/>
  <c r="L43" i="12" s="1"/>
  <c r="K39" i="12"/>
  <c r="L39" i="12" s="1"/>
  <c r="K36" i="12"/>
  <c r="L36" i="12" s="1"/>
  <c r="K26" i="12"/>
  <c r="K24" i="12"/>
  <c r="L24" i="12" s="1"/>
  <c r="K18" i="12"/>
  <c r="L18" i="12" s="1"/>
  <c r="K16" i="12"/>
  <c r="L16" i="12" s="1"/>
  <c r="K13" i="12"/>
  <c r="L13" i="12" s="1"/>
  <c r="K10" i="12"/>
  <c r="K8" i="12"/>
  <c r="H77" i="12"/>
  <c r="P26" i="12"/>
  <c r="C26" i="12"/>
  <c r="M131" i="12"/>
  <c r="Q62" i="12"/>
  <c r="R62" i="12" s="1"/>
  <c r="Q74" i="12"/>
  <c r="R74" i="12" s="1"/>
  <c r="Q72" i="12"/>
  <c r="R72" i="12" s="1"/>
  <c r="N70" i="12"/>
  <c r="Q68" i="12"/>
  <c r="R68" i="12" s="1"/>
  <c r="Q65" i="12"/>
  <c r="R65" i="12" s="1"/>
  <c r="Q43" i="12"/>
  <c r="R43" i="12" s="1"/>
  <c r="Q36" i="12"/>
  <c r="R36" i="12" s="1"/>
  <c r="Q24" i="12"/>
  <c r="R24" i="12" s="1"/>
  <c r="Q18" i="12"/>
  <c r="R18" i="12" s="1"/>
  <c r="N16" i="12"/>
  <c r="Q13" i="12"/>
  <c r="R13" i="12" s="1"/>
  <c r="Q10" i="12"/>
  <c r="R10" i="12" s="1"/>
  <c r="Q137" i="12"/>
  <c r="P74" i="12"/>
  <c r="P72" i="12"/>
  <c r="N72" i="12"/>
  <c r="P70" i="12"/>
  <c r="P68" i="12"/>
  <c r="P65" i="12"/>
  <c r="P62" i="12"/>
  <c r="Q60" i="12"/>
  <c r="R60" i="12" s="1"/>
  <c r="N60" i="12"/>
  <c r="I60" i="12" s="1"/>
  <c r="P60" i="12" s="1"/>
  <c r="P29" i="12"/>
  <c r="P28" i="12"/>
  <c r="P43" i="12"/>
  <c r="P39" i="12"/>
  <c r="K31" i="12"/>
  <c r="P24" i="12"/>
  <c r="P18" i="12"/>
  <c r="P16" i="12"/>
  <c r="P10" i="12"/>
  <c r="Q28" i="12" l="1"/>
  <c r="R28" i="12" s="1"/>
  <c r="L26" i="12"/>
  <c r="N26" i="12"/>
  <c r="Q46" i="12"/>
  <c r="R46" i="12" s="1"/>
  <c r="N65" i="12"/>
  <c r="N36" i="12"/>
  <c r="N10" i="12"/>
  <c r="N62" i="12"/>
  <c r="N43" i="12"/>
  <c r="N74" i="12"/>
  <c r="Q16" i="12"/>
  <c r="R16" i="12" s="1"/>
  <c r="N39" i="12"/>
  <c r="N13" i="12"/>
  <c r="I13" i="12" s="1"/>
  <c r="K77" i="12"/>
  <c r="P8" i="12"/>
  <c r="M77" i="12"/>
  <c r="L8" i="12"/>
  <c r="N24" i="12"/>
  <c r="N68" i="12"/>
  <c r="N18" i="12"/>
  <c r="Q33" i="12"/>
  <c r="R33" i="12" s="1"/>
  <c r="Q29" i="12"/>
  <c r="R29" i="12" s="1"/>
  <c r="Q70" i="12"/>
  <c r="R70" i="12" s="1"/>
  <c r="I36" i="12" l="1"/>
  <c r="P36" i="12" s="1"/>
  <c r="P13" i="12"/>
  <c r="M129" i="12"/>
  <c r="M133" i="12" s="1"/>
  <c r="M137" i="12" s="1"/>
  <c r="R8" i="12"/>
  <c r="Q31" i="12" l="1"/>
  <c r="Q77" i="12" s="1"/>
  <c r="C31" i="12"/>
  <c r="C77" i="12" s="1"/>
  <c r="F77" i="12"/>
  <c r="L31" i="12"/>
  <c r="N31" i="12"/>
  <c r="I31" i="12" s="1"/>
  <c r="P31" i="12" s="1"/>
  <c r="G8" i="12" l="1"/>
  <c r="G21" i="12"/>
  <c r="R77" i="12"/>
  <c r="O8" i="12"/>
  <c r="J8" i="12"/>
  <c r="R31" i="12"/>
  <c r="N77" i="12"/>
  <c r="G28" i="12"/>
  <c r="O28" i="12" s="1"/>
  <c r="G70" i="12"/>
  <c r="I77" i="12"/>
  <c r="P77" i="12" s="1"/>
  <c r="G24" i="12"/>
  <c r="G62" i="12"/>
  <c r="G72" i="12"/>
  <c r="G26" i="12"/>
  <c r="G60" i="12"/>
  <c r="G36" i="12"/>
  <c r="G10" i="12"/>
  <c r="G46" i="12"/>
  <c r="G68" i="12"/>
  <c r="G16" i="12"/>
  <c r="G13" i="12"/>
  <c r="G39" i="12"/>
  <c r="G18" i="12"/>
  <c r="G29" i="12"/>
  <c r="G74" i="12"/>
  <c r="G43" i="12"/>
  <c r="G33" i="12"/>
  <c r="G31" i="12"/>
  <c r="L77" i="12"/>
  <c r="G65" i="12"/>
  <c r="J21" i="12" l="1"/>
  <c r="O21" i="12"/>
  <c r="O31" i="12"/>
  <c r="J31" i="12"/>
  <c r="O74" i="12"/>
  <c r="J74" i="12"/>
  <c r="O10" i="12"/>
  <c r="J10" i="12"/>
  <c r="O36" i="12"/>
  <c r="J36" i="12"/>
  <c r="J33" i="12"/>
  <c r="O33" i="12"/>
  <c r="J26" i="12"/>
  <c r="O26" i="12"/>
  <c r="O72" i="12"/>
  <c r="J72" i="12"/>
  <c r="O62" i="12"/>
  <c r="J62" i="12"/>
  <c r="O39" i="12"/>
  <c r="J39" i="12"/>
  <c r="O13" i="12"/>
  <c r="J13" i="12"/>
  <c r="J70" i="12"/>
  <c r="O70" i="12"/>
  <c r="O18" i="12"/>
  <c r="J18" i="12"/>
  <c r="J24" i="12"/>
  <c r="O24" i="12"/>
  <c r="J28" i="12"/>
  <c r="J60" i="12"/>
  <c r="O60" i="12"/>
  <c r="J43" i="12"/>
  <c r="O43" i="12"/>
  <c r="J29" i="12"/>
  <c r="O29" i="12"/>
  <c r="O16" i="12"/>
  <c r="J16" i="12"/>
  <c r="O68" i="12"/>
  <c r="J68" i="12"/>
  <c r="J65" i="12"/>
  <c r="O65" i="12"/>
  <c r="O46" i="12"/>
  <c r="J46" i="12"/>
  <c r="G77" i="12"/>
  <c r="J77" i="12" l="1"/>
  <c r="O77" i="12"/>
</calcChain>
</file>

<file path=xl/sharedStrings.xml><?xml version="1.0" encoding="utf-8"?>
<sst xmlns="http://schemas.openxmlformats.org/spreadsheetml/2006/main" count="105" uniqueCount="57">
  <si>
    <t xml:space="preserve">LAPORAN  REALISASI FISIK DAN KEUANGAN </t>
  </si>
  <si>
    <t>JUMLAH</t>
  </si>
  <si>
    <t>KELOMPOK BELANJA</t>
  </si>
  <si>
    <t>FISIK</t>
  </si>
  <si>
    <t>KEUANGAN</t>
  </si>
  <si>
    <t>SISA</t>
  </si>
  <si>
    <t>SUMBER DANA</t>
  </si>
  <si>
    <t>NO</t>
  </si>
  <si>
    <t>NAMA KEGIATAN</t>
  </si>
  <si>
    <t>DANA</t>
  </si>
  <si>
    <t xml:space="preserve">JENIS BELANJA </t>
  </si>
  <si>
    <t>BOBOT</t>
  </si>
  <si>
    <t>TARGET</t>
  </si>
  <si>
    <t>REALISASI</t>
  </si>
  <si>
    <t>RELISASI</t>
  </si>
  <si>
    <t>KENDALA CAPAIAN/</t>
  </si>
  <si>
    <t>Rp.</t>
  </si>
  <si>
    <t>%</t>
  </si>
  <si>
    <t>%TTB</t>
  </si>
  <si>
    <t>Rp</t>
  </si>
  <si>
    <t>% TTB</t>
  </si>
  <si>
    <t xml:space="preserve"> REALISASI</t>
  </si>
  <si>
    <t>Belanja Pegawai</t>
  </si>
  <si>
    <t>Belanja Barang dan Jasa</t>
  </si>
  <si>
    <t>PAD</t>
  </si>
  <si>
    <t>DAU</t>
  </si>
  <si>
    <t>TOTAL</t>
  </si>
  <si>
    <t>DPRD</t>
  </si>
  <si>
    <t>Pengesahan</t>
  </si>
  <si>
    <t>DID</t>
  </si>
  <si>
    <t>DBH</t>
  </si>
  <si>
    <t>DBH, DID</t>
  </si>
  <si>
    <t>Belanja Modal</t>
  </si>
  <si>
    <t/>
  </si>
  <si>
    <t>,</t>
  </si>
  <si>
    <t>Kegiatan A</t>
  </si>
  <si>
    <t>Kegiatan B</t>
  </si>
  <si>
    <t>Kegiatan D</t>
  </si>
  <si>
    <t>Kegiatan C</t>
  </si>
  <si>
    <t>Kegiatan E</t>
  </si>
  <si>
    <t>Kegiatan F</t>
  </si>
  <si>
    <t>Kegiatan G</t>
  </si>
  <si>
    <t>Kegiatan H</t>
  </si>
  <si>
    <t>Kegiatan I</t>
  </si>
  <si>
    <t>Kegiatan J</t>
  </si>
  <si>
    <t>Kegiatan K</t>
  </si>
  <si>
    <t>Kegiatan L</t>
  </si>
  <si>
    <t>Kegiatan M</t>
  </si>
  <si>
    <t>Kegiatan N</t>
  </si>
  <si>
    <t>Kegiatan O</t>
  </si>
  <si>
    <t>Kegiatan P</t>
  </si>
  <si>
    <t>Kegiatan Q</t>
  </si>
  <si>
    <t>Kegiatan R</t>
  </si>
  <si>
    <t>Kegiatan S</t>
  </si>
  <si>
    <t>Kegiatan T</t>
  </si>
  <si>
    <t>Kegiatan U</t>
  </si>
  <si>
    <t>Kegiatan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</si>
</sst>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.00000_);_(* \(#,##0.00000\);_(* &quot;-&quot;_);_(@_)"/>
    <numFmt numFmtId="168" formatCode="_-* #,##0.00_-;\-* #,##0.00_-;_-* &quot;-&quot;_-;_-@_-"/>
    <numFmt numFmtId="169" formatCode="_-* #,##0.0_-;\-* #,##0.0_-;_-* &quot;-&quot;_-;_-@_-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sz val="12"/>
      <name val="Arial Narrow"/>
      <family val="2"/>
    </font>
    <font>
      <sz val="9"/>
      <name val="Arial Narrow"/>
      <family val="2"/>
    </font>
    <font>
      <b/>
      <i/>
      <sz val="12"/>
      <name val="Arial Narrow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charset val="1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auto="1"/>
      </bottom>
      <diagonal/>
    </border>
    <border>
      <left style="medium">
        <color indexed="64"/>
      </left>
      <right/>
      <top style="double">
        <color indexed="64"/>
      </top>
      <bottom style="thick">
        <color auto="1"/>
      </bottom>
      <diagonal/>
    </border>
    <border>
      <left/>
      <right/>
      <top style="double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 applyAlignment="1">
      <alignment horizontal="centerContinuous"/>
    </xf>
    <xf numFmtId="166" fontId="9" fillId="0" borderId="0" xfId="0" applyNumberFormat="1" applyFont="1" applyAlignment="1">
      <alignment horizontal="centerContinuous"/>
    </xf>
    <xf numFmtId="166" fontId="7" fillId="0" borderId="0" xfId="0" applyNumberFormat="1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3" xfId="0" applyFont="1" applyBorder="1"/>
    <xf numFmtId="0" fontId="0" fillId="0" borderId="25" xfId="0" applyBorder="1"/>
    <xf numFmtId="10" fontId="3" fillId="0" borderId="0" xfId="2" applyNumberFormat="1" applyFont="1" applyFill="1"/>
    <xf numFmtId="0" fontId="0" fillId="0" borderId="0" xfId="0" quotePrefix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5" fillId="0" borderId="0" xfId="0" applyFont="1" applyAlignment="1">
      <alignment horizontal="center"/>
    </xf>
    <xf numFmtId="165" fontId="10" fillId="0" borderId="0" xfId="0" applyNumberFormat="1" applyFont="1"/>
    <xf numFmtId="165" fontId="16" fillId="0" borderId="0" xfId="0" applyNumberFormat="1" applyFont="1"/>
    <xf numFmtId="0" fontId="17" fillId="0" borderId="0" xfId="0" applyFont="1"/>
    <xf numFmtId="168" fontId="0" fillId="0" borderId="0" xfId="1" applyNumberFormat="1" applyFont="1"/>
    <xf numFmtId="168" fontId="0" fillId="0" borderId="0" xfId="1" applyNumberFormat="1" applyFont="1" applyFill="1"/>
    <xf numFmtId="168" fontId="0" fillId="0" borderId="0" xfId="0" applyNumberFormat="1"/>
    <xf numFmtId="168" fontId="13" fillId="0" borderId="0" xfId="1" applyNumberFormat="1" applyFont="1"/>
    <xf numFmtId="0" fontId="13" fillId="0" borderId="0" xfId="0" applyFont="1"/>
    <xf numFmtId="0" fontId="18" fillId="0" borderId="0" xfId="0" applyFont="1"/>
    <xf numFmtId="168" fontId="13" fillId="0" borderId="0" xfId="1" applyNumberFormat="1" applyFont="1" applyFill="1"/>
    <xf numFmtId="168" fontId="13" fillId="0" borderId="0" xfId="0" applyNumberFormat="1" applyFont="1"/>
    <xf numFmtId="43" fontId="0" fillId="0" borderId="0" xfId="0" applyNumberFormat="1"/>
    <xf numFmtId="169" fontId="0" fillId="0" borderId="0" xfId="1" applyNumberFormat="1" applyFont="1"/>
    <xf numFmtId="169" fontId="13" fillId="0" borderId="0" xfId="1" applyNumberFormat="1" applyFont="1"/>
    <xf numFmtId="43" fontId="13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0" applyNumberFormat="1" applyFont="1" applyBorder="1" applyAlignment="1">
      <alignment horizontal="left" indent="8"/>
    </xf>
    <xf numFmtId="166" fontId="12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18" fillId="0" borderId="2" xfId="0" applyFont="1" applyBorder="1" applyAlignment="1">
      <alignment horizontal="center" vertical="center" wrapText="1"/>
    </xf>
    <xf numFmtId="0" fontId="19" fillId="0" borderId="0" xfId="0" applyFont="1"/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left" indent="5"/>
    </xf>
    <xf numFmtId="166" fontId="12" fillId="0" borderId="1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2" fillId="0" borderId="9" xfId="0" quotePrefix="1" applyFont="1" applyBorder="1" applyAlignment="1">
      <alignment horizontal="center"/>
    </xf>
    <xf numFmtId="0" fontId="8" fillId="0" borderId="10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/>
    </xf>
    <xf numFmtId="0" fontId="12" fillId="0" borderId="10" xfId="0" quotePrefix="1" applyFont="1" applyBorder="1" applyAlignment="1">
      <alignment horizontal="center"/>
    </xf>
    <xf numFmtId="166" fontId="12" fillId="0" borderId="17" xfId="1" applyNumberFormat="1" applyFont="1" applyFill="1" applyBorder="1" applyAlignment="1">
      <alignment horizontal="center"/>
    </xf>
    <xf numFmtId="166" fontId="12" fillId="0" borderId="10" xfId="1" applyNumberFormat="1" applyFont="1" applyFill="1" applyBorder="1" applyAlignment="1">
      <alignment horizontal="center"/>
    </xf>
    <xf numFmtId="0" fontId="12" fillId="0" borderId="17" xfId="0" quotePrefix="1" applyFont="1" applyBorder="1" applyAlignment="1">
      <alignment horizontal="center"/>
    </xf>
    <xf numFmtId="0" fontId="12" fillId="0" borderId="10" xfId="0" quotePrefix="1" applyFont="1" applyBorder="1" applyAlignment="1">
      <alignment horizontal="center" wrapText="1"/>
    </xf>
    <xf numFmtId="0" fontId="8" fillId="3" borderId="19" xfId="0" quotePrefix="1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165" fontId="21" fillId="0" borderId="10" xfId="0" applyNumberFormat="1" applyFont="1" applyBorder="1"/>
    <xf numFmtId="0" fontId="20" fillId="0" borderId="0" xfId="0" applyFont="1"/>
    <xf numFmtId="10" fontId="21" fillId="0" borderId="10" xfId="2" applyNumberFormat="1" applyFont="1" applyFill="1" applyBorder="1"/>
    <xf numFmtId="10" fontId="20" fillId="0" borderId="10" xfId="2" applyNumberFormat="1" applyFont="1" applyFill="1" applyBorder="1"/>
    <xf numFmtId="165" fontId="21" fillId="0" borderId="10" xfId="1" applyNumberFormat="1" applyFont="1" applyFill="1" applyBorder="1"/>
    <xf numFmtId="165" fontId="20" fillId="0" borderId="10" xfId="0" applyNumberFormat="1" applyFont="1" applyBorder="1"/>
    <xf numFmtId="0" fontId="20" fillId="0" borderId="10" xfId="0" applyFont="1" applyBorder="1"/>
    <xf numFmtId="0" fontId="16" fillId="0" borderId="26" xfId="0" applyFont="1" applyBorder="1"/>
    <xf numFmtId="0" fontId="22" fillId="0" borderId="0" xfId="0" applyFont="1"/>
    <xf numFmtId="0" fontId="20" fillId="0" borderId="9" xfId="0" applyFont="1" applyBorder="1"/>
    <xf numFmtId="10" fontId="21" fillId="0" borderId="10" xfId="2" applyNumberFormat="1" applyFont="1" applyBorder="1"/>
    <xf numFmtId="0" fontId="21" fillId="0" borderId="9" xfId="0" applyFont="1" applyBorder="1" applyAlignment="1">
      <alignment horizontal="center"/>
    </xf>
    <xf numFmtId="0" fontId="21" fillId="0" borderId="10" xfId="0" applyFont="1" applyBorder="1"/>
    <xf numFmtId="0" fontId="20" fillId="0" borderId="11" xfId="0" applyFont="1" applyBorder="1"/>
    <xf numFmtId="0" fontId="21" fillId="0" borderId="9" xfId="0" applyFont="1" applyBorder="1"/>
    <xf numFmtId="10" fontId="20" fillId="0" borderId="0" xfId="2" applyNumberFormat="1" applyFont="1" applyFill="1" applyBorder="1"/>
    <xf numFmtId="10" fontId="21" fillId="0" borderId="0" xfId="2" applyNumberFormat="1" applyFont="1" applyFill="1" applyBorder="1"/>
    <xf numFmtId="0" fontId="16" fillId="0" borderId="19" xfId="0" applyFont="1" applyBorder="1"/>
    <xf numFmtId="0" fontId="21" fillId="0" borderId="45" xfId="0" applyFont="1" applyBorder="1"/>
    <xf numFmtId="0" fontId="21" fillId="0" borderId="27" xfId="0" applyFont="1" applyBorder="1" applyAlignment="1">
      <alignment horizontal="center"/>
    </xf>
    <xf numFmtId="0" fontId="21" fillId="0" borderId="27" xfId="0" applyFont="1" applyBorder="1"/>
    <xf numFmtId="165" fontId="21" fillId="0" borderId="27" xfId="0" applyNumberFormat="1" applyFont="1" applyBorder="1"/>
    <xf numFmtId="0" fontId="20" fillId="0" borderId="27" xfId="0" applyFont="1" applyBorder="1"/>
    <xf numFmtId="165" fontId="20" fillId="0" borderId="27" xfId="0" applyNumberFormat="1" applyFont="1" applyBorder="1"/>
    <xf numFmtId="10" fontId="21" fillId="0" borderId="27" xfId="2" applyNumberFormat="1" applyFont="1" applyBorder="1"/>
    <xf numFmtId="10" fontId="20" fillId="0" borderId="27" xfId="2" applyNumberFormat="1" applyFont="1" applyFill="1" applyBorder="1"/>
    <xf numFmtId="10" fontId="21" fillId="0" borderId="27" xfId="2" applyNumberFormat="1" applyFont="1" applyFill="1" applyBorder="1"/>
    <xf numFmtId="0" fontId="16" fillId="0" borderId="27" xfId="0" applyFont="1" applyBorder="1"/>
    <xf numFmtId="0" fontId="21" fillId="0" borderId="0" xfId="0" applyFont="1" applyAlignment="1">
      <alignment horizontal="center"/>
    </xf>
    <xf numFmtId="0" fontId="21" fillId="0" borderId="0" xfId="0" applyFont="1"/>
    <xf numFmtId="165" fontId="21" fillId="0" borderId="0" xfId="0" applyNumberFormat="1" applyFont="1"/>
    <xf numFmtId="165" fontId="20" fillId="0" borderId="0" xfId="0" applyNumberFormat="1" applyFont="1"/>
    <xf numFmtId="10" fontId="21" fillId="0" borderId="0" xfId="2" applyNumberFormat="1" applyFont="1" applyBorder="1"/>
    <xf numFmtId="0" fontId="16" fillId="0" borderId="0" xfId="0" applyFont="1"/>
    <xf numFmtId="0" fontId="21" fillId="0" borderId="28" xfId="0" applyFont="1" applyBorder="1" applyAlignment="1">
      <alignment horizontal="center"/>
    </xf>
    <xf numFmtId="0" fontId="21" fillId="0" borderId="28" xfId="0" applyFont="1" applyBorder="1"/>
    <xf numFmtId="165" fontId="21" fillId="0" borderId="28" xfId="0" applyNumberFormat="1" applyFont="1" applyBorder="1"/>
    <xf numFmtId="0" fontId="20" fillId="0" borderId="28" xfId="0" applyFont="1" applyBorder="1"/>
    <xf numFmtId="165" fontId="20" fillId="0" borderId="28" xfId="0" applyNumberFormat="1" applyFont="1" applyBorder="1"/>
    <xf numFmtId="10" fontId="21" fillId="0" borderId="28" xfId="2" applyNumberFormat="1" applyFont="1" applyBorder="1"/>
    <xf numFmtId="10" fontId="20" fillId="0" borderId="28" xfId="2" applyNumberFormat="1" applyFont="1" applyFill="1" applyBorder="1"/>
    <xf numFmtId="10" fontId="21" fillId="0" borderId="28" xfId="2" applyNumberFormat="1" applyFont="1" applyFill="1" applyBorder="1"/>
    <xf numFmtId="0" fontId="16" fillId="0" borderId="28" xfId="0" applyFont="1" applyBorder="1"/>
    <xf numFmtId="0" fontId="21" fillId="0" borderId="29" xfId="0" applyFont="1" applyBorder="1" applyAlignment="1">
      <alignment horizontal="center"/>
    </xf>
    <xf numFmtId="0" fontId="21" fillId="0" borderId="30" xfId="0" applyFont="1" applyBorder="1"/>
    <xf numFmtId="165" fontId="21" fillId="0" borderId="30" xfId="0" applyNumberFormat="1" applyFont="1" applyBorder="1"/>
    <xf numFmtId="0" fontId="20" fillId="0" borderId="31" xfId="0" applyFont="1" applyBorder="1"/>
    <xf numFmtId="0" fontId="20" fillId="0" borderId="32" xfId="0" applyFont="1" applyBorder="1"/>
    <xf numFmtId="165" fontId="20" fillId="0" borderId="30" xfId="0" applyNumberFormat="1" applyFont="1" applyBorder="1"/>
    <xf numFmtId="10" fontId="21" fillId="0" borderId="30" xfId="2" applyNumberFormat="1" applyFont="1" applyBorder="1"/>
    <xf numFmtId="10" fontId="20" fillId="0" borderId="30" xfId="2" applyNumberFormat="1" applyFont="1" applyFill="1" applyBorder="1"/>
    <xf numFmtId="10" fontId="21" fillId="0" borderId="30" xfId="2" applyNumberFormat="1" applyFont="1" applyFill="1" applyBorder="1"/>
    <xf numFmtId="0" fontId="20" fillId="0" borderId="30" xfId="0" applyFont="1" applyBorder="1"/>
    <xf numFmtId="0" fontId="16" fillId="0" borderId="33" xfId="0" applyFont="1" applyBorder="1"/>
    <xf numFmtId="165" fontId="21" fillId="0" borderId="10" xfId="0" quotePrefix="1" applyNumberFormat="1" applyFont="1" applyBorder="1" applyAlignment="1">
      <alignment horizontal="right"/>
    </xf>
    <xf numFmtId="0" fontId="21" fillId="0" borderId="34" xfId="0" applyFont="1" applyBorder="1" applyAlignment="1">
      <alignment horizontal="center"/>
    </xf>
    <xf numFmtId="0" fontId="21" fillId="0" borderId="35" xfId="0" applyFont="1" applyBorder="1"/>
    <xf numFmtId="165" fontId="21" fillId="0" borderId="35" xfId="0" applyNumberFormat="1" applyFont="1" applyBorder="1"/>
    <xf numFmtId="0" fontId="20" fillId="0" borderId="20" xfId="0" applyFont="1" applyBorder="1"/>
    <xf numFmtId="0" fontId="20" fillId="0" borderId="36" xfId="0" applyFont="1" applyBorder="1"/>
    <xf numFmtId="165" fontId="20" fillId="0" borderId="35" xfId="0" applyNumberFormat="1" applyFont="1" applyBorder="1"/>
    <xf numFmtId="0" fontId="20" fillId="0" borderId="35" xfId="0" applyFont="1" applyBorder="1"/>
    <xf numFmtId="0" fontId="16" fillId="0" borderId="37" xfId="0" applyFont="1" applyBorder="1"/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165" fontId="23" fillId="2" borderId="39" xfId="1" applyNumberFormat="1" applyFont="1" applyFill="1" applyBorder="1" applyAlignment="1">
      <alignment vertical="center"/>
    </xf>
    <xf numFmtId="0" fontId="23" fillId="2" borderId="40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10" fontId="23" fillId="2" borderId="42" xfId="1" applyNumberFormat="1" applyFont="1" applyFill="1" applyBorder="1" applyAlignment="1">
      <alignment vertical="center"/>
    </xf>
    <xf numFmtId="165" fontId="24" fillId="0" borderId="42" xfId="0" applyNumberFormat="1" applyFont="1" applyBorder="1" applyAlignment="1">
      <alignment vertical="center"/>
    </xf>
    <xf numFmtId="10" fontId="23" fillId="0" borderId="42" xfId="1" applyNumberFormat="1" applyFont="1" applyFill="1" applyBorder="1" applyAlignment="1">
      <alignment vertical="center"/>
    </xf>
    <xf numFmtId="165" fontId="23" fillId="0" borderId="39" xfId="1" applyNumberFormat="1" applyFont="1" applyFill="1" applyBorder="1" applyAlignment="1">
      <alignment vertical="center"/>
    </xf>
    <xf numFmtId="10" fontId="24" fillId="0" borderId="43" xfId="2" applyNumberFormat="1" applyFont="1" applyFill="1" applyBorder="1" applyAlignment="1">
      <alignment vertical="center"/>
    </xf>
    <xf numFmtId="10" fontId="23" fillId="0" borderId="39" xfId="1" applyNumberFormat="1" applyFont="1" applyFill="1" applyBorder="1" applyAlignment="1">
      <alignment vertical="center"/>
    </xf>
    <xf numFmtId="166" fontId="23" fillId="2" borderId="39" xfId="1" applyNumberFormat="1" applyFont="1" applyFill="1" applyBorder="1" applyAlignment="1">
      <alignment vertical="center"/>
    </xf>
    <xf numFmtId="166" fontId="25" fillId="2" borderId="44" xfId="1" applyNumberFormat="1" applyFont="1" applyFill="1" applyBorder="1" applyAlignment="1">
      <alignment vertical="center"/>
    </xf>
    <xf numFmtId="0" fontId="26" fillId="0" borderId="0" xfId="0" applyFont="1" applyAlignment="1">
      <alignment vertical="center"/>
    </xf>
    <xf numFmtId="10" fontId="23" fillId="0" borderId="39" xfId="2" applyNumberFormat="1" applyFont="1" applyFill="1" applyBorder="1" applyAlignment="1">
      <alignment vertical="center"/>
    </xf>
    <xf numFmtId="165" fontId="21" fillId="2" borderId="10" xfId="1" applyNumberFormat="1" applyFont="1" applyFill="1" applyBorder="1"/>
    <xf numFmtId="165" fontId="20" fillId="0" borderId="0" xfId="0" quotePrefix="1" applyNumberFormat="1" applyFont="1"/>
    <xf numFmtId="4" fontId="0" fillId="0" borderId="0" xfId="0" applyNumberFormat="1"/>
    <xf numFmtId="164" fontId="0" fillId="0" borderId="0" xfId="1" applyFont="1"/>
    <xf numFmtId="0" fontId="12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21" fillId="2" borderId="10" xfId="0" applyNumberFormat="1" applyFont="1" applyFill="1" applyBorder="1"/>
    <xf numFmtId="0" fontId="21" fillId="2" borderId="10" xfId="0" applyFont="1" applyFill="1" applyBorder="1"/>
    <xf numFmtId="0" fontId="8" fillId="0" borderId="0" xfId="0" applyFont="1"/>
    <xf numFmtId="0" fontId="12" fillId="0" borderId="13" xfId="0" quotePrefix="1" applyFont="1" applyBorder="1" applyAlignment="1">
      <alignment horizontal="center"/>
    </xf>
    <xf numFmtId="10" fontId="21" fillId="0" borderId="10" xfId="0" applyNumberFormat="1" applyFont="1" applyBorder="1"/>
    <xf numFmtId="10" fontId="20" fillId="0" borderId="10" xfId="0" applyNumberFormat="1" applyFont="1" applyBorder="1"/>
    <xf numFmtId="0" fontId="22" fillId="0" borderId="10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30" xfId="0" applyFont="1" applyBorder="1"/>
    <xf numFmtId="165" fontId="24" fillId="0" borderId="39" xfId="0" applyNumberFormat="1" applyFont="1" applyBorder="1" applyAlignment="1">
      <alignment vertical="center"/>
    </xf>
    <xf numFmtId="165" fontId="3" fillId="0" borderId="0" xfId="0" applyNumberFormat="1" applyFont="1"/>
    <xf numFmtId="43" fontId="3" fillId="0" borderId="0" xfId="0" applyNumberFormat="1" applyFont="1"/>
    <xf numFmtId="0" fontId="12" fillId="0" borderId="14" xfId="0" quotePrefix="1" applyFont="1" applyBorder="1" applyAlignment="1">
      <alignment horizontal="center"/>
    </xf>
    <xf numFmtId="0" fontId="12" fillId="0" borderId="15" xfId="0" quotePrefix="1" applyFont="1" applyBorder="1" applyAlignment="1">
      <alignment horizontal="center"/>
    </xf>
    <xf numFmtId="0" fontId="12" fillId="0" borderId="16" xfId="0" quotePrefix="1" applyFont="1" applyBorder="1" applyAlignment="1">
      <alignment horizontal="center"/>
    </xf>
    <xf numFmtId="0" fontId="12" fillId="0" borderId="20" xfId="0" quotePrefix="1" applyFont="1" applyBorder="1" applyAlignment="1">
      <alignment horizontal="center"/>
    </xf>
    <xf numFmtId="0" fontId="12" fillId="0" borderId="21" xfId="0" quotePrefix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7" fontId="12" fillId="0" borderId="5" xfId="0" applyNumberFormat="1" applyFont="1" applyBorder="1" applyAlignment="1">
      <alignment horizontal="center"/>
    </xf>
    <xf numFmtId="167" fontId="12" fillId="0" borderId="6" xfId="0" applyNumberFormat="1" applyFont="1" applyBorder="1" applyAlignment="1">
      <alignment horizontal="center"/>
    </xf>
    <xf numFmtId="167" fontId="12" fillId="0" borderId="7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1" xfId="0" quotePrefix="1" applyFont="1" applyBorder="1" applyAlignment="1">
      <alignment horizontal="center"/>
    </xf>
    <xf numFmtId="0" fontId="12" fillId="0" borderId="12" xfId="0" quotePrefix="1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3ED2-2264-42F7-926E-A42651565060}">
  <dimension ref="A1:T167"/>
  <sheetViews>
    <sheetView tabSelected="1" zoomScaleNormal="100" workbookViewId="0">
      <selection activeCell="B81" sqref="B81"/>
    </sheetView>
  </sheetViews>
  <sheetFormatPr defaultRowHeight="14.4" x14ac:dyDescent="0.3"/>
  <cols>
    <col min="1" max="1" width="3.44140625" customWidth="1"/>
    <col min="2" max="2" width="29.33203125" customWidth="1"/>
    <col min="3" max="3" width="15.33203125" customWidth="1"/>
    <col min="4" max="4" width="17.109375" customWidth="1"/>
    <col min="5" max="5" width="0.44140625" customWidth="1"/>
    <col min="6" max="6" width="15.109375" customWidth="1"/>
    <col min="7" max="7" width="7.5546875" customWidth="1"/>
    <col min="8" max="8" width="7.88671875" style="2" customWidth="1"/>
    <col min="9" max="9" width="7.33203125" style="2" customWidth="1"/>
    <col min="10" max="10" width="6.109375" style="2" customWidth="1"/>
    <col min="11" max="11" width="15" style="2" customWidth="1"/>
    <col min="12" max="12" width="6.88671875" style="2" customWidth="1"/>
    <col min="13" max="13" width="15.109375" customWidth="1"/>
    <col min="14" max="14" width="6.33203125" customWidth="1"/>
    <col min="15" max="15" width="6" customWidth="1"/>
    <col min="16" max="16" width="6.44140625" customWidth="1"/>
    <col min="17" max="17" width="14.109375" customWidth="1"/>
    <col min="18" max="18" width="6.88671875" customWidth="1"/>
    <col min="19" max="19" width="14" customWidth="1"/>
    <col min="20" max="20" width="6.6640625" customWidth="1"/>
  </cols>
  <sheetData>
    <row r="1" spans="1:20" x14ac:dyDescent="0.3">
      <c r="B1" s="1"/>
    </row>
    <row r="2" spans="1:20" ht="18" x14ac:dyDescent="0.3">
      <c r="A2" s="165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</row>
    <row r="3" spans="1:20" ht="16.2" thickBot="1" x14ac:dyDescent="0.35">
      <c r="A3" s="3"/>
      <c r="B3" s="4"/>
      <c r="C3" s="5"/>
      <c r="D3" s="6"/>
      <c r="E3" s="6"/>
      <c r="F3" s="7"/>
      <c r="G3" s="7"/>
      <c r="H3" s="149"/>
      <c r="I3" s="149"/>
      <c r="J3" s="149"/>
      <c r="K3" s="149"/>
      <c r="L3" s="8"/>
      <c r="M3" s="9"/>
      <c r="N3" s="9"/>
      <c r="O3" s="9"/>
      <c r="P3" s="10"/>
      <c r="Q3" s="11"/>
      <c r="R3" s="10"/>
      <c r="S3" s="10"/>
      <c r="T3" s="6"/>
    </row>
    <row r="4" spans="1:20" s="45" customFormat="1" thickTop="1" thickBot="1" x14ac:dyDescent="0.35">
      <c r="A4" s="38"/>
      <c r="B4" s="39"/>
      <c r="C4" s="40" t="s">
        <v>1</v>
      </c>
      <c r="D4" s="166" t="s">
        <v>2</v>
      </c>
      <c r="E4" s="167"/>
      <c r="F4" s="168" t="s">
        <v>1</v>
      </c>
      <c r="G4" s="145"/>
      <c r="H4" s="170" t="s">
        <v>3</v>
      </c>
      <c r="I4" s="171"/>
      <c r="J4" s="172"/>
      <c r="K4" s="173" t="s">
        <v>4</v>
      </c>
      <c r="L4" s="174"/>
      <c r="M4" s="174"/>
      <c r="N4" s="174"/>
      <c r="O4" s="175"/>
      <c r="P4" s="41" t="s">
        <v>5</v>
      </c>
      <c r="Q4" s="42"/>
      <c r="R4" s="43"/>
      <c r="S4" s="44"/>
      <c r="T4" s="176" t="s">
        <v>6</v>
      </c>
    </row>
    <row r="5" spans="1:20" s="45" customFormat="1" ht="13.8" thickBot="1" x14ac:dyDescent="0.35">
      <c r="A5" s="46" t="s">
        <v>7</v>
      </c>
      <c r="B5" s="47" t="s">
        <v>8</v>
      </c>
      <c r="C5" s="48" t="s">
        <v>9</v>
      </c>
      <c r="D5" s="178" t="s">
        <v>10</v>
      </c>
      <c r="E5" s="179"/>
      <c r="F5" s="169"/>
      <c r="G5" s="146" t="s">
        <v>11</v>
      </c>
      <c r="H5" s="150" t="s">
        <v>12</v>
      </c>
      <c r="I5" s="160" t="s">
        <v>13</v>
      </c>
      <c r="J5" s="161"/>
      <c r="K5" s="160" t="s">
        <v>12</v>
      </c>
      <c r="L5" s="161"/>
      <c r="M5" s="160" t="s">
        <v>14</v>
      </c>
      <c r="N5" s="162"/>
      <c r="O5" s="161"/>
      <c r="P5" s="49" t="s">
        <v>3</v>
      </c>
      <c r="Q5" s="50" t="s">
        <v>4</v>
      </c>
      <c r="R5" s="51"/>
      <c r="S5" s="52" t="s">
        <v>15</v>
      </c>
      <c r="T5" s="177"/>
    </row>
    <row r="6" spans="1:20" s="45" customFormat="1" ht="13.8" thickBot="1" x14ac:dyDescent="0.35">
      <c r="A6" s="53"/>
      <c r="B6" s="54"/>
      <c r="C6" s="55" t="s">
        <v>16</v>
      </c>
      <c r="D6" s="163"/>
      <c r="E6" s="164"/>
      <c r="F6" s="56" t="s">
        <v>16</v>
      </c>
      <c r="G6" s="56"/>
      <c r="H6" s="57" t="s">
        <v>17</v>
      </c>
      <c r="I6" s="57" t="s">
        <v>17</v>
      </c>
      <c r="J6" s="57" t="s">
        <v>18</v>
      </c>
      <c r="K6" s="57" t="s">
        <v>19</v>
      </c>
      <c r="L6" s="57" t="s">
        <v>17</v>
      </c>
      <c r="M6" s="58" t="s">
        <v>16</v>
      </c>
      <c r="N6" s="57" t="s">
        <v>17</v>
      </c>
      <c r="O6" s="58" t="s">
        <v>20</v>
      </c>
      <c r="P6" s="56" t="s">
        <v>17</v>
      </c>
      <c r="Q6" s="59" t="s">
        <v>16</v>
      </c>
      <c r="R6" s="59" t="s">
        <v>17</v>
      </c>
      <c r="S6" s="60" t="s">
        <v>21</v>
      </c>
      <c r="T6" s="61"/>
    </row>
    <row r="7" spans="1:20" ht="15" thickTop="1" x14ac:dyDescent="0.3">
      <c r="A7" s="12"/>
      <c r="B7" s="13"/>
      <c r="C7" s="13"/>
      <c r="D7" s="14"/>
      <c r="E7" s="14"/>
      <c r="F7" s="13"/>
      <c r="G7" s="13"/>
      <c r="H7" s="15"/>
      <c r="I7" s="15"/>
      <c r="J7" s="15"/>
      <c r="K7" s="15"/>
      <c r="L7" s="15"/>
      <c r="M7" s="13"/>
      <c r="N7" s="13"/>
      <c r="O7" s="13"/>
      <c r="P7" s="13"/>
      <c r="Q7" s="13"/>
      <c r="R7" s="13"/>
      <c r="S7" s="13"/>
      <c r="T7" s="16"/>
    </row>
    <row r="8" spans="1:20" s="71" customFormat="1" ht="10.199999999999999" x14ac:dyDescent="0.2">
      <c r="A8" s="62">
        <v>1</v>
      </c>
      <c r="B8" s="69" t="s">
        <v>35</v>
      </c>
      <c r="C8" s="63">
        <v>3828536852</v>
      </c>
      <c r="D8" s="64" t="s">
        <v>22</v>
      </c>
      <c r="E8" s="64"/>
      <c r="F8" s="63">
        <v>3828536852</v>
      </c>
      <c r="G8" s="65">
        <f>F8/$F$77</f>
        <v>7.916312015528526E-2</v>
      </c>
      <c r="H8" s="151">
        <v>8.9599999999999999E-2</v>
      </c>
      <c r="I8" s="152">
        <v>8.3299999999999999E-2</v>
      </c>
      <c r="J8" s="66">
        <f>G8*I8</f>
        <v>6.594287908935262E-3</v>
      </c>
      <c r="K8" s="67">
        <f>343076306</f>
        <v>343076306</v>
      </c>
      <c r="L8" s="65">
        <f>K8/F8</f>
        <v>8.9610292198383679E-2</v>
      </c>
      <c r="M8" s="67">
        <f>255672251</f>
        <v>255672251</v>
      </c>
      <c r="N8" s="66">
        <v>1</v>
      </c>
      <c r="O8" s="65">
        <f>G8*N8</f>
        <v>7.916312015528526E-2</v>
      </c>
      <c r="P8" s="68">
        <f>H8-I8</f>
        <v>6.3E-3</v>
      </c>
      <c r="Q8" s="68">
        <f>F8-M8</f>
        <v>3572864601</v>
      </c>
      <c r="R8" s="68">
        <f>Q8/F8*100</f>
        <v>93.321933133112239</v>
      </c>
      <c r="S8" s="69"/>
      <c r="T8" s="70" t="s">
        <v>25</v>
      </c>
    </row>
    <row r="9" spans="1:20" s="71" customFormat="1" ht="10.199999999999999" x14ac:dyDescent="0.2">
      <c r="A9" s="72"/>
      <c r="B9" s="69"/>
      <c r="C9" s="69"/>
      <c r="D9" s="64"/>
      <c r="E9" s="64"/>
      <c r="F9" s="68"/>
      <c r="G9" s="73"/>
      <c r="H9" s="153"/>
      <c r="I9" s="68"/>
      <c r="J9" s="66"/>
      <c r="K9" s="66"/>
      <c r="L9" s="68"/>
      <c r="M9" s="67"/>
      <c r="N9" s="68"/>
      <c r="O9" s="65"/>
      <c r="P9" s="68"/>
      <c r="Q9" s="68"/>
      <c r="R9" s="68"/>
      <c r="S9" s="69"/>
      <c r="T9" s="70"/>
    </row>
    <row r="10" spans="1:20" s="71" customFormat="1" ht="10.199999999999999" x14ac:dyDescent="0.2">
      <c r="A10" s="74">
        <v>2</v>
      </c>
      <c r="B10" s="75" t="s">
        <v>36</v>
      </c>
      <c r="C10" s="63">
        <v>233310000</v>
      </c>
      <c r="D10" s="64" t="s">
        <v>23</v>
      </c>
      <c r="E10" s="64"/>
      <c r="F10" s="63">
        <v>233310000</v>
      </c>
      <c r="G10" s="73">
        <f>F10/$F$77</f>
        <v>4.8241791257099291E-3</v>
      </c>
      <c r="H10" s="151">
        <v>2.8999999999999998E-3</v>
      </c>
      <c r="I10" s="152">
        <v>0</v>
      </c>
      <c r="J10" s="66">
        <f>G10*I10</f>
        <v>0</v>
      </c>
      <c r="K10" s="68">
        <f>680000</f>
        <v>680000</v>
      </c>
      <c r="L10" s="68">
        <v>0</v>
      </c>
      <c r="M10" s="67"/>
      <c r="N10" s="68">
        <f t="shared" ref="N10" si="0">M10/F10</f>
        <v>0</v>
      </c>
      <c r="O10" s="65">
        <f t="shared" ref="O10:O74" si="1">G10*N10</f>
        <v>0</v>
      </c>
      <c r="P10" s="68">
        <f>H10-I10</f>
        <v>2.8999999999999998E-3</v>
      </c>
      <c r="Q10" s="68">
        <f>F10-M10</f>
        <v>233310000</v>
      </c>
      <c r="R10" s="68">
        <f>Q10/F10*100</f>
        <v>100</v>
      </c>
      <c r="S10" s="69"/>
      <c r="T10" s="70" t="s">
        <v>29</v>
      </c>
    </row>
    <row r="11" spans="1:20" s="71" customFormat="1" ht="10.199999999999999" x14ac:dyDescent="0.2">
      <c r="A11" s="74"/>
      <c r="B11" s="75"/>
      <c r="C11" s="63"/>
      <c r="D11" s="64"/>
      <c r="E11" s="64"/>
      <c r="F11" s="68"/>
      <c r="G11" s="73"/>
      <c r="H11" s="75"/>
      <c r="I11" s="68"/>
      <c r="J11" s="66"/>
      <c r="K11" s="66"/>
      <c r="L11" s="68"/>
      <c r="M11" s="68"/>
      <c r="N11" s="68"/>
      <c r="O11" s="65"/>
      <c r="P11" s="68"/>
      <c r="Q11" s="68"/>
      <c r="R11" s="68"/>
      <c r="S11" s="69"/>
      <c r="T11" s="70"/>
    </row>
    <row r="12" spans="1:20" s="71" customFormat="1" ht="10.199999999999999" x14ac:dyDescent="0.2">
      <c r="A12" s="74"/>
      <c r="B12" s="75"/>
      <c r="C12" s="63"/>
      <c r="D12" s="64"/>
      <c r="E12" s="64"/>
      <c r="F12" s="68"/>
      <c r="G12" s="73"/>
      <c r="H12" s="75"/>
      <c r="I12" s="68"/>
      <c r="J12" s="66"/>
      <c r="K12" s="66"/>
      <c r="L12" s="68"/>
      <c r="M12" s="68"/>
      <c r="N12" s="68"/>
      <c r="O12" s="65"/>
      <c r="P12" s="68"/>
      <c r="Q12" s="68"/>
      <c r="R12" s="68"/>
      <c r="S12" s="69"/>
      <c r="T12" s="70"/>
    </row>
    <row r="13" spans="1:20" s="71" customFormat="1" ht="10.199999999999999" x14ac:dyDescent="0.2">
      <c r="A13" s="74">
        <v>3</v>
      </c>
      <c r="B13" s="75" t="s">
        <v>38</v>
      </c>
      <c r="C13" s="63">
        <v>3637000</v>
      </c>
      <c r="D13" s="64" t="s">
        <v>23</v>
      </c>
      <c r="E13" s="64"/>
      <c r="F13" s="63">
        <v>3637000</v>
      </c>
      <c r="G13" s="73">
        <f>F13/$F$77</f>
        <v>7.5202689469834174E-5</v>
      </c>
      <c r="H13" s="151">
        <v>1</v>
      </c>
      <c r="I13" s="152">
        <f>N13</f>
        <v>0</v>
      </c>
      <c r="J13" s="66">
        <f>G13*I13</f>
        <v>0</v>
      </c>
      <c r="K13" s="68">
        <f>3637000</f>
        <v>3637000</v>
      </c>
      <c r="L13" s="65">
        <f t="shared" ref="L13:L72" si="2">K13/F13</f>
        <v>1</v>
      </c>
      <c r="M13" s="67"/>
      <c r="N13" s="66">
        <f>M13/F13</f>
        <v>0</v>
      </c>
      <c r="O13" s="65">
        <f t="shared" si="1"/>
        <v>0</v>
      </c>
      <c r="P13" s="68">
        <f>H13-I13</f>
        <v>1</v>
      </c>
      <c r="Q13" s="68">
        <f>F13-M13</f>
        <v>3637000</v>
      </c>
      <c r="R13" s="68">
        <f>Q13/F13*100</f>
        <v>100</v>
      </c>
      <c r="S13" s="69"/>
      <c r="T13" s="70" t="s">
        <v>30</v>
      </c>
    </row>
    <row r="14" spans="1:20" s="71" customFormat="1" ht="10.199999999999999" x14ac:dyDescent="0.2">
      <c r="A14" s="74"/>
      <c r="B14" s="75"/>
      <c r="C14" s="63"/>
      <c r="D14" s="64"/>
      <c r="E14" s="64"/>
      <c r="F14" s="68"/>
      <c r="G14" s="73"/>
      <c r="H14" s="75"/>
      <c r="I14" s="68"/>
      <c r="J14" s="66"/>
      <c r="K14" s="66"/>
      <c r="L14" s="65"/>
      <c r="M14" s="68"/>
      <c r="N14" s="68"/>
      <c r="O14" s="65"/>
      <c r="P14" s="68"/>
      <c r="Q14" s="68"/>
      <c r="R14" s="68"/>
      <c r="S14" s="69"/>
      <c r="T14" s="70"/>
    </row>
    <row r="15" spans="1:20" s="71" customFormat="1" ht="10.199999999999999" x14ac:dyDescent="0.2">
      <c r="A15" s="74"/>
      <c r="B15" s="75"/>
      <c r="C15" s="63"/>
      <c r="D15" s="64"/>
      <c r="E15" s="64"/>
      <c r="F15" s="68"/>
      <c r="G15" s="73"/>
      <c r="H15" s="75"/>
      <c r="I15" s="68"/>
      <c r="J15" s="66"/>
      <c r="K15" s="66"/>
      <c r="L15" s="65"/>
      <c r="M15" s="68"/>
      <c r="N15" s="68"/>
      <c r="O15" s="65"/>
      <c r="P15" s="68"/>
      <c r="Q15" s="68"/>
      <c r="R15" s="68"/>
      <c r="S15" s="69"/>
      <c r="T15" s="70"/>
    </row>
    <row r="16" spans="1:20" s="71" customFormat="1" ht="10.199999999999999" x14ac:dyDescent="0.2">
      <c r="A16" s="74">
        <v>4</v>
      </c>
      <c r="B16" s="75" t="s">
        <v>37</v>
      </c>
      <c r="C16" s="63">
        <v>424343000</v>
      </c>
      <c r="D16" s="64" t="s">
        <v>23</v>
      </c>
      <c r="E16" s="64"/>
      <c r="F16" s="63">
        <v>424343000</v>
      </c>
      <c r="G16" s="73">
        <f>F16/$F$77</f>
        <v>8.774191602336499E-3</v>
      </c>
      <c r="H16" s="151">
        <v>0.25219999999999998</v>
      </c>
      <c r="I16" s="152">
        <v>0</v>
      </c>
      <c r="J16" s="66">
        <f t="shared" ref="J16:J74" si="3">G16*I16</f>
        <v>0</v>
      </c>
      <c r="K16" s="68">
        <f>107030000</f>
        <v>107030000</v>
      </c>
      <c r="L16" s="65">
        <f t="shared" si="2"/>
        <v>0.25222520461042131</v>
      </c>
      <c r="M16" s="67"/>
      <c r="N16" s="66">
        <f>M16/F16</f>
        <v>0</v>
      </c>
      <c r="O16" s="65">
        <f t="shared" si="1"/>
        <v>0</v>
      </c>
      <c r="P16" s="68">
        <f>H16-I16</f>
        <v>0.25219999999999998</v>
      </c>
      <c r="Q16" s="68">
        <f>F16-M16</f>
        <v>424343000</v>
      </c>
      <c r="R16" s="68">
        <f>Q16/F16*100</f>
        <v>100</v>
      </c>
      <c r="S16" s="69"/>
      <c r="T16" s="70" t="s">
        <v>31</v>
      </c>
    </row>
    <row r="17" spans="1:20" s="71" customFormat="1" ht="10.199999999999999" x14ac:dyDescent="0.2">
      <c r="A17" s="74"/>
      <c r="B17" s="75"/>
      <c r="C17" s="63"/>
      <c r="D17" s="64"/>
      <c r="E17" s="64"/>
      <c r="F17" s="68"/>
      <c r="G17" s="73"/>
      <c r="H17" s="75"/>
      <c r="I17" s="68"/>
      <c r="J17" s="66"/>
      <c r="K17" s="66"/>
      <c r="L17" s="65"/>
      <c r="M17" s="68"/>
      <c r="N17" s="68"/>
      <c r="O17" s="65"/>
      <c r="P17" s="68"/>
      <c r="Q17" s="68"/>
      <c r="R17" s="68"/>
      <c r="S17" s="69"/>
      <c r="T17" s="70"/>
    </row>
    <row r="18" spans="1:20" s="71" customFormat="1" ht="10.199999999999999" x14ac:dyDescent="0.2">
      <c r="A18" s="74">
        <v>5</v>
      </c>
      <c r="B18" s="75" t="s">
        <v>39</v>
      </c>
      <c r="C18" s="63">
        <v>68216100</v>
      </c>
      <c r="D18" s="64" t="s">
        <v>23</v>
      </c>
      <c r="E18" s="64"/>
      <c r="F18" s="63">
        <v>68216100</v>
      </c>
      <c r="G18" s="73">
        <f>F18/$F$77</f>
        <v>1.410512561216155E-3</v>
      </c>
      <c r="H18" s="151">
        <v>8.3299999999999999E-2</v>
      </c>
      <c r="I18" s="152">
        <v>0.18</v>
      </c>
      <c r="J18" s="66">
        <f t="shared" si="3"/>
        <v>2.538922610189079E-4</v>
      </c>
      <c r="K18" s="68">
        <f>5684675</f>
        <v>5684675</v>
      </c>
      <c r="L18" s="65">
        <f t="shared" si="2"/>
        <v>8.3333333333333329E-2</v>
      </c>
      <c r="M18" s="141"/>
      <c r="N18" s="66">
        <f>M18/F18</f>
        <v>0</v>
      </c>
      <c r="O18" s="65">
        <f t="shared" si="1"/>
        <v>0</v>
      </c>
      <c r="P18" s="68">
        <f>H18-I18</f>
        <v>-9.6699999999999994E-2</v>
      </c>
      <c r="Q18" s="68">
        <f>F18-M18</f>
        <v>68216100</v>
      </c>
      <c r="R18" s="68">
        <f>Q18/F18*100</f>
        <v>100</v>
      </c>
      <c r="S18" s="69"/>
      <c r="T18" s="70" t="s">
        <v>30</v>
      </c>
    </row>
    <row r="19" spans="1:20" s="71" customFormat="1" ht="10.199999999999999" x14ac:dyDescent="0.2">
      <c r="A19" s="74"/>
      <c r="B19" s="75"/>
      <c r="C19" s="63"/>
      <c r="D19" s="64"/>
      <c r="E19" s="64"/>
      <c r="F19" s="68"/>
      <c r="G19" s="73"/>
      <c r="H19" s="75"/>
      <c r="I19" s="68"/>
      <c r="J19" s="66"/>
      <c r="K19" s="66"/>
      <c r="L19" s="65"/>
      <c r="M19" s="68"/>
      <c r="N19" s="68"/>
      <c r="O19" s="65"/>
      <c r="P19" s="68"/>
      <c r="Q19" s="68"/>
      <c r="R19" s="68"/>
      <c r="S19" s="69"/>
      <c r="T19" s="70"/>
    </row>
    <row r="20" spans="1:20" s="71" customFormat="1" ht="10.199999999999999" x14ac:dyDescent="0.2">
      <c r="A20" s="74"/>
      <c r="B20" s="75"/>
      <c r="C20" s="63"/>
      <c r="D20" s="64"/>
      <c r="E20" s="64"/>
      <c r="F20" s="68"/>
      <c r="G20" s="73"/>
      <c r="H20" s="75"/>
      <c r="I20" s="68"/>
      <c r="J20" s="66"/>
      <c r="K20" s="66"/>
      <c r="L20" s="65"/>
      <c r="M20" s="68"/>
      <c r="N20" s="68"/>
      <c r="O20" s="65"/>
      <c r="P20" s="68"/>
      <c r="Q20" s="68"/>
      <c r="R20" s="68"/>
      <c r="S20" s="69"/>
      <c r="T20" s="70"/>
    </row>
    <row r="21" spans="1:20" s="71" customFormat="1" ht="10.199999999999999" x14ac:dyDescent="0.2">
      <c r="A21" s="74">
        <v>6</v>
      </c>
      <c r="B21" s="75" t="s">
        <v>40</v>
      </c>
      <c r="C21" s="63">
        <v>534600000</v>
      </c>
      <c r="D21" s="64" t="s">
        <v>23</v>
      </c>
      <c r="E21" s="64"/>
      <c r="F21" s="63">
        <v>534600000</v>
      </c>
      <c r="G21" s="73">
        <f>F21/$F$77</f>
        <v>1.1053988944342412E-2</v>
      </c>
      <c r="H21" s="151">
        <v>8.3299999999999999E-2</v>
      </c>
      <c r="I21" s="152">
        <v>8.3299999999999999E-2</v>
      </c>
      <c r="J21" s="66">
        <f t="shared" si="3"/>
        <v>9.2079727906372298E-4</v>
      </c>
      <c r="K21" s="68">
        <f>44550000</f>
        <v>44550000</v>
      </c>
      <c r="L21" s="65">
        <f t="shared" si="2"/>
        <v>8.3333333333333329E-2</v>
      </c>
      <c r="M21" s="67"/>
      <c r="N21" s="66">
        <f>M21/F21</f>
        <v>0</v>
      </c>
      <c r="O21" s="65">
        <f t="shared" si="1"/>
        <v>0</v>
      </c>
      <c r="P21" s="68">
        <f>H21-I21</f>
        <v>0</v>
      </c>
      <c r="Q21" s="68">
        <f>F21-M21</f>
        <v>534600000</v>
      </c>
      <c r="R21" s="68">
        <f>Q21/F21*100</f>
        <v>100</v>
      </c>
      <c r="S21" s="69"/>
      <c r="T21" s="70" t="s">
        <v>30</v>
      </c>
    </row>
    <row r="22" spans="1:20" s="71" customFormat="1" ht="10.199999999999999" x14ac:dyDescent="0.2">
      <c r="A22" s="74"/>
      <c r="B22" s="75"/>
      <c r="C22" s="63"/>
      <c r="D22" s="64"/>
      <c r="E22" s="64"/>
      <c r="F22" s="68"/>
      <c r="G22" s="73"/>
      <c r="H22" s="75"/>
      <c r="I22" s="68"/>
      <c r="J22" s="66"/>
      <c r="K22" s="66"/>
      <c r="L22" s="65"/>
      <c r="M22" s="68"/>
      <c r="N22" s="68"/>
      <c r="O22" s="65"/>
      <c r="P22" s="68"/>
      <c r="Q22" s="68"/>
      <c r="R22" s="68"/>
      <c r="S22" s="69"/>
      <c r="T22" s="70"/>
    </row>
    <row r="23" spans="1:20" s="71" customFormat="1" ht="10.199999999999999" x14ac:dyDescent="0.2">
      <c r="A23" s="74"/>
      <c r="B23" s="75"/>
      <c r="C23" s="63"/>
      <c r="D23" s="64"/>
      <c r="E23" s="64"/>
      <c r="F23" s="68"/>
      <c r="G23" s="73"/>
      <c r="H23" s="75"/>
      <c r="I23" s="68"/>
      <c r="J23" s="66"/>
      <c r="K23" s="66"/>
      <c r="L23" s="65"/>
      <c r="M23" s="68"/>
      <c r="N23" s="68"/>
      <c r="O23" s="65"/>
      <c r="P23" s="68"/>
      <c r="Q23" s="68"/>
      <c r="R23" s="68"/>
      <c r="S23" s="69"/>
      <c r="T23" s="70"/>
    </row>
    <row r="24" spans="1:20" s="71" customFormat="1" ht="10.199999999999999" x14ac:dyDescent="0.2">
      <c r="A24" s="74">
        <v>7</v>
      </c>
      <c r="B24" s="75" t="s">
        <v>41</v>
      </c>
      <c r="C24" s="63">
        <v>126250000</v>
      </c>
      <c r="D24" s="64" t="s">
        <v>23</v>
      </c>
      <c r="E24" s="64"/>
      <c r="F24" s="63">
        <v>126250000</v>
      </c>
      <c r="G24" s="73">
        <f>F24/$F$77</f>
        <v>2.6104865398863253E-3</v>
      </c>
      <c r="H24" s="151">
        <v>8.3299999999999999E-2</v>
      </c>
      <c r="I24" s="152">
        <v>8.3299999999999999E-2</v>
      </c>
      <c r="J24" s="66">
        <f t="shared" si="3"/>
        <v>2.1745352877253088E-4</v>
      </c>
      <c r="K24" s="68">
        <f>10520000</f>
        <v>10520000</v>
      </c>
      <c r="L24" s="65">
        <f t="shared" si="2"/>
        <v>8.3326732673267331E-2</v>
      </c>
      <c r="M24" s="67"/>
      <c r="N24" s="66">
        <f>M24/F24</f>
        <v>0</v>
      </c>
      <c r="O24" s="65">
        <f t="shared" si="1"/>
        <v>0</v>
      </c>
      <c r="P24" s="68">
        <f>H24-I24</f>
        <v>0</v>
      </c>
      <c r="Q24" s="68">
        <f>F24-M24</f>
        <v>126250000</v>
      </c>
      <c r="R24" s="68">
        <f>Q24/F24*100</f>
        <v>100</v>
      </c>
      <c r="S24" s="69"/>
      <c r="T24" s="70" t="s">
        <v>30</v>
      </c>
    </row>
    <row r="25" spans="1:20" s="71" customFormat="1" ht="10.199999999999999" x14ac:dyDescent="0.2">
      <c r="A25" s="74"/>
      <c r="B25" s="75"/>
      <c r="C25" s="63"/>
      <c r="D25" s="64"/>
      <c r="E25" s="64"/>
      <c r="F25" s="68"/>
      <c r="G25" s="73"/>
      <c r="H25" s="151"/>
      <c r="I25" s="152"/>
      <c r="J25" s="66"/>
      <c r="K25" s="68"/>
      <c r="L25" s="65"/>
      <c r="M25" s="67"/>
      <c r="N25" s="66"/>
      <c r="O25" s="65"/>
      <c r="P25" s="68"/>
      <c r="Q25" s="68"/>
      <c r="R25" s="68"/>
      <c r="S25" s="69"/>
      <c r="T25" s="70"/>
    </row>
    <row r="26" spans="1:20" s="71" customFormat="1" ht="10.199999999999999" x14ac:dyDescent="0.2">
      <c r="A26" s="74">
        <v>8</v>
      </c>
      <c r="B26" s="75" t="s">
        <v>42</v>
      </c>
      <c r="C26" s="63">
        <f>756790000</f>
        <v>756790000</v>
      </c>
      <c r="D26" s="64" t="s">
        <v>23</v>
      </c>
      <c r="E26" s="64"/>
      <c r="F26" s="63">
        <f>756790000</f>
        <v>756790000</v>
      </c>
      <c r="G26" s="73">
        <f>F26/$F$77</f>
        <v>1.5648238483331266E-2</v>
      </c>
      <c r="H26" s="151">
        <v>0</v>
      </c>
      <c r="I26" s="152">
        <v>0</v>
      </c>
      <c r="J26" s="66">
        <f t="shared" ref="J26" si="4">G26*I26</f>
        <v>0</v>
      </c>
      <c r="K26" s="68">
        <f>0</f>
        <v>0</v>
      </c>
      <c r="L26" s="65">
        <f t="shared" ref="L26" si="5">K26/F26</f>
        <v>0</v>
      </c>
      <c r="M26" s="67"/>
      <c r="N26" s="66">
        <f>M26/F26</f>
        <v>0</v>
      </c>
      <c r="O26" s="65">
        <f t="shared" ref="O26" si="6">G26*N26</f>
        <v>0</v>
      </c>
      <c r="P26" s="68">
        <f>H26-I26</f>
        <v>0</v>
      </c>
      <c r="Q26" s="68">
        <f>F26-M26</f>
        <v>756790000</v>
      </c>
      <c r="R26" s="68">
        <f>Q26/F26*100</f>
        <v>100</v>
      </c>
      <c r="S26" s="69"/>
      <c r="T26" s="70" t="s">
        <v>30</v>
      </c>
    </row>
    <row r="27" spans="1:20" s="71" customFormat="1" ht="10.199999999999999" x14ac:dyDescent="0.2">
      <c r="A27" s="74"/>
      <c r="B27" s="75"/>
      <c r="C27" s="63"/>
      <c r="D27" s="64"/>
      <c r="E27" s="64"/>
      <c r="F27" s="68"/>
      <c r="G27" s="73"/>
      <c r="H27" s="151"/>
      <c r="I27" s="152"/>
      <c r="J27" s="66"/>
      <c r="K27" s="68" t="s">
        <v>34</v>
      </c>
      <c r="L27" s="65"/>
      <c r="M27" s="67"/>
      <c r="N27" s="66"/>
      <c r="O27" s="65"/>
      <c r="P27" s="68"/>
      <c r="Q27" s="68"/>
      <c r="R27" s="68"/>
      <c r="S27" s="69"/>
      <c r="T27" s="70"/>
    </row>
    <row r="28" spans="1:20" s="71" customFormat="1" ht="10.199999999999999" x14ac:dyDescent="0.2">
      <c r="A28" s="74">
        <v>9</v>
      </c>
      <c r="B28" s="75" t="s">
        <v>43</v>
      </c>
      <c r="C28" s="63">
        <v>14915360000</v>
      </c>
      <c r="D28" s="76" t="s">
        <v>23</v>
      </c>
      <c r="E28" s="64"/>
      <c r="F28" s="68">
        <f>315260000</f>
        <v>315260000</v>
      </c>
      <c r="G28" s="73">
        <f>F28/$F$77</f>
        <v>6.5186692005113891E-3</v>
      </c>
      <c r="H28" s="151">
        <v>1.8E-3</v>
      </c>
      <c r="I28" s="152">
        <v>0</v>
      </c>
      <c r="J28" s="66">
        <f t="shared" ref="J28:J29" si="7">G28*I28</f>
        <v>0</v>
      </c>
      <c r="K28" s="68">
        <f>26280000</f>
        <v>26280000</v>
      </c>
      <c r="L28" s="65">
        <v>1.8E-3</v>
      </c>
      <c r="M28" s="67"/>
      <c r="N28" s="66">
        <f>M28/F28</f>
        <v>0</v>
      </c>
      <c r="O28" s="65">
        <f>G28*N28</f>
        <v>0</v>
      </c>
      <c r="P28" s="68">
        <f>H28-I28</f>
        <v>1.8E-3</v>
      </c>
      <c r="Q28" s="68">
        <f>F28-M28</f>
        <v>315260000</v>
      </c>
      <c r="R28" s="68">
        <f>Q28/F28*100</f>
        <v>100</v>
      </c>
      <c r="S28" s="69"/>
      <c r="T28" s="70"/>
    </row>
    <row r="29" spans="1:20" s="71" customFormat="1" ht="10.199999999999999" x14ac:dyDescent="0.2">
      <c r="A29" s="74"/>
      <c r="B29" s="75"/>
      <c r="C29" s="63"/>
      <c r="D29" s="64" t="s">
        <v>32</v>
      </c>
      <c r="E29" s="64"/>
      <c r="F29" s="68">
        <f>14600000000</f>
        <v>14600000000</v>
      </c>
      <c r="G29" s="73">
        <f>F29/$F$77</f>
        <v>0.30188596817695329</v>
      </c>
      <c r="H29" s="151">
        <v>1.8E-3</v>
      </c>
      <c r="I29" s="152">
        <v>0</v>
      </c>
      <c r="J29" s="66">
        <f t="shared" si="7"/>
        <v>0</v>
      </c>
      <c r="K29" s="68">
        <f>0</f>
        <v>0</v>
      </c>
      <c r="L29" s="65">
        <v>1.8E-3</v>
      </c>
      <c r="M29" s="67"/>
      <c r="N29" s="66">
        <f>M29/F29</f>
        <v>0</v>
      </c>
      <c r="O29" s="65">
        <f t="shared" ref="O29" si="8">G29*N29</f>
        <v>0</v>
      </c>
      <c r="P29" s="68">
        <f>H29-I29</f>
        <v>1.8E-3</v>
      </c>
      <c r="Q29" s="68">
        <f>F29-M29</f>
        <v>14600000000</v>
      </c>
      <c r="R29" s="68">
        <f>Q29/F29*100</f>
        <v>100</v>
      </c>
      <c r="S29" s="69"/>
      <c r="T29" s="70"/>
    </row>
    <row r="30" spans="1:20" s="71" customFormat="1" ht="10.199999999999999" x14ac:dyDescent="0.2">
      <c r="A30" s="74"/>
      <c r="B30" s="75"/>
      <c r="C30" s="63"/>
      <c r="D30" s="64"/>
      <c r="E30" s="64"/>
      <c r="F30" s="68"/>
      <c r="G30" s="73"/>
      <c r="H30" s="75"/>
      <c r="I30" s="68"/>
      <c r="J30" s="66"/>
      <c r="K30" s="66"/>
      <c r="L30" s="65"/>
      <c r="M30" s="68"/>
      <c r="N30" s="68"/>
      <c r="O30" s="65"/>
      <c r="P30" s="68"/>
      <c r="Q30" s="68"/>
      <c r="R30" s="68"/>
      <c r="S30" s="69"/>
      <c r="T30" s="70"/>
    </row>
    <row r="31" spans="1:20" s="71" customFormat="1" ht="10.199999999999999" x14ac:dyDescent="0.2">
      <c r="A31" s="74">
        <v>10</v>
      </c>
      <c r="B31" s="75" t="s">
        <v>44</v>
      </c>
      <c r="C31" s="63">
        <f>F31</f>
        <v>18000000</v>
      </c>
      <c r="D31" s="64" t="s">
        <v>23</v>
      </c>
      <c r="E31" s="64"/>
      <c r="F31" s="68">
        <v>18000000</v>
      </c>
      <c r="G31" s="73">
        <f>F31/$F$77</f>
        <v>3.7218817994418897E-4</v>
      </c>
      <c r="H31" s="151">
        <v>1</v>
      </c>
      <c r="I31" s="152">
        <f>N31</f>
        <v>0</v>
      </c>
      <c r="J31" s="66">
        <f t="shared" si="3"/>
        <v>0</v>
      </c>
      <c r="K31" s="68">
        <f>18000000</f>
        <v>18000000</v>
      </c>
      <c r="L31" s="65">
        <f t="shared" si="2"/>
        <v>1</v>
      </c>
      <c r="M31" s="67"/>
      <c r="N31" s="66">
        <f>M31/F31</f>
        <v>0</v>
      </c>
      <c r="O31" s="65">
        <f t="shared" si="1"/>
        <v>0</v>
      </c>
      <c r="P31" s="68">
        <f>H31-I31</f>
        <v>1</v>
      </c>
      <c r="Q31" s="68">
        <f>F31-M31</f>
        <v>18000000</v>
      </c>
      <c r="R31" s="68">
        <f>Q31/F31*100</f>
        <v>100</v>
      </c>
      <c r="S31" s="69"/>
      <c r="T31" s="70" t="s">
        <v>30</v>
      </c>
    </row>
    <row r="32" spans="1:20" s="71" customFormat="1" ht="10.199999999999999" x14ac:dyDescent="0.2">
      <c r="A32" s="74"/>
      <c r="B32" s="75"/>
      <c r="C32" s="63"/>
      <c r="D32" s="64"/>
      <c r="E32" s="64"/>
      <c r="F32" s="68"/>
      <c r="G32" s="73"/>
      <c r="H32" s="75"/>
      <c r="I32" s="68"/>
      <c r="J32" s="66"/>
      <c r="K32" s="66"/>
      <c r="L32" s="65"/>
      <c r="M32" s="68"/>
      <c r="N32" s="68"/>
      <c r="O32" s="65"/>
      <c r="P32" s="68"/>
      <c r="Q32" s="68"/>
      <c r="R32" s="68"/>
      <c r="S32" s="69"/>
      <c r="T32" s="70"/>
    </row>
    <row r="33" spans="1:20" s="71" customFormat="1" thickBot="1" x14ac:dyDescent="0.2">
      <c r="A33" s="74">
        <v>11</v>
      </c>
      <c r="B33" s="75" t="s">
        <v>45</v>
      </c>
      <c r="C33" s="63">
        <v>232100000</v>
      </c>
      <c r="D33" s="64" t="s">
        <v>23</v>
      </c>
      <c r="E33" s="64"/>
      <c r="F33" s="63">
        <v>232100000</v>
      </c>
      <c r="G33" s="73">
        <f>F33/$F$77</f>
        <v>4.7991598091692367E-3</v>
      </c>
      <c r="H33" s="151">
        <v>8.3299999999999999E-2</v>
      </c>
      <c r="I33" s="152">
        <f>N33</f>
        <v>6.0069711331322707E-3</v>
      </c>
      <c r="J33" s="66">
        <f t="shared" si="3"/>
        <v>2.8828414436968182E-5</v>
      </c>
      <c r="K33" s="94">
        <f>19341666</f>
        <v>19341666</v>
      </c>
      <c r="L33" s="65">
        <f>K33/F33</f>
        <v>8.3333330461008187E-2</v>
      </c>
      <c r="M33" s="67">
        <f>1394218</f>
        <v>1394218</v>
      </c>
      <c r="N33" s="66">
        <f>M33/F33</f>
        <v>6.0069711331322707E-3</v>
      </c>
      <c r="O33" s="65">
        <f t="shared" si="1"/>
        <v>2.8828414436968182E-5</v>
      </c>
      <c r="P33" s="68">
        <f>H33-I33</f>
        <v>7.729302886686773E-2</v>
      </c>
      <c r="Q33" s="68">
        <f>F33-M33</f>
        <v>230705782</v>
      </c>
      <c r="R33" s="68">
        <f>Q33/F33*100</f>
        <v>99.399302886686769</v>
      </c>
      <c r="S33" s="69"/>
      <c r="T33" s="70" t="s">
        <v>30</v>
      </c>
    </row>
    <row r="34" spans="1:20" s="71" customFormat="1" ht="10.199999999999999" x14ac:dyDescent="0.2">
      <c r="A34" s="74"/>
      <c r="B34" s="75"/>
      <c r="C34" s="63"/>
      <c r="D34" s="64"/>
      <c r="E34" s="64"/>
      <c r="F34" s="68"/>
      <c r="G34" s="73"/>
      <c r="H34" s="75"/>
      <c r="I34" s="68"/>
      <c r="J34" s="66"/>
      <c r="K34" s="68"/>
      <c r="L34" s="65"/>
      <c r="M34" s="68"/>
      <c r="N34" s="68"/>
      <c r="O34" s="65"/>
      <c r="P34" s="68"/>
      <c r="Q34" s="68"/>
      <c r="R34" s="68"/>
      <c r="S34" s="69"/>
      <c r="T34" s="70"/>
    </row>
    <row r="35" spans="1:20" s="71" customFormat="1" ht="10.199999999999999" x14ac:dyDescent="0.2">
      <c r="A35" s="74"/>
      <c r="B35" s="75"/>
      <c r="C35" s="63"/>
      <c r="D35" s="64"/>
      <c r="E35" s="64"/>
      <c r="F35" s="68"/>
      <c r="G35" s="73"/>
      <c r="H35" s="75"/>
      <c r="I35" s="68"/>
      <c r="J35" s="66"/>
      <c r="K35" s="68"/>
      <c r="L35" s="65"/>
      <c r="M35" s="68"/>
      <c r="N35" s="68"/>
      <c r="O35" s="65"/>
      <c r="P35" s="68"/>
      <c r="Q35" s="68"/>
      <c r="R35" s="68"/>
      <c r="S35" s="69"/>
      <c r="T35" s="70"/>
    </row>
    <row r="36" spans="1:20" s="71" customFormat="1" ht="10.199999999999999" x14ac:dyDescent="0.2">
      <c r="A36" s="74">
        <v>12</v>
      </c>
      <c r="B36" s="75" t="s">
        <v>46</v>
      </c>
      <c r="C36" s="63">
        <v>1196960000</v>
      </c>
      <c r="D36" s="64" t="s">
        <v>23</v>
      </c>
      <c r="E36" s="64"/>
      <c r="F36" s="63">
        <v>1196960000</v>
      </c>
      <c r="G36" s="73">
        <f>F36/$F$77</f>
        <v>2.4749686881444244E-2</v>
      </c>
      <c r="H36" s="151">
        <v>0.23649999999999999</v>
      </c>
      <c r="I36" s="152">
        <f>N36</f>
        <v>0</v>
      </c>
      <c r="J36" s="66">
        <f t="shared" si="3"/>
        <v>0</v>
      </c>
      <c r="K36" s="68">
        <f>283080000</f>
        <v>283080000</v>
      </c>
      <c r="L36" s="65">
        <f t="shared" si="2"/>
        <v>0.23649913113220158</v>
      </c>
      <c r="M36" s="67"/>
      <c r="N36" s="66">
        <f>M36/F36</f>
        <v>0</v>
      </c>
      <c r="O36" s="65">
        <f t="shared" si="1"/>
        <v>0</v>
      </c>
      <c r="P36" s="68">
        <f>H36-I36</f>
        <v>0.23649999999999999</v>
      </c>
      <c r="Q36" s="68">
        <f>F36-M36</f>
        <v>1196960000</v>
      </c>
      <c r="R36" s="68">
        <f>Q36/F36*100</f>
        <v>100</v>
      </c>
      <c r="S36" s="69"/>
      <c r="T36" s="70" t="s">
        <v>24</v>
      </c>
    </row>
    <row r="37" spans="1:20" s="71" customFormat="1" ht="10.199999999999999" x14ac:dyDescent="0.2">
      <c r="A37" s="74"/>
      <c r="B37" s="75"/>
      <c r="C37" s="63"/>
      <c r="D37" s="64"/>
      <c r="E37" s="64"/>
      <c r="F37" s="68"/>
      <c r="G37" s="73"/>
      <c r="H37" s="75"/>
      <c r="I37" s="68"/>
      <c r="J37" s="66"/>
      <c r="K37" s="68"/>
      <c r="L37" s="65"/>
      <c r="M37" s="68"/>
      <c r="N37" s="68"/>
      <c r="O37" s="65"/>
      <c r="P37" s="68"/>
      <c r="Q37" s="68"/>
      <c r="R37" s="68"/>
      <c r="S37" s="69"/>
      <c r="T37" s="70"/>
    </row>
    <row r="38" spans="1:20" s="71" customFormat="1" ht="10.199999999999999" x14ac:dyDescent="0.2">
      <c r="A38" s="74"/>
      <c r="B38" s="75"/>
      <c r="C38" s="63"/>
      <c r="D38" s="64"/>
      <c r="E38" s="64"/>
      <c r="F38" s="68"/>
      <c r="G38" s="73"/>
      <c r="H38" s="75"/>
      <c r="I38" s="68"/>
      <c r="J38" s="66"/>
      <c r="K38" s="68"/>
      <c r="L38" s="65"/>
      <c r="M38" s="68"/>
      <c r="N38" s="68"/>
      <c r="O38" s="65"/>
      <c r="P38" s="68"/>
      <c r="Q38" s="68"/>
      <c r="R38" s="68"/>
      <c r="S38" s="69"/>
      <c r="T38" s="70"/>
    </row>
    <row r="39" spans="1:20" s="71" customFormat="1" ht="10.199999999999999" x14ac:dyDescent="0.2">
      <c r="A39" s="74">
        <v>13</v>
      </c>
      <c r="B39" s="75" t="s">
        <v>47</v>
      </c>
      <c r="C39" s="63">
        <v>230614400</v>
      </c>
      <c r="D39" s="76" t="s">
        <v>23</v>
      </c>
      <c r="E39" s="64"/>
      <c r="F39" s="63">
        <v>230614400</v>
      </c>
      <c r="G39" s="73">
        <f>F39/$F$77</f>
        <v>4.768441878051176E-3</v>
      </c>
      <c r="H39" s="151">
        <v>0.62649999999999995</v>
      </c>
      <c r="I39" s="152">
        <v>5.0000000000000001E-3</v>
      </c>
      <c r="J39" s="66">
        <f t="shared" si="3"/>
        <v>2.384220939025588E-5</v>
      </c>
      <c r="K39" s="68">
        <f>144475000</f>
        <v>144475000</v>
      </c>
      <c r="L39" s="65">
        <f t="shared" si="2"/>
        <v>0.62647865874810937</v>
      </c>
      <c r="M39" s="67">
        <f>855000</f>
        <v>855000</v>
      </c>
      <c r="N39" s="66">
        <f>M39/F39</f>
        <v>3.7074874769311892E-3</v>
      </c>
      <c r="O39" s="65">
        <f t="shared" si="1"/>
        <v>1.7678938547348975E-5</v>
      </c>
      <c r="P39" s="68">
        <f>H39-I39</f>
        <v>0.62149999999999994</v>
      </c>
      <c r="Q39" s="68">
        <f>F39-M39</f>
        <v>229759400</v>
      </c>
      <c r="R39" s="68">
        <f>Q39/F39*100</f>
        <v>99.629251252306886</v>
      </c>
      <c r="S39" s="69"/>
      <c r="T39" s="70" t="s">
        <v>29</v>
      </c>
    </row>
    <row r="40" spans="1:20" s="71" customFormat="1" ht="10.199999999999999" x14ac:dyDescent="0.2">
      <c r="A40" s="77"/>
      <c r="B40" s="75"/>
      <c r="C40" s="63"/>
      <c r="D40" s="76"/>
      <c r="E40" s="64"/>
      <c r="F40" s="68"/>
      <c r="G40" s="73"/>
      <c r="H40" s="68"/>
      <c r="I40" s="68"/>
      <c r="J40" s="66"/>
      <c r="K40" s="66"/>
      <c r="L40" s="65"/>
      <c r="M40" s="68"/>
      <c r="N40" s="68"/>
      <c r="O40" s="65"/>
      <c r="P40" s="68"/>
      <c r="Q40" s="68"/>
      <c r="R40" s="68"/>
      <c r="S40" s="69"/>
      <c r="T40" s="70"/>
    </row>
    <row r="41" spans="1:20" s="71" customFormat="1" ht="10.199999999999999" x14ac:dyDescent="0.2">
      <c r="A41" s="74"/>
      <c r="B41" s="75"/>
      <c r="C41" s="63"/>
      <c r="D41" s="64"/>
      <c r="E41" s="64"/>
      <c r="F41" s="68"/>
      <c r="G41" s="73"/>
      <c r="H41" s="63"/>
      <c r="I41" s="68"/>
      <c r="J41" s="66"/>
      <c r="K41" s="66"/>
      <c r="L41" s="65"/>
      <c r="M41" s="67"/>
      <c r="N41" s="68"/>
      <c r="O41" s="65"/>
      <c r="P41" s="68"/>
      <c r="Q41" s="68"/>
      <c r="R41" s="68"/>
      <c r="S41" s="69"/>
      <c r="T41" s="70"/>
    </row>
    <row r="42" spans="1:20" s="71" customFormat="1" ht="10.199999999999999" x14ac:dyDescent="0.2">
      <c r="A42" s="74"/>
      <c r="B42" s="75"/>
      <c r="C42" s="63"/>
      <c r="D42" s="64"/>
      <c r="E42" s="64"/>
      <c r="F42" s="68"/>
      <c r="G42" s="73"/>
      <c r="H42" s="63"/>
      <c r="I42" s="68"/>
      <c r="J42" s="66"/>
      <c r="K42" s="66"/>
      <c r="L42" s="65"/>
      <c r="M42" s="67"/>
      <c r="N42" s="68"/>
      <c r="O42" s="65"/>
      <c r="P42" s="68"/>
      <c r="Q42" s="68"/>
      <c r="R42" s="68"/>
      <c r="S42" s="69"/>
      <c r="T42" s="70"/>
    </row>
    <row r="43" spans="1:20" s="71" customFormat="1" ht="10.199999999999999" x14ac:dyDescent="0.2">
      <c r="A43" s="74">
        <v>14</v>
      </c>
      <c r="B43" s="75" t="s">
        <v>48</v>
      </c>
      <c r="C43" s="63">
        <v>71000000</v>
      </c>
      <c r="D43" s="76" t="s">
        <v>23</v>
      </c>
      <c r="E43" s="64"/>
      <c r="F43" s="63">
        <v>71000000</v>
      </c>
      <c r="G43" s="73">
        <f>F43/$F$77</f>
        <v>1.4680755986687453E-3</v>
      </c>
      <c r="H43" s="151">
        <v>0</v>
      </c>
      <c r="I43" s="152">
        <v>0</v>
      </c>
      <c r="J43" s="66">
        <f t="shared" si="3"/>
        <v>0</v>
      </c>
      <c r="K43" s="68">
        <f>0</f>
        <v>0</v>
      </c>
      <c r="L43" s="65">
        <f t="shared" si="2"/>
        <v>0</v>
      </c>
      <c r="M43" s="67"/>
      <c r="N43" s="66">
        <f>M43/F43</f>
        <v>0</v>
      </c>
      <c r="O43" s="65">
        <f t="shared" si="1"/>
        <v>0</v>
      </c>
      <c r="P43" s="68">
        <f>H43-I43</f>
        <v>0</v>
      </c>
      <c r="Q43" s="68">
        <f>F43-M43</f>
        <v>71000000</v>
      </c>
      <c r="R43" s="68">
        <f>Q43/F43*100</f>
        <v>100</v>
      </c>
      <c r="S43" s="69"/>
      <c r="T43" s="70" t="s">
        <v>29</v>
      </c>
    </row>
    <row r="44" spans="1:20" s="71" customFormat="1" ht="10.199999999999999" x14ac:dyDescent="0.2">
      <c r="A44" s="74"/>
      <c r="B44" s="75"/>
      <c r="C44" s="63"/>
      <c r="D44" s="64"/>
      <c r="E44" s="64"/>
      <c r="F44" s="68"/>
      <c r="G44" s="73"/>
      <c r="H44" s="68"/>
      <c r="I44" s="68"/>
      <c r="J44" s="66"/>
      <c r="K44" s="66"/>
      <c r="L44" s="65"/>
      <c r="M44" s="68"/>
      <c r="N44" s="68"/>
      <c r="O44" s="65"/>
      <c r="P44" s="68"/>
      <c r="Q44" s="68"/>
      <c r="R44" s="68"/>
      <c r="S44" s="69"/>
      <c r="T44" s="70"/>
    </row>
    <row r="45" spans="1:20" s="71" customFormat="1" ht="10.199999999999999" x14ac:dyDescent="0.2">
      <c r="A45" s="74"/>
      <c r="B45" s="75"/>
      <c r="C45" s="63"/>
      <c r="D45" s="64"/>
      <c r="E45" s="64"/>
      <c r="F45" s="68"/>
      <c r="G45" s="73"/>
      <c r="H45" s="68"/>
      <c r="I45" s="68"/>
      <c r="J45" s="78"/>
      <c r="K45" s="66"/>
      <c r="L45" s="79"/>
      <c r="M45" s="68"/>
      <c r="N45" s="68"/>
      <c r="O45" s="65"/>
      <c r="P45" s="68"/>
      <c r="Q45" s="68"/>
      <c r="R45" s="68"/>
      <c r="S45" s="69"/>
      <c r="T45" s="70"/>
    </row>
    <row r="46" spans="1:20" s="71" customFormat="1" ht="10.199999999999999" x14ac:dyDescent="0.2">
      <c r="A46" s="74">
        <v>15</v>
      </c>
      <c r="B46" s="75" t="s">
        <v>49</v>
      </c>
      <c r="C46" s="63">
        <v>16807250050</v>
      </c>
      <c r="D46" s="64" t="s">
        <v>22</v>
      </c>
      <c r="E46" s="64"/>
      <c r="F46" s="63">
        <v>16807250050</v>
      </c>
      <c r="G46" s="73">
        <f>F46/$F$77</f>
        <v>0.34752554477646547</v>
      </c>
      <c r="H46" s="151">
        <v>9.9599999999999994E-2</v>
      </c>
      <c r="I46" s="152">
        <f>N46</f>
        <v>9.4759910708890768E-2</v>
      </c>
      <c r="J46" s="78">
        <f t="shared" si="3"/>
        <v>3.2931489592076486E-2</v>
      </c>
      <c r="K46" s="68">
        <f>1674660716</f>
        <v>1674660716</v>
      </c>
      <c r="L46" s="79">
        <f t="shared" si="2"/>
        <v>9.9639186126108711E-2</v>
      </c>
      <c r="M46" s="67">
        <f>1592653514</f>
        <v>1592653514</v>
      </c>
      <c r="N46" s="66">
        <f>M46/F46</f>
        <v>9.4759910708890768E-2</v>
      </c>
      <c r="O46" s="65">
        <f t="shared" si="1"/>
        <v>3.2931489592076486E-2</v>
      </c>
      <c r="P46" s="68">
        <f>H46-I46</f>
        <v>4.8400892911092258E-3</v>
      </c>
      <c r="Q46" s="68">
        <f>F46-M46</f>
        <v>15214596536</v>
      </c>
      <c r="R46" s="68">
        <f>Q46/F46*100</f>
        <v>90.52400892911092</v>
      </c>
      <c r="S46" s="69"/>
      <c r="T46" s="70" t="s">
        <v>24</v>
      </c>
    </row>
    <row r="47" spans="1:20" s="71" customFormat="1" ht="10.199999999999999" x14ac:dyDescent="0.2">
      <c r="A47" s="74"/>
      <c r="B47" s="75"/>
      <c r="C47" s="63"/>
      <c r="D47" s="76"/>
      <c r="E47" s="64"/>
      <c r="F47" s="68"/>
      <c r="G47" s="73"/>
      <c r="H47" s="68"/>
      <c r="I47" s="68"/>
      <c r="J47" s="66"/>
      <c r="K47" s="66"/>
      <c r="L47" s="79"/>
      <c r="M47" s="68"/>
      <c r="N47" s="68"/>
      <c r="O47" s="65"/>
      <c r="P47" s="68"/>
      <c r="Q47" s="68"/>
      <c r="R47" s="68"/>
      <c r="S47" s="69"/>
      <c r="T47" s="80"/>
    </row>
    <row r="48" spans="1:20" s="71" customFormat="1" ht="10.199999999999999" x14ac:dyDescent="0.2">
      <c r="A48" s="74"/>
      <c r="B48" s="81"/>
      <c r="C48" s="63"/>
      <c r="D48" s="76"/>
      <c r="E48" s="64"/>
      <c r="F48" s="68"/>
      <c r="G48" s="73"/>
      <c r="H48" s="75"/>
      <c r="I48" s="153"/>
      <c r="J48" s="66"/>
      <c r="K48" s="68"/>
      <c r="L48" s="79"/>
      <c r="M48" s="68"/>
      <c r="N48" s="68"/>
      <c r="O48" s="65"/>
      <c r="P48" s="68"/>
      <c r="Q48" s="68"/>
      <c r="R48" s="68"/>
      <c r="S48" s="69"/>
      <c r="T48" s="80"/>
    </row>
    <row r="49" spans="1:20" s="71" customFormat="1" ht="10.199999999999999" x14ac:dyDescent="0.2">
      <c r="A49" s="82"/>
      <c r="B49" s="83"/>
      <c r="C49" s="84"/>
      <c r="D49" s="85"/>
      <c r="E49" s="85"/>
      <c r="F49" s="86"/>
      <c r="G49" s="87"/>
      <c r="H49" s="83"/>
      <c r="I49" s="154"/>
      <c r="J49" s="88"/>
      <c r="K49" s="86"/>
      <c r="L49" s="89"/>
      <c r="M49" s="86"/>
      <c r="N49" s="86"/>
      <c r="O49" s="89"/>
      <c r="P49" s="86"/>
      <c r="Q49" s="86"/>
      <c r="R49" s="86"/>
      <c r="S49" s="85"/>
      <c r="T49" s="90"/>
    </row>
    <row r="50" spans="1:20" s="71" customFormat="1" ht="10.199999999999999" x14ac:dyDescent="0.2">
      <c r="A50" s="91"/>
      <c r="B50" s="92"/>
      <c r="C50" s="93"/>
      <c r="D50" s="64"/>
      <c r="E50" s="64"/>
      <c r="F50" s="94"/>
      <c r="G50" s="95"/>
      <c r="H50" s="92"/>
      <c r="J50" s="78"/>
      <c r="K50" s="94"/>
      <c r="L50" s="79"/>
      <c r="M50" s="94"/>
      <c r="N50" s="94"/>
      <c r="O50" s="79"/>
      <c r="P50" s="94"/>
      <c r="Q50" s="94"/>
      <c r="R50" s="94"/>
      <c r="S50" s="64"/>
      <c r="T50" s="96"/>
    </row>
    <row r="51" spans="1:20" s="71" customFormat="1" ht="10.199999999999999" x14ac:dyDescent="0.2">
      <c r="A51" s="91"/>
      <c r="B51" s="92"/>
      <c r="C51" s="93"/>
      <c r="D51" s="64"/>
      <c r="E51" s="64"/>
      <c r="F51" s="94"/>
      <c r="G51" s="95"/>
      <c r="H51" s="92"/>
      <c r="J51" s="78"/>
      <c r="K51" s="94"/>
      <c r="L51" s="79"/>
      <c r="M51" s="94"/>
      <c r="N51" s="94"/>
      <c r="O51" s="79"/>
      <c r="P51" s="94"/>
      <c r="Q51" s="94"/>
      <c r="R51" s="94"/>
      <c r="S51" s="64"/>
      <c r="T51" s="96"/>
    </row>
    <row r="52" spans="1:20" s="71" customFormat="1" ht="10.199999999999999" x14ac:dyDescent="0.2">
      <c r="A52" s="91"/>
      <c r="B52" s="92"/>
      <c r="C52" s="93"/>
      <c r="D52" s="64"/>
      <c r="E52" s="64"/>
      <c r="F52" s="94"/>
      <c r="G52" s="95"/>
      <c r="H52" s="92"/>
      <c r="J52" s="78"/>
      <c r="K52" s="94"/>
      <c r="L52" s="79"/>
      <c r="M52" s="94"/>
      <c r="N52" s="94"/>
      <c r="O52" s="79"/>
      <c r="P52" s="94"/>
      <c r="Q52" s="94"/>
      <c r="R52" s="94"/>
      <c r="S52" s="64"/>
      <c r="T52" s="96"/>
    </row>
    <row r="53" spans="1:20" s="71" customFormat="1" ht="10.199999999999999" x14ac:dyDescent="0.2">
      <c r="A53" s="91"/>
      <c r="B53" s="92"/>
      <c r="C53" s="93"/>
      <c r="D53" s="64"/>
      <c r="E53" s="64"/>
      <c r="F53" s="142" t="s">
        <v>33</v>
      </c>
      <c r="G53" s="95"/>
      <c r="H53" s="92"/>
      <c r="J53" s="78"/>
      <c r="K53" s="94"/>
      <c r="L53" s="79"/>
      <c r="M53" s="94"/>
      <c r="N53" s="94"/>
      <c r="O53" s="79"/>
      <c r="P53" s="94"/>
      <c r="Q53" s="94"/>
      <c r="R53" s="94"/>
      <c r="S53" s="64"/>
      <c r="T53" s="96"/>
    </row>
    <row r="54" spans="1:20" s="71" customFormat="1" ht="10.199999999999999" x14ac:dyDescent="0.2">
      <c r="A54" s="91"/>
      <c r="B54" s="92"/>
      <c r="C54" s="93"/>
      <c r="D54" s="64"/>
      <c r="E54" s="64"/>
      <c r="F54" s="94"/>
      <c r="G54" s="95"/>
      <c r="H54" s="92"/>
      <c r="J54" s="78"/>
      <c r="K54" s="94"/>
      <c r="L54" s="79"/>
      <c r="M54" s="94"/>
      <c r="N54" s="94"/>
      <c r="O54" s="79"/>
      <c r="P54" s="94"/>
      <c r="Q54" s="94"/>
      <c r="R54" s="94"/>
      <c r="S54" s="64"/>
      <c r="T54" s="96"/>
    </row>
    <row r="55" spans="1:20" s="71" customFormat="1" ht="10.199999999999999" x14ac:dyDescent="0.2">
      <c r="A55" s="91"/>
      <c r="B55" s="92"/>
      <c r="C55" s="93"/>
      <c r="D55" s="64"/>
      <c r="E55" s="64"/>
      <c r="F55" s="94"/>
      <c r="G55" s="95"/>
      <c r="H55" s="92"/>
      <c r="J55" s="78"/>
      <c r="K55" s="94"/>
      <c r="L55" s="79"/>
      <c r="M55" s="94"/>
      <c r="N55" s="94"/>
      <c r="O55" s="79"/>
      <c r="P55" s="94"/>
      <c r="Q55" s="94"/>
      <c r="R55" s="94"/>
      <c r="S55" s="64"/>
      <c r="T55" s="96"/>
    </row>
    <row r="56" spans="1:20" s="71" customFormat="1" ht="10.199999999999999" x14ac:dyDescent="0.2">
      <c r="A56" s="91"/>
      <c r="B56" s="92"/>
      <c r="C56" s="93"/>
      <c r="D56" s="64"/>
      <c r="E56" s="64"/>
      <c r="F56" s="94"/>
      <c r="G56" s="95"/>
      <c r="H56" s="92"/>
      <c r="J56" s="78"/>
      <c r="K56" s="94"/>
      <c r="L56" s="79"/>
      <c r="M56" s="94"/>
      <c r="N56" s="94"/>
      <c r="O56" s="79"/>
      <c r="P56" s="94"/>
      <c r="Q56" s="94"/>
      <c r="R56" s="94"/>
      <c r="S56" s="64"/>
      <c r="T56" s="96"/>
    </row>
    <row r="57" spans="1:20" s="71" customFormat="1" ht="10.199999999999999" x14ac:dyDescent="0.2">
      <c r="A57" s="91"/>
      <c r="B57" s="92"/>
      <c r="C57" s="93"/>
      <c r="D57" s="64"/>
      <c r="E57" s="64"/>
      <c r="F57" s="94"/>
      <c r="G57" s="95"/>
      <c r="H57" s="92"/>
      <c r="J57" s="78"/>
      <c r="K57" s="94"/>
      <c r="L57" s="79"/>
      <c r="M57" s="94"/>
      <c r="N57" s="94"/>
      <c r="O57" s="79"/>
      <c r="P57" s="94"/>
      <c r="Q57" s="94"/>
      <c r="R57" s="94"/>
      <c r="S57" s="64"/>
      <c r="T57" s="96"/>
    </row>
    <row r="58" spans="1:20" s="71" customFormat="1" ht="10.199999999999999" x14ac:dyDescent="0.2">
      <c r="A58" s="97"/>
      <c r="B58" s="98"/>
      <c r="C58" s="99"/>
      <c r="D58" s="100"/>
      <c r="E58" s="100"/>
      <c r="F58" s="101"/>
      <c r="G58" s="102"/>
      <c r="H58" s="98"/>
      <c r="I58" s="155"/>
      <c r="J58" s="103"/>
      <c r="K58" s="101"/>
      <c r="L58" s="104"/>
      <c r="M58" s="101"/>
      <c r="N58" s="101"/>
      <c r="O58" s="104"/>
      <c r="P58" s="101"/>
      <c r="Q58" s="101"/>
      <c r="R58" s="101"/>
      <c r="S58" s="100"/>
      <c r="T58" s="105"/>
    </row>
    <row r="59" spans="1:20" s="71" customFormat="1" ht="10.199999999999999" x14ac:dyDescent="0.2">
      <c r="A59" s="106"/>
      <c r="B59" s="107"/>
      <c r="C59" s="108"/>
      <c r="D59" s="109"/>
      <c r="E59" s="110"/>
      <c r="F59" s="111"/>
      <c r="G59" s="112"/>
      <c r="H59" s="107"/>
      <c r="I59" s="156"/>
      <c r="J59" s="113"/>
      <c r="K59" s="111"/>
      <c r="L59" s="114"/>
      <c r="M59" s="111"/>
      <c r="N59" s="111"/>
      <c r="O59" s="114"/>
      <c r="P59" s="111"/>
      <c r="Q59" s="111"/>
      <c r="R59" s="111"/>
      <c r="S59" s="115"/>
      <c r="T59" s="116"/>
    </row>
    <row r="60" spans="1:20" s="71" customFormat="1" ht="10.199999999999999" x14ac:dyDescent="0.2">
      <c r="A60" s="74">
        <v>16</v>
      </c>
      <c r="B60" s="75" t="s">
        <v>50</v>
      </c>
      <c r="C60" s="63">
        <v>50000000</v>
      </c>
      <c r="D60" s="76" t="s">
        <v>23</v>
      </c>
      <c r="E60" s="64"/>
      <c r="F60" s="63">
        <v>50000000</v>
      </c>
      <c r="G60" s="73">
        <f>F60/$F$77</f>
        <v>1.033856055400525E-3</v>
      </c>
      <c r="H60" s="151">
        <v>1</v>
      </c>
      <c r="I60" s="152">
        <f>N60</f>
        <v>0</v>
      </c>
      <c r="J60" s="66">
        <f t="shared" ref="J60" si="9">G60*I60</f>
        <v>0</v>
      </c>
      <c r="K60" s="68">
        <f>50000000</f>
        <v>50000000</v>
      </c>
      <c r="L60" s="79">
        <f t="shared" ref="L60" si="10">K60/F60</f>
        <v>1</v>
      </c>
      <c r="M60" s="67"/>
      <c r="N60" s="66">
        <f>M60/F60</f>
        <v>0</v>
      </c>
      <c r="O60" s="65">
        <f t="shared" ref="O60" si="11">G60*N60</f>
        <v>0</v>
      </c>
      <c r="P60" s="68">
        <f>H60-I60</f>
        <v>1</v>
      </c>
      <c r="Q60" s="68">
        <f>F60-M60</f>
        <v>50000000</v>
      </c>
      <c r="R60" s="68">
        <f>Q60/F60*100</f>
        <v>100</v>
      </c>
      <c r="S60" s="69"/>
      <c r="T60" s="70" t="s">
        <v>29</v>
      </c>
    </row>
    <row r="61" spans="1:20" s="71" customFormat="1" ht="10.199999999999999" x14ac:dyDescent="0.2">
      <c r="A61" s="74"/>
      <c r="B61" s="75"/>
      <c r="C61" s="63"/>
      <c r="D61" s="76"/>
      <c r="E61" s="64"/>
      <c r="F61" s="68"/>
      <c r="G61" s="73"/>
      <c r="H61" s="75"/>
      <c r="I61" s="153"/>
      <c r="J61" s="66"/>
      <c r="K61" s="68"/>
      <c r="L61" s="79"/>
      <c r="M61" s="68"/>
      <c r="N61" s="68"/>
      <c r="O61" s="65"/>
      <c r="P61" s="68"/>
      <c r="Q61" s="68"/>
      <c r="R61" s="68"/>
      <c r="S61" s="69"/>
      <c r="T61" s="70"/>
    </row>
    <row r="62" spans="1:20" s="71" customFormat="1" ht="10.199999999999999" x14ac:dyDescent="0.2">
      <c r="A62" s="74">
        <v>17</v>
      </c>
      <c r="B62" s="75" t="s">
        <v>51</v>
      </c>
      <c r="C62" s="63">
        <v>4859240000</v>
      </c>
      <c r="D62" s="76" t="s">
        <v>23</v>
      </c>
      <c r="E62" s="64"/>
      <c r="F62" s="63">
        <v>4859240000</v>
      </c>
      <c r="G62" s="73">
        <f>F62/$F$77</f>
        <v>0.10047509397288892</v>
      </c>
      <c r="H62" s="151">
        <v>0.31030000000000002</v>
      </c>
      <c r="I62" s="152">
        <v>8.3699999999999997E-2</v>
      </c>
      <c r="J62" s="66">
        <f t="shared" si="3"/>
        <v>8.4097653655308031E-3</v>
      </c>
      <c r="K62" s="68">
        <f>1507820000</f>
        <v>1507820000</v>
      </c>
      <c r="L62" s="79">
        <f t="shared" si="2"/>
        <v>0.31029955301652112</v>
      </c>
      <c r="M62" s="67"/>
      <c r="N62" s="66">
        <f>M62/F62</f>
        <v>0</v>
      </c>
      <c r="O62" s="65">
        <f t="shared" si="1"/>
        <v>0</v>
      </c>
      <c r="P62" s="68">
        <f>H62-I62</f>
        <v>0.22660000000000002</v>
      </c>
      <c r="Q62" s="68">
        <f>F62-M62</f>
        <v>4859240000</v>
      </c>
      <c r="R62" s="68">
        <f>Q62/F62*100</f>
        <v>100</v>
      </c>
      <c r="S62" s="69"/>
      <c r="T62" s="70" t="s">
        <v>24</v>
      </c>
    </row>
    <row r="63" spans="1:20" s="71" customFormat="1" ht="10.199999999999999" x14ac:dyDescent="0.2">
      <c r="A63" s="74"/>
      <c r="B63" s="75"/>
      <c r="C63" s="63"/>
      <c r="D63" s="76"/>
      <c r="E63" s="64"/>
      <c r="F63" s="68"/>
      <c r="G63" s="73"/>
      <c r="H63" s="75"/>
      <c r="I63" s="68"/>
      <c r="J63" s="78"/>
      <c r="K63" s="68"/>
      <c r="L63" s="79"/>
      <c r="M63" s="68"/>
      <c r="N63" s="68"/>
      <c r="O63" s="65"/>
      <c r="P63" s="68"/>
      <c r="Q63" s="68"/>
      <c r="R63" s="68"/>
      <c r="S63" s="69"/>
      <c r="T63" s="80"/>
    </row>
    <row r="64" spans="1:20" s="71" customFormat="1" ht="10.199999999999999" x14ac:dyDescent="0.2">
      <c r="A64" s="74"/>
      <c r="B64" s="75"/>
      <c r="C64" s="63"/>
      <c r="D64" s="76"/>
      <c r="E64" s="64"/>
      <c r="F64" s="68"/>
      <c r="G64" s="73"/>
      <c r="H64" s="75"/>
      <c r="I64" s="68"/>
      <c r="J64" s="78"/>
      <c r="K64" s="68"/>
      <c r="L64" s="79"/>
      <c r="M64" s="68"/>
      <c r="N64" s="68"/>
      <c r="O64" s="65"/>
      <c r="P64" s="68"/>
      <c r="Q64" s="68"/>
      <c r="R64" s="68"/>
      <c r="S64" s="69"/>
      <c r="T64" s="80"/>
    </row>
    <row r="65" spans="1:20" s="71" customFormat="1" ht="10.199999999999999" x14ac:dyDescent="0.2">
      <c r="A65" s="74">
        <v>18</v>
      </c>
      <c r="B65" s="75" t="s">
        <v>52</v>
      </c>
      <c r="C65" s="117">
        <v>299200000</v>
      </c>
      <c r="D65" s="76" t="s">
        <v>23</v>
      </c>
      <c r="E65" s="64"/>
      <c r="F65" s="117">
        <v>299200000</v>
      </c>
      <c r="G65" s="73">
        <f>F65/$F$77</f>
        <v>6.1865946355167409E-3</v>
      </c>
      <c r="H65" s="151">
        <v>0.1646</v>
      </c>
      <c r="I65" s="152">
        <v>8.0000000000000002E-3</v>
      </c>
      <c r="J65" s="78">
        <f t="shared" si="3"/>
        <v>4.949275708413393E-5</v>
      </c>
      <c r="K65" s="68">
        <f>49237500</f>
        <v>49237500</v>
      </c>
      <c r="L65" s="79">
        <f t="shared" si="2"/>
        <v>0.16456383689839571</v>
      </c>
      <c r="M65" s="67"/>
      <c r="N65" s="66">
        <f>M65/F65</f>
        <v>0</v>
      </c>
      <c r="O65" s="65">
        <f t="shared" si="1"/>
        <v>0</v>
      </c>
      <c r="P65" s="68">
        <f>H65-I65</f>
        <v>0.15659999999999999</v>
      </c>
      <c r="Q65" s="68">
        <f>F65-M65</f>
        <v>299200000</v>
      </c>
      <c r="R65" s="68">
        <f>Q65/F65*100</f>
        <v>100</v>
      </c>
      <c r="S65" s="69"/>
      <c r="T65" s="70" t="s">
        <v>29</v>
      </c>
    </row>
    <row r="66" spans="1:20" s="71" customFormat="1" ht="10.199999999999999" x14ac:dyDescent="0.2">
      <c r="A66" s="74"/>
      <c r="B66" s="75"/>
      <c r="C66" s="63"/>
      <c r="D66" s="76"/>
      <c r="E66" s="64"/>
      <c r="F66" s="68"/>
      <c r="G66" s="73"/>
      <c r="H66" s="75"/>
      <c r="I66" s="68"/>
      <c r="J66" s="78"/>
      <c r="K66" s="68"/>
      <c r="L66" s="79"/>
      <c r="M66" s="68"/>
      <c r="N66" s="68"/>
      <c r="O66" s="65"/>
      <c r="P66" s="68"/>
      <c r="Q66" s="68"/>
      <c r="R66" s="68"/>
      <c r="S66" s="69"/>
      <c r="T66" s="80"/>
    </row>
    <row r="67" spans="1:20" s="71" customFormat="1" ht="10.199999999999999" x14ac:dyDescent="0.2">
      <c r="A67" s="74"/>
      <c r="B67" s="75"/>
      <c r="C67" s="63"/>
      <c r="D67" s="76"/>
      <c r="E67" s="64"/>
      <c r="F67" s="68"/>
      <c r="G67" s="73"/>
      <c r="H67" s="75"/>
      <c r="I67" s="68"/>
      <c r="J67" s="78"/>
      <c r="K67" s="68"/>
      <c r="L67" s="79"/>
      <c r="M67" s="68"/>
      <c r="N67" s="68"/>
      <c r="O67" s="65"/>
      <c r="P67" s="68"/>
      <c r="Q67" s="68"/>
      <c r="R67" s="68"/>
      <c r="S67" s="69"/>
      <c r="T67" s="80"/>
    </row>
    <row r="68" spans="1:20" s="71" customFormat="1" ht="10.199999999999999" x14ac:dyDescent="0.2">
      <c r="A68" s="74">
        <v>19</v>
      </c>
      <c r="B68" s="148" t="s">
        <v>53</v>
      </c>
      <c r="C68" s="63">
        <v>1899537148</v>
      </c>
      <c r="D68" s="76" t="s">
        <v>23</v>
      </c>
      <c r="E68" s="64"/>
      <c r="F68" s="63">
        <v>1899537148</v>
      </c>
      <c r="G68" s="73">
        <f>F68/$F$77</f>
        <v>3.9276959658360859E-2</v>
      </c>
      <c r="H68" s="151">
        <v>0.5</v>
      </c>
      <c r="I68" s="152">
        <v>0.2</v>
      </c>
      <c r="J68" s="78">
        <f t="shared" si="3"/>
        <v>7.8553919316721715E-3</v>
      </c>
      <c r="K68" s="68">
        <f>949768574</f>
        <v>949768574</v>
      </c>
      <c r="L68" s="79">
        <f t="shared" si="2"/>
        <v>0.5</v>
      </c>
      <c r="M68" s="67"/>
      <c r="N68" s="66">
        <f>M68/F68</f>
        <v>0</v>
      </c>
      <c r="O68" s="65">
        <f t="shared" si="1"/>
        <v>0</v>
      </c>
      <c r="P68" s="68">
        <f>H68-I68</f>
        <v>0.3</v>
      </c>
      <c r="Q68" s="68">
        <f>F68-M68</f>
        <v>1899537148</v>
      </c>
      <c r="R68" s="68">
        <f>Q68/F68*100</f>
        <v>100</v>
      </c>
      <c r="S68" s="69"/>
      <c r="T68" s="70" t="s">
        <v>24</v>
      </c>
    </row>
    <row r="69" spans="1:20" s="71" customFormat="1" ht="10.199999999999999" x14ac:dyDescent="0.2">
      <c r="A69" s="74"/>
      <c r="B69" s="75"/>
      <c r="C69" s="63"/>
      <c r="D69" s="76"/>
      <c r="E69" s="64"/>
      <c r="F69" s="68"/>
      <c r="G69" s="73"/>
      <c r="H69" s="68"/>
      <c r="I69" s="68"/>
      <c r="J69" s="78"/>
      <c r="K69" s="68"/>
      <c r="L69" s="79"/>
      <c r="M69" s="68"/>
      <c r="N69" s="68"/>
      <c r="O69" s="65"/>
      <c r="P69" s="68"/>
      <c r="Q69" s="68"/>
      <c r="R69" s="68"/>
      <c r="S69" s="69"/>
      <c r="T69" s="80"/>
    </row>
    <row r="70" spans="1:20" s="71" customFormat="1" ht="10.199999999999999" x14ac:dyDescent="0.2">
      <c r="A70" s="74">
        <v>20</v>
      </c>
      <c r="B70" s="75" t="s">
        <v>54</v>
      </c>
      <c r="C70" s="117">
        <v>1056000000</v>
      </c>
      <c r="D70" s="76" t="s">
        <v>23</v>
      </c>
      <c r="E70" s="64"/>
      <c r="F70" s="117">
        <v>1056000000</v>
      </c>
      <c r="G70" s="73">
        <f>F70/$F$77</f>
        <v>2.1835039890059086E-2</v>
      </c>
      <c r="H70" s="151">
        <v>0.2334</v>
      </c>
      <c r="I70" s="152">
        <v>0</v>
      </c>
      <c r="J70" s="78">
        <f t="shared" si="3"/>
        <v>0</v>
      </c>
      <c r="K70" s="68">
        <f>246500000</f>
        <v>246500000</v>
      </c>
      <c r="L70" s="79">
        <f t="shared" si="2"/>
        <v>0.2334280303030303</v>
      </c>
      <c r="M70" s="67"/>
      <c r="N70" s="66">
        <f>M70/F70</f>
        <v>0</v>
      </c>
      <c r="O70" s="65">
        <f t="shared" si="1"/>
        <v>0</v>
      </c>
      <c r="P70" s="68">
        <f>H70-I70</f>
        <v>0.2334</v>
      </c>
      <c r="Q70" s="68">
        <f>F70-M70</f>
        <v>1056000000</v>
      </c>
      <c r="R70" s="68">
        <f>Q70/F70*100</f>
        <v>100</v>
      </c>
      <c r="S70" s="69"/>
      <c r="T70" s="70" t="s">
        <v>29</v>
      </c>
    </row>
    <row r="71" spans="1:20" s="71" customFormat="1" ht="10.199999999999999" x14ac:dyDescent="0.2">
      <c r="A71" s="74"/>
      <c r="B71" s="75"/>
      <c r="C71" s="117"/>
      <c r="D71" s="76"/>
      <c r="E71" s="64"/>
      <c r="F71" s="68"/>
      <c r="G71" s="73"/>
      <c r="H71" s="68"/>
      <c r="I71" s="68"/>
      <c r="J71" s="78"/>
      <c r="K71" s="68"/>
      <c r="L71" s="79"/>
      <c r="M71" s="68"/>
      <c r="N71" s="68"/>
      <c r="O71" s="65"/>
      <c r="P71" s="68"/>
      <c r="Q71" s="68"/>
      <c r="R71" s="68"/>
      <c r="S71" s="69"/>
      <c r="T71" s="80"/>
    </row>
    <row r="72" spans="1:20" s="71" customFormat="1" ht="10.199999999999999" x14ac:dyDescent="0.2">
      <c r="A72" s="74">
        <v>21</v>
      </c>
      <c r="B72" s="75" t="s">
        <v>55</v>
      </c>
      <c r="C72" s="63">
        <v>42287500</v>
      </c>
      <c r="D72" s="76" t="s">
        <v>23</v>
      </c>
      <c r="E72" s="64"/>
      <c r="F72" s="63">
        <v>42287500</v>
      </c>
      <c r="G72" s="73">
        <f>F72/$F$77</f>
        <v>8.7438375885499388E-4</v>
      </c>
      <c r="H72" s="152">
        <v>0.25</v>
      </c>
      <c r="I72" s="152">
        <v>0</v>
      </c>
      <c r="J72" s="78">
        <f t="shared" si="3"/>
        <v>0</v>
      </c>
      <c r="K72" s="68">
        <f>10571875</f>
        <v>10571875</v>
      </c>
      <c r="L72" s="79">
        <f t="shared" si="2"/>
        <v>0.25</v>
      </c>
      <c r="M72" s="67"/>
      <c r="N72" s="66">
        <f>M72/F72</f>
        <v>0</v>
      </c>
      <c r="O72" s="65">
        <f t="shared" si="1"/>
        <v>0</v>
      </c>
      <c r="P72" s="68">
        <f>H72-I72</f>
        <v>0.25</v>
      </c>
      <c r="Q72" s="68">
        <f>F72-M72</f>
        <v>42287500</v>
      </c>
      <c r="R72" s="68">
        <f>Q72/F72*100</f>
        <v>100</v>
      </c>
      <c r="S72" s="69"/>
      <c r="T72" s="70" t="s">
        <v>29</v>
      </c>
    </row>
    <row r="73" spans="1:20" s="71" customFormat="1" ht="10.199999999999999" x14ac:dyDescent="0.2">
      <c r="A73" s="74"/>
      <c r="B73" s="75"/>
      <c r="C73" s="117"/>
      <c r="D73" s="76"/>
      <c r="E73" s="64"/>
      <c r="F73" s="68"/>
      <c r="G73" s="73"/>
      <c r="H73" s="68"/>
      <c r="I73" s="68"/>
      <c r="J73" s="78"/>
      <c r="K73" s="68"/>
      <c r="L73" s="79"/>
      <c r="M73" s="68"/>
      <c r="N73" s="68"/>
      <c r="O73" s="65"/>
      <c r="P73" s="68"/>
      <c r="Q73" s="68"/>
      <c r="R73" s="68"/>
      <c r="S73" s="69"/>
      <c r="T73" s="80"/>
    </row>
    <row r="74" spans="1:20" s="71" customFormat="1" ht="10.199999999999999" x14ac:dyDescent="0.2">
      <c r="A74" s="74">
        <v>22</v>
      </c>
      <c r="B74" s="75" t="s">
        <v>56</v>
      </c>
      <c r="C74" s="147">
        <v>709500000</v>
      </c>
      <c r="D74" s="76" t="s">
        <v>23</v>
      </c>
      <c r="E74" s="64"/>
      <c r="F74" s="147">
        <v>709500000</v>
      </c>
      <c r="G74" s="73">
        <f>F74/$F$77</f>
        <v>1.4670417426133448E-2</v>
      </c>
      <c r="H74" s="151">
        <v>2.47E-2</v>
      </c>
      <c r="I74" s="152">
        <v>0</v>
      </c>
      <c r="J74" s="78">
        <f t="shared" si="3"/>
        <v>0</v>
      </c>
      <c r="K74" s="68">
        <f>17500000</f>
        <v>17500000</v>
      </c>
      <c r="L74" s="79">
        <f>K74/F74</f>
        <v>2.4665257223396759E-2</v>
      </c>
      <c r="M74" s="67"/>
      <c r="N74" s="66">
        <f>M74/F74</f>
        <v>0</v>
      </c>
      <c r="O74" s="65">
        <f t="shared" si="1"/>
        <v>0</v>
      </c>
      <c r="P74" s="68">
        <f>H74-I74</f>
        <v>2.47E-2</v>
      </c>
      <c r="Q74" s="68">
        <f>F74-M74</f>
        <v>709500000</v>
      </c>
      <c r="R74" s="68">
        <f>Q74/F74*100</f>
        <v>100</v>
      </c>
      <c r="S74" s="69"/>
      <c r="T74" s="80" t="s">
        <v>24</v>
      </c>
    </row>
    <row r="75" spans="1:20" s="71" customFormat="1" ht="10.199999999999999" x14ac:dyDescent="0.2">
      <c r="A75" s="74"/>
      <c r="B75" s="75"/>
      <c r="C75" s="63"/>
      <c r="D75" s="76"/>
      <c r="E75" s="64"/>
      <c r="F75" s="68"/>
      <c r="G75" s="73"/>
      <c r="H75" s="68"/>
      <c r="I75" s="68"/>
      <c r="J75" s="78"/>
      <c r="K75" s="68"/>
      <c r="L75" s="79"/>
      <c r="M75" s="68"/>
      <c r="N75" s="66"/>
      <c r="O75" s="65"/>
      <c r="P75" s="68"/>
      <c r="Q75" s="68"/>
      <c r="R75" s="68"/>
      <c r="S75" s="69"/>
      <c r="T75" s="80"/>
    </row>
    <row r="76" spans="1:20" s="71" customFormat="1" ht="10.8" thickBot="1" x14ac:dyDescent="0.25">
      <c r="A76" s="118"/>
      <c r="B76" s="119"/>
      <c r="C76" s="120"/>
      <c r="D76" s="121"/>
      <c r="E76" s="122"/>
      <c r="F76" s="123"/>
      <c r="G76" s="123"/>
      <c r="H76" s="123"/>
      <c r="I76" s="123"/>
      <c r="J76" s="123"/>
      <c r="K76" s="123"/>
      <c r="L76" s="123"/>
      <c r="M76" s="123"/>
      <c r="N76" s="123"/>
      <c r="O76" s="65"/>
      <c r="P76" s="123"/>
      <c r="Q76" s="123"/>
      <c r="R76" s="123"/>
      <c r="S76" s="124"/>
      <c r="T76" s="125"/>
    </row>
    <row r="77" spans="1:20" s="139" customFormat="1" ht="22.5" customHeight="1" thickTop="1" thickBot="1" x14ac:dyDescent="0.35">
      <c r="A77" s="126"/>
      <c r="B77" s="127" t="s">
        <v>26</v>
      </c>
      <c r="C77" s="128">
        <f>SUM(C8:C74)</f>
        <v>48362732050</v>
      </c>
      <c r="D77" s="129"/>
      <c r="E77" s="130"/>
      <c r="F77" s="128">
        <f>SUM(F8:F76)</f>
        <v>48362632050</v>
      </c>
      <c r="G77" s="131">
        <f>SUM(G8:G75)</f>
        <v>0.99999999999999989</v>
      </c>
      <c r="H77" s="132">
        <f>SUM(H8:H76)/20%</f>
        <v>30.635499999999997</v>
      </c>
      <c r="I77" s="157">
        <f>SUM(I8:I76)/22%</f>
        <v>3.7607585538273773</v>
      </c>
      <c r="J77" s="133">
        <f>SUM(J8:J75)</f>
        <v>5.7285241247981254E-2</v>
      </c>
      <c r="K77" s="157">
        <f>SUM(K8:K75)</f>
        <v>5512413312</v>
      </c>
      <c r="L77" s="140">
        <f>K77/F77</f>
        <v>0.11398083764963325</v>
      </c>
      <c r="M77" s="134">
        <f>SUM(M8:M76)</f>
        <v>1850574983</v>
      </c>
      <c r="N77" s="135">
        <f>M77/F77</f>
        <v>3.8264563042945468E-2</v>
      </c>
      <c r="O77" s="136">
        <f>SUM(O8:O75)</f>
        <v>0.11214111710034605</v>
      </c>
      <c r="P77" s="132">
        <f>H77-I77</f>
        <v>26.874741446172621</v>
      </c>
      <c r="Q77" s="128">
        <f>SUM(Q8:Q76)</f>
        <v>46512057067</v>
      </c>
      <c r="R77" s="132">
        <f>Q77/F77*100</f>
        <v>96.173543695705462</v>
      </c>
      <c r="S77" s="137"/>
      <c r="T77" s="138"/>
    </row>
    <row r="78" spans="1:20" ht="15" thickTop="1" x14ac:dyDescent="0.3">
      <c r="I78" s="158"/>
      <c r="J78" s="17"/>
      <c r="K78" s="17"/>
    </row>
    <row r="79" spans="1:20" x14ac:dyDescent="0.3">
      <c r="F79" s="20"/>
      <c r="K79" s="159"/>
      <c r="N79" s="144"/>
    </row>
    <row r="80" spans="1:20" x14ac:dyDescent="0.3">
      <c r="F80" s="20"/>
      <c r="K80" s="159"/>
    </row>
    <row r="81" spans="1:18" x14ac:dyDescent="0.3">
      <c r="A81" s="1"/>
      <c r="B81" s="18"/>
      <c r="K81" s="158"/>
      <c r="M81" s="94"/>
      <c r="R81" s="19"/>
    </row>
    <row r="82" spans="1:18" x14ac:dyDescent="0.3">
      <c r="A82" s="1"/>
      <c r="B82" s="18"/>
      <c r="H82" s="159"/>
      <c r="K82" s="158"/>
      <c r="M82" s="20"/>
      <c r="R82" s="19"/>
    </row>
    <row r="83" spans="1:18" x14ac:dyDescent="0.3">
      <c r="M83" s="20"/>
      <c r="R83" s="19"/>
    </row>
    <row r="84" spans="1:18" x14ac:dyDescent="0.3">
      <c r="R84" s="19"/>
    </row>
    <row r="85" spans="1:18" x14ac:dyDescent="0.3">
      <c r="C85" s="20"/>
      <c r="M85" s="94"/>
      <c r="R85" s="19"/>
    </row>
    <row r="86" spans="1:18" x14ac:dyDescent="0.3">
      <c r="C86" s="20"/>
      <c r="M86" s="94"/>
      <c r="R86" s="19"/>
    </row>
    <row r="87" spans="1:18" x14ac:dyDescent="0.3">
      <c r="C87" s="20"/>
      <c r="M87" s="94"/>
      <c r="P87" s="143"/>
      <c r="R87" s="19"/>
    </row>
    <row r="88" spans="1:18" x14ac:dyDescent="0.3">
      <c r="C88" s="20"/>
      <c r="D88" s="21"/>
      <c r="M88" s="94"/>
      <c r="R88" s="22"/>
    </row>
    <row r="89" spans="1:18" x14ac:dyDescent="0.3">
      <c r="C89" s="20"/>
      <c r="R89" s="19"/>
    </row>
    <row r="129" spans="6:18" x14ac:dyDescent="0.3">
      <c r="H129"/>
      <c r="M129" s="23">
        <f>M77</f>
        <v>1850574983</v>
      </c>
      <c r="N129" s="23"/>
      <c r="O129" s="23"/>
    </row>
    <row r="130" spans="6:18" x14ac:dyDescent="0.3">
      <c r="H130"/>
      <c r="M130" s="23"/>
      <c r="N130" s="23"/>
      <c r="O130" s="23"/>
    </row>
    <row r="131" spans="6:18" x14ac:dyDescent="0.3">
      <c r="H131"/>
      <c r="I131" s="2" t="s">
        <v>27</v>
      </c>
      <c r="M131" s="23">
        <f>1280749067+1280749067+1788414170</f>
        <v>4349912304</v>
      </c>
      <c r="N131" s="23"/>
      <c r="O131" s="23"/>
    </row>
    <row r="132" spans="6:18" x14ac:dyDescent="0.3">
      <c r="H132"/>
      <c r="M132" s="23"/>
      <c r="N132" s="23"/>
      <c r="O132" s="23"/>
    </row>
    <row r="133" spans="6:18" x14ac:dyDescent="0.3">
      <c r="H133"/>
      <c r="M133" s="23">
        <f>M129-M131</f>
        <v>-2499337321</v>
      </c>
      <c r="N133" s="23"/>
      <c r="O133" s="23"/>
    </row>
    <row r="134" spans="6:18" x14ac:dyDescent="0.3">
      <c r="H134"/>
      <c r="M134" s="23"/>
      <c r="N134" s="23"/>
      <c r="O134" s="23"/>
    </row>
    <row r="135" spans="6:18" x14ac:dyDescent="0.3">
      <c r="I135" s="2" t="s">
        <v>28</v>
      </c>
      <c r="M135" s="23">
        <v>43051134725</v>
      </c>
      <c r="N135" s="23"/>
      <c r="O135" s="23"/>
    </row>
    <row r="136" spans="6:18" x14ac:dyDescent="0.3">
      <c r="M136" s="23"/>
      <c r="N136" s="23"/>
      <c r="O136" s="23"/>
    </row>
    <row r="137" spans="6:18" x14ac:dyDescent="0.3">
      <c r="F137" s="24"/>
      <c r="G137" s="24"/>
      <c r="M137" s="23">
        <f>M133-M135</f>
        <v>-45550472046</v>
      </c>
      <c r="N137" s="23"/>
      <c r="O137" s="23"/>
      <c r="Q137">
        <f>13765952+3178000</f>
        <v>16943952</v>
      </c>
    </row>
    <row r="138" spans="6:18" x14ac:dyDescent="0.3">
      <c r="F138" s="24"/>
      <c r="G138" s="24"/>
    </row>
    <row r="139" spans="6:18" x14ac:dyDescent="0.3">
      <c r="F139" s="24"/>
      <c r="G139" s="24"/>
      <c r="R139" s="25"/>
    </row>
    <row r="146" spans="4:19" x14ac:dyDescent="0.3">
      <c r="D146" s="26"/>
      <c r="F146" s="26"/>
      <c r="G146" s="26"/>
      <c r="M146" s="27"/>
      <c r="N146" s="27"/>
      <c r="O146" s="27"/>
      <c r="Q146" s="28"/>
    </row>
    <row r="147" spans="4:19" x14ac:dyDescent="0.3">
      <c r="D147" s="26"/>
      <c r="F147" s="26"/>
      <c r="G147" s="26"/>
      <c r="M147" s="27"/>
      <c r="N147" s="27"/>
      <c r="O147" s="27"/>
      <c r="Q147" s="28"/>
    </row>
    <row r="148" spans="4:19" x14ac:dyDescent="0.3">
      <c r="D148" s="26"/>
      <c r="F148" s="26"/>
      <c r="G148" s="26"/>
      <c r="M148" s="27"/>
      <c r="N148" s="27"/>
      <c r="O148" s="27"/>
      <c r="Q148" s="28"/>
    </row>
    <row r="149" spans="4:19" x14ac:dyDescent="0.3">
      <c r="D149" s="26"/>
      <c r="F149" s="26"/>
      <c r="G149" s="26"/>
      <c r="M149" s="27"/>
      <c r="N149" s="27"/>
      <c r="O149" s="27"/>
      <c r="Q149" s="28"/>
    </row>
    <row r="150" spans="4:19" x14ac:dyDescent="0.3">
      <c r="D150" s="26"/>
      <c r="F150" s="26"/>
      <c r="G150" s="26"/>
      <c r="M150" s="27"/>
      <c r="N150" s="27"/>
      <c r="O150" s="27"/>
      <c r="Q150" s="28"/>
    </row>
    <row r="151" spans="4:19" x14ac:dyDescent="0.3">
      <c r="D151" s="26"/>
      <c r="F151" s="26"/>
      <c r="G151" s="26"/>
      <c r="M151" s="27"/>
      <c r="N151" s="27"/>
      <c r="O151" s="27"/>
      <c r="Q151" s="28"/>
    </row>
    <row r="152" spans="4:19" x14ac:dyDescent="0.3">
      <c r="D152" s="26"/>
      <c r="F152" s="26"/>
      <c r="G152" s="26"/>
      <c r="M152" s="27"/>
      <c r="N152" s="27"/>
      <c r="O152" s="27"/>
      <c r="Q152" s="28"/>
    </row>
    <row r="153" spans="4:19" x14ac:dyDescent="0.3">
      <c r="D153" s="26"/>
      <c r="F153" s="26"/>
      <c r="G153" s="26"/>
      <c r="M153" s="27"/>
      <c r="N153" s="27"/>
      <c r="O153" s="27"/>
      <c r="Q153" s="28"/>
    </row>
    <row r="154" spans="4:19" x14ac:dyDescent="0.3">
      <c r="D154" s="29"/>
      <c r="E154" s="30"/>
      <c r="F154" s="29"/>
      <c r="G154" s="29"/>
      <c r="H154" s="31"/>
      <c r="I154" s="31"/>
      <c r="J154" s="31"/>
      <c r="K154" s="31"/>
      <c r="L154" s="31"/>
      <c r="M154" s="32"/>
      <c r="N154" s="32"/>
      <c r="O154" s="32"/>
      <c r="P154" s="30"/>
      <c r="Q154" s="33"/>
    </row>
    <row r="155" spans="4:19" x14ac:dyDescent="0.3">
      <c r="M155" s="34"/>
      <c r="N155" s="34"/>
      <c r="O155" s="34"/>
    </row>
    <row r="157" spans="4:19" x14ac:dyDescent="0.3">
      <c r="D157" s="26"/>
      <c r="F157" s="35"/>
      <c r="G157" s="35"/>
      <c r="M157" s="27"/>
      <c r="N157" s="27"/>
      <c r="O157" s="27"/>
      <c r="Q157" s="28"/>
      <c r="S157" s="34"/>
    </row>
    <row r="158" spans="4:19" x14ac:dyDescent="0.3">
      <c r="D158" s="26"/>
      <c r="F158" s="35"/>
      <c r="G158" s="35"/>
      <c r="M158" s="27"/>
      <c r="N158" s="27"/>
      <c r="O158" s="27"/>
      <c r="Q158" s="28"/>
      <c r="S158" s="34"/>
    </row>
    <row r="159" spans="4:19" x14ac:dyDescent="0.3">
      <c r="D159" s="26"/>
      <c r="F159" s="35"/>
      <c r="G159" s="35"/>
      <c r="M159" s="27"/>
      <c r="N159" s="27"/>
      <c r="O159" s="27"/>
      <c r="Q159" s="28"/>
      <c r="S159" s="34"/>
    </row>
    <row r="160" spans="4:19" x14ac:dyDescent="0.3">
      <c r="D160" s="26"/>
      <c r="F160" s="35"/>
      <c r="G160" s="35"/>
      <c r="M160" s="27"/>
      <c r="N160" s="27"/>
      <c r="O160" s="27"/>
      <c r="Q160" s="28"/>
      <c r="S160" s="34"/>
    </row>
    <row r="161" spans="4:19" x14ac:dyDescent="0.3">
      <c r="D161" s="26"/>
      <c r="F161" s="35"/>
      <c r="G161" s="35"/>
      <c r="M161" s="27"/>
      <c r="N161" s="27"/>
      <c r="O161" s="27"/>
      <c r="Q161" s="28"/>
      <c r="S161" s="34"/>
    </row>
    <row r="162" spans="4:19" x14ac:dyDescent="0.3">
      <c r="D162" s="26"/>
      <c r="F162" s="35"/>
      <c r="G162" s="35"/>
      <c r="M162" s="27"/>
      <c r="N162" s="27"/>
      <c r="O162" s="27"/>
      <c r="Q162" s="28"/>
      <c r="S162" s="34"/>
    </row>
    <row r="163" spans="4:19" x14ac:dyDescent="0.3">
      <c r="D163" s="26"/>
      <c r="F163" s="35"/>
      <c r="G163" s="35"/>
      <c r="M163" s="27"/>
      <c r="N163" s="27"/>
      <c r="O163" s="27"/>
      <c r="Q163" s="28"/>
      <c r="S163" s="34"/>
    </row>
    <row r="164" spans="4:19" x14ac:dyDescent="0.3">
      <c r="D164" s="26"/>
      <c r="F164" s="35"/>
      <c r="G164" s="35"/>
      <c r="M164" s="27"/>
      <c r="N164" s="27"/>
      <c r="O164" s="27"/>
      <c r="Q164" s="28"/>
      <c r="S164" s="34"/>
    </row>
    <row r="165" spans="4:19" x14ac:dyDescent="0.3">
      <c r="D165" s="29"/>
      <c r="E165" s="30"/>
      <c r="F165" s="36"/>
      <c r="G165" s="36"/>
      <c r="H165" s="31"/>
      <c r="I165" s="31"/>
      <c r="J165" s="31"/>
      <c r="K165" s="31"/>
      <c r="L165" s="31"/>
      <c r="M165" s="32"/>
      <c r="N165" s="32"/>
      <c r="O165" s="32"/>
      <c r="Q165" s="33"/>
      <c r="R165" s="30"/>
      <c r="S165" s="37"/>
    </row>
    <row r="166" spans="4:19" x14ac:dyDescent="0.3">
      <c r="M166" s="34"/>
      <c r="N166" s="34"/>
      <c r="O166" s="34"/>
    </row>
    <row r="167" spans="4:19" x14ac:dyDescent="0.3">
      <c r="H167"/>
      <c r="I167"/>
      <c r="J167"/>
      <c r="K167"/>
      <c r="L167"/>
      <c r="M167" s="34"/>
      <c r="N167" s="34"/>
      <c r="O167" s="34"/>
    </row>
  </sheetData>
  <mergeCells count="11">
    <mergeCell ref="I5:J5"/>
    <mergeCell ref="K5:L5"/>
    <mergeCell ref="M5:O5"/>
    <mergeCell ref="D6:E6"/>
    <mergeCell ref="A2:T2"/>
    <mergeCell ref="D4:E4"/>
    <mergeCell ref="F4:F5"/>
    <mergeCell ref="H4:J4"/>
    <mergeCell ref="K4:O4"/>
    <mergeCell ref="T4:T5"/>
    <mergeCell ref="D5:E5"/>
  </mergeCells>
  <pageMargins left="0" right="0" top="0.78740157480314965" bottom="0" header="0.19685039370078741" footer="0.11811023622047245"/>
  <pageSetup paperSize="5" scale="7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Keuangan</dc:creator>
  <cp:lastModifiedBy>Herdy Juniawan</cp:lastModifiedBy>
  <cp:lastPrinted>2022-01-06T04:44:09Z</cp:lastPrinted>
  <dcterms:created xsi:type="dcterms:W3CDTF">2021-02-15T03:02:41Z</dcterms:created>
  <dcterms:modified xsi:type="dcterms:W3CDTF">2024-11-21T04:54:50Z</dcterms:modified>
</cp:coreProperties>
</file>