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v8f\OneDrive\Desktop\CFA\Financial Modeling for 2024\1.1 Getting Started - Introduction Downloadable Files\"/>
    </mc:Choice>
  </mc:AlternateContent>
  <bookViews>
    <workbookView xWindow="1950" yWindow="1950" windowWidth="25410" windowHeight="12200" tabRatio="845" activeTab="4"/>
  </bookViews>
  <sheets>
    <sheet name="Cover" sheetId="22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4">Model!$B$2:$O$30,Model!$B$32:$O$71,Model!$B$73:$O$112,Model!$B$114:$O$146,Model!$B$148:$O$190,Model!$B$192:$O$213,Model!$B$215:$O$237,Model!$B$239:$O$271,Model!$B$273:$O$318,Model!$B$320:$O$343</definedName>
    <definedName name="_xlnm.Print_Area" localSheetId="3">Scenarios!$B$1:$K$36</definedName>
    <definedName name="_xlnm.Print_Area" localSheetId="1">Summary!$B$1:$Q$66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21" l="1"/>
  <c r="Y23" i="21"/>
  <c r="Y22" i="21"/>
  <c r="Z22" i="21"/>
  <c r="X22" i="21"/>
  <c r="Y21" i="21"/>
  <c r="Z21" i="21"/>
  <c r="X21" i="21"/>
  <c r="Z18" i="21"/>
  <c r="Y18" i="21"/>
  <c r="Y17" i="21"/>
  <c r="Z17" i="21"/>
  <c r="X17" i="21"/>
  <c r="Y16" i="21"/>
  <c r="Z16" i="21"/>
  <c r="X16" i="21"/>
  <c r="Z13" i="21"/>
  <c r="Y13" i="21"/>
  <c r="Z12" i="21"/>
  <c r="Y12" i="21"/>
  <c r="X12" i="21"/>
  <c r="J187" i="6"/>
  <c r="J185" i="6"/>
  <c r="L183" i="6"/>
  <c r="M183" i="6"/>
  <c r="N183" i="6"/>
  <c r="O183" i="6"/>
  <c r="K183" i="6"/>
  <c r="J179" i="6"/>
  <c r="L178" i="6"/>
  <c r="M178" i="6"/>
  <c r="N178" i="6"/>
  <c r="O178" i="6"/>
  <c r="K178" i="6"/>
  <c r="J168" i="6"/>
  <c r="J166" i="6"/>
  <c r="L165" i="6"/>
  <c r="M165" i="6" s="1"/>
  <c r="N165" i="6" s="1"/>
  <c r="O165" i="6" s="1"/>
  <c r="K165" i="6"/>
  <c r="J162" i="6"/>
  <c r="J111" i="6"/>
  <c r="H145" i="6"/>
  <c r="J144" i="6"/>
  <c r="K289" i="6"/>
  <c r="J302" i="6" l="1"/>
  <c r="K144" i="6"/>
  <c r="L138" i="6"/>
  <c r="M138" i="6"/>
  <c r="N138" i="6"/>
  <c r="O138" i="6"/>
  <c r="K138" i="6"/>
  <c r="L137" i="6"/>
  <c r="M137" i="6"/>
  <c r="N137" i="6"/>
  <c r="O137" i="6"/>
  <c r="K137" i="6"/>
  <c r="I110" i="6"/>
  <c r="J110" i="6"/>
  <c r="I109" i="6"/>
  <c r="J109" i="6"/>
  <c r="L296" i="6"/>
  <c r="M296" i="6"/>
  <c r="N296" i="6"/>
  <c r="O296" i="6"/>
  <c r="K296" i="6"/>
  <c r="K339" i="6"/>
  <c r="J342" i="6"/>
  <c r="M333" i="6"/>
  <c r="N333" i="6"/>
  <c r="O333" i="6"/>
  <c r="L333" i="6"/>
  <c r="K333" i="6"/>
  <c r="L330" i="6"/>
  <c r="M330" i="6"/>
  <c r="N330" i="6"/>
  <c r="O330" i="6"/>
  <c r="K330" i="6"/>
  <c r="K331" i="6"/>
  <c r="L329" i="6" s="1"/>
  <c r="L331" i="6" s="1"/>
  <c r="M329" i="6" s="1"/>
  <c r="M331" i="6" s="1"/>
  <c r="N329" i="6" s="1"/>
  <c r="N331" i="6" s="1"/>
  <c r="O329" i="6" s="1"/>
  <c r="K329" i="6"/>
  <c r="J331" i="6"/>
  <c r="K305" i="6"/>
  <c r="M304" i="6"/>
  <c r="N304" i="6"/>
  <c r="O304" i="6"/>
  <c r="L304" i="6"/>
  <c r="K304" i="6"/>
  <c r="K300" i="6"/>
  <c r="L295" i="6"/>
  <c r="M295" i="6"/>
  <c r="N295" i="6"/>
  <c r="O295" i="6"/>
  <c r="K295" i="6"/>
  <c r="L294" i="6"/>
  <c r="M294" i="6"/>
  <c r="N294" i="6"/>
  <c r="O294" i="6"/>
  <c r="K294" i="6"/>
  <c r="L314" i="6"/>
  <c r="M314" i="6"/>
  <c r="N314" i="6"/>
  <c r="O314" i="6"/>
  <c r="K314" i="6"/>
  <c r="M313" i="6"/>
  <c r="N313" i="6"/>
  <c r="O313" i="6"/>
  <c r="L313" i="6"/>
  <c r="K313" i="6"/>
  <c r="L311" i="6"/>
  <c r="K311" i="6"/>
  <c r="L309" i="6" s="1"/>
  <c r="L310" i="6"/>
  <c r="M310" i="6"/>
  <c r="N310" i="6"/>
  <c r="O310" i="6"/>
  <c r="K310" i="6"/>
  <c r="M309" i="6"/>
  <c r="M311" i="6" s="1"/>
  <c r="N309" i="6" s="1"/>
  <c r="N311" i="6" s="1"/>
  <c r="O309" i="6" s="1"/>
  <c r="O311" i="6" s="1"/>
  <c r="K309" i="6"/>
  <c r="J311" i="6"/>
  <c r="M288" i="6"/>
  <c r="N288" i="6"/>
  <c r="O288" i="6"/>
  <c r="L288" i="6"/>
  <c r="K288" i="6"/>
  <c r="K284" i="6"/>
  <c r="L259" i="6"/>
  <c r="J286" i="6"/>
  <c r="J270" i="6"/>
  <c r="J268" i="6"/>
  <c r="I268" i="6"/>
  <c r="L254" i="6"/>
  <c r="M254" i="6"/>
  <c r="N254" i="6"/>
  <c r="O254" i="6"/>
  <c r="L255" i="6"/>
  <c r="M255" i="6"/>
  <c r="N255" i="6"/>
  <c r="O255" i="6"/>
  <c r="L256" i="6"/>
  <c r="M256" i="6"/>
  <c r="N256" i="6"/>
  <c r="O256" i="6"/>
  <c r="L257" i="6"/>
  <c r="M257" i="6"/>
  <c r="N257" i="6"/>
  <c r="O257" i="6"/>
  <c r="L258" i="6"/>
  <c r="M258" i="6"/>
  <c r="N258" i="6"/>
  <c r="O258" i="6"/>
  <c r="M259" i="6"/>
  <c r="N259" i="6"/>
  <c r="O259" i="6"/>
  <c r="K255" i="6"/>
  <c r="K256" i="6"/>
  <c r="K257" i="6"/>
  <c r="K258" i="6"/>
  <c r="K259" i="6"/>
  <c r="K254" i="6"/>
  <c r="I256" i="6"/>
  <c r="J256" i="6"/>
  <c r="I257" i="6"/>
  <c r="J257" i="6"/>
  <c r="I258" i="6"/>
  <c r="J258" i="6"/>
  <c r="I259" i="6"/>
  <c r="J259" i="6"/>
  <c r="J255" i="6"/>
  <c r="I255" i="6"/>
  <c r="J254" i="6"/>
  <c r="I254" i="6"/>
  <c r="I266" i="6"/>
  <c r="J266" i="6"/>
  <c r="I267" i="6"/>
  <c r="J267" i="6"/>
  <c r="J247" i="6"/>
  <c r="K247" i="6"/>
  <c r="L247" i="6"/>
  <c r="M247" i="6"/>
  <c r="N247" i="6"/>
  <c r="O247" i="6"/>
  <c r="I247" i="6"/>
  <c r="I262" i="6"/>
  <c r="J262" i="6"/>
  <c r="I263" i="6"/>
  <c r="J263" i="6"/>
  <c r="I264" i="6"/>
  <c r="J264" i="6"/>
  <c r="I265" i="6"/>
  <c r="J265" i="6"/>
  <c r="I251" i="6"/>
  <c r="J251" i="6"/>
  <c r="I250" i="6"/>
  <c r="J250" i="6"/>
  <c r="D229" i="6"/>
  <c r="L226" i="6"/>
  <c r="M226" i="6"/>
  <c r="N226" i="6"/>
  <c r="O226" i="6"/>
  <c r="K226" i="6"/>
  <c r="E221" i="6"/>
  <c r="K132" i="6"/>
  <c r="L132" i="6"/>
  <c r="M132" i="6"/>
  <c r="N132" i="6"/>
  <c r="O132" i="6"/>
  <c r="L131" i="6"/>
  <c r="M131" i="6"/>
  <c r="N131" i="6"/>
  <c r="O131" i="6"/>
  <c r="K131" i="6"/>
  <c r="F201" i="6"/>
  <c r="H12" i="7"/>
  <c r="I12" i="7"/>
  <c r="L130" i="6"/>
  <c r="M130" i="6"/>
  <c r="N130" i="6"/>
  <c r="O130" i="6"/>
  <c r="K130" i="6"/>
  <c r="F200" i="6"/>
  <c r="N203" i="6" s="1"/>
  <c r="L92" i="6"/>
  <c r="M92" i="6"/>
  <c r="N92" i="6"/>
  <c r="O92" i="6"/>
  <c r="K92" i="6"/>
  <c r="K89" i="6"/>
  <c r="J27" i="6"/>
  <c r="K12" i="7"/>
  <c r="O12" i="6" s="1"/>
  <c r="O41" i="6" s="1"/>
  <c r="J12" i="7"/>
  <c r="N12" i="6" s="1"/>
  <c r="N41" i="6" s="1"/>
  <c r="G12" i="7"/>
  <c r="K12" i="6" s="1"/>
  <c r="K13" i="6" s="1"/>
  <c r="K66" i="6"/>
  <c r="K67" i="6"/>
  <c r="K65" i="6"/>
  <c r="K46" i="6"/>
  <c r="K45" i="6"/>
  <c r="O2" i="6"/>
  <c r="J28" i="6"/>
  <c r="L18" i="6"/>
  <c r="M18" i="6"/>
  <c r="N18" i="6"/>
  <c r="O18" i="6"/>
  <c r="K18" i="6"/>
  <c r="K30" i="7"/>
  <c r="O20" i="6" s="1"/>
  <c r="J30" i="7"/>
  <c r="N20" i="6" s="1"/>
  <c r="I30" i="7"/>
  <c r="M20" i="6" s="1"/>
  <c r="H30" i="7"/>
  <c r="L20" i="6" s="1"/>
  <c r="G30" i="7"/>
  <c r="K20" i="6" s="1"/>
  <c r="G23" i="7"/>
  <c r="K11" i="6" s="1"/>
  <c r="K23" i="7"/>
  <c r="O11" i="6" s="1"/>
  <c r="J23" i="7"/>
  <c r="N11" i="6" s="1"/>
  <c r="I23" i="7"/>
  <c r="H23" i="7"/>
  <c r="L11" i="6" s="1"/>
  <c r="L12" i="6" l="1"/>
  <c r="L41" i="6" s="1"/>
  <c r="L89" i="6" s="1"/>
  <c r="O320" i="6"/>
  <c r="O192" i="6"/>
  <c r="O32" i="6"/>
  <c r="O148" i="6"/>
  <c r="O239" i="6"/>
  <c r="O114" i="6"/>
  <c r="O215" i="6"/>
  <c r="O73" i="6"/>
  <c r="O273" i="6"/>
  <c r="O331" i="6"/>
  <c r="M11" i="6"/>
  <c r="K47" i="6"/>
  <c r="J29" i="6"/>
  <c r="K68" i="6"/>
  <c r="L203" i="6"/>
  <c r="O203" i="6"/>
  <c r="M203" i="6"/>
  <c r="K203" i="6"/>
  <c r="K14" i="6"/>
  <c r="L66" i="6"/>
  <c r="H27" i="7"/>
  <c r="I27" i="7"/>
  <c r="J27" i="7"/>
  <c r="K27" i="7"/>
  <c r="G27" i="7"/>
  <c r="H26" i="7"/>
  <c r="I26" i="7"/>
  <c r="J26" i="7"/>
  <c r="K26" i="7"/>
  <c r="G26" i="7"/>
  <c r="A26" i="7"/>
  <c r="A27" i="7"/>
  <c r="B1" i="2"/>
  <c r="B13" i="22"/>
  <c r="E26" i="2"/>
  <c r="L13" i="6" l="1"/>
  <c r="L14" i="6" s="1"/>
  <c r="L45" i="6"/>
  <c r="L46" i="6"/>
  <c r="L67" i="6"/>
  <c r="L65" i="6"/>
  <c r="L47" i="6"/>
  <c r="B1" i="21"/>
  <c r="L68" i="6" l="1"/>
  <c r="B44" i="2"/>
  <c r="I166" i="6"/>
  <c r="H166" i="6"/>
  <c r="I185" i="6"/>
  <c r="H185" i="6"/>
  <c r="I179" i="6"/>
  <c r="H179" i="6"/>
  <c r="I175" i="6"/>
  <c r="H175" i="6"/>
  <c r="I162" i="6"/>
  <c r="I168" i="6" s="1"/>
  <c r="H162" i="6"/>
  <c r="H168" i="6" s="1"/>
  <c r="J140" i="6"/>
  <c r="I140" i="6"/>
  <c r="H140" i="6"/>
  <c r="J86" i="6"/>
  <c r="I86" i="6"/>
  <c r="H86" i="6"/>
  <c r="D232" i="6"/>
  <c r="J175" i="6"/>
  <c r="J132" i="6"/>
  <c r="I132" i="6"/>
  <c r="H132" i="6"/>
  <c r="J103" i="6"/>
  <c r="I103" i="6"/>
  <c r="H103" i="6"/>
  <c r="J14" i="6"/>
  <c r="J21" i="6" s="1"/>
  <c r="J9" i="2"/>
  <c r="J48" i="2"/>
  <c r="K48" i="2" s="1"/>
  <c r="L48" i="2" s="1"/>
  <c r="M48" i="2" s="1"/>
  <c r="N48" i="2" s="1"/>
  <c r="B1" i="7"/>
  <c r="G6" i="7"/>
  <c r="H6" i="7" s="1"/>
  <c r="J8" i="2"/>
  <c r="C14" i="7"/>
  <c r="C32" i="7" s="1"/>
  <c r="C15" i="7"/>
  <c r="C33" i="7" s="1"/>
  <c r="C16" i="7"/>
  <c r="C34" i="7" s="1"/>
  <c r="H90" i="6"/>
  <c r="I90" i="6"/>
  <c r="I126" i="6"/>
  <c r="H126" i="6"/>
  <c r="J90" i="6"/>
  <c r="J126" i="6"/>
  <c r="T5" i="21"/>
  <c r="I143" i="6"/>
  <c r="B3" i="6" l="1"/>
  <c r="B33" i="6" s="1"/>
  <c r="J40" i="6"/>
  <c r="J81" i="6"/>
  <c r="K21" i="6"/>
  <c r="H181" i="6"/>
  <c r="H187" i="6" s="1"/>
  <c r="H189" i="6" s="1"/>
  <c r="I93" i="6"/>
  <c r="I96" i="6" s="1"/>
  <c r="J143" i="6"/>
  <c r="J93" i="6"/>
  <c r="J96" i="6" s="1"/>
  <c r="J181" i="6"/>
  <c r="H143" i="6"/>
  <c r="I144" i="6" s="1"/>
  <c r="I145" i="6" s="1"/>
  <c r="J145" i="6" s="1"/>
  <c r="H93" i="6"/>
  <c r="H109" i="6" s="1"/>
  <c r="I181" i="6"/>
  <c r="I187" i="6" s="1"/>
  <c r="I189" i="6" s="1"/>
  <c r="L8" i="6"/>
  <c r="I6" i="7"/>
  <c r="J6" i="7" s="1"/>
  <c r="K6" i="7" s="1"/>
  <c r="O8" i="6" s="1"/>
  <c r="K8" i="6"/>
  <c r="N8" i="6"/>
  <c r="C25" i="7"/>
  <c r="M8" i="6"/>
  <c r="B216" i="6"/>
  <c r="B149" i="6"/>
  <c r="B240" i="6"/>
  <c r="B321" i="6"/>
  <c r="B193" i="6"/>
  <c r="B74" i="6"/>
  <c r="B274" i="6"/>
  <c r="B115" i="6"/>
  <c r="K27" i="6" l="1"/>
  <c r="L21" i="6"/>
  <c r="K28" i="6"/>
  <c r="K85" i="6" s="1"/>
  <c r="K23" i="6"/>
  <c r="K81" i="6"/>
  <c r="K40" i="6"/>
  <c r="N154" i="6"/>
  <c r="N38" i="6"/>
  <c r="J8" i="6"/>
  <c r="J38" i="6" s="1"/>
  <c r="K38" i="6"/>
  <c r="M120" i="6"/>
  <c r="M38" i="6"/>
  <c r="O326" i="6"/>
  <c r="O38" i="6"/>
  <c r="L198" i="6"/>
  <c r="L38" i="6"/>
  <c r="I99" i="6"/>
  <c r="I105" i="6" s="1"/>
  <c r="J189" i="6"/>
  <c r="L154" i="6"/>
  <c r="H96" i="6"/>
  <c r="H110" i="6" s="1"/>
  <c r="J99" i="6"/>
  <c r="J105" i="6" s="1"/>
  <c r="L245" i="6"/>
  <c r="L326" i="6"/>
  <c r="L221" i="6"/>
  <c r="L120" i="6"/>
  <c r="AB7" i="21"/>
  <c r="L7" i="21" s="1"/>
  <c r="L28" i="21" s="1"/>
  <c r="L49" i="21" s="1"/>
  <c r="N279" i="6"/>
  <c r="K279" i="6"/>
  <c r="K221" i="6"/>
  <c r="M198" i="6"/>
  <c r="K198" i="6"/>
  <c r="N198" i="6"/>
  <c r="K245" i="6"/>
  <c r="L79" i="6"/>
  <c r="L279" i="6"/>
  <c r="AD7" i="21"/>
  <c r="N7" i="21" s="1"/>
  <c r="N28" i="21" s="1"/>
  <c r="N49" i="21" s="1"/>
  <c r="N120" i="6"/>
  <c r="K326" i="6"/>
  <c r="O245" i="6"/>
  <c r="N245" i="6"/>
  <c r="O79" i="6"/>
  <c r="K79" i="6"/>
  <c r="K120" i="6"/>
  <c r="N79" i="6"/>
  <c r="N221" i="6"/>
  <c r="K154" i="6"/>
  <c r="AA7" i="21"/>
  <c r="K7" i="21" s="1"/>
  <c r="K28" i="21" s="1"/>
  <c r="K49" i="21" s="1"/>
  <c r="M279" i="6"/>
  <c r="AE7" i="21"/>
  <c r="O7" i="21" s="1"/>
  <c r="O28" i="21" s="1"/>
  <c r="O49" i="21" s="1"/>
  <c r="E17" i="2"/>
  <c r="O154" i="6"/>
  <c r="O198" i="6"/>
  <c r="O221" i="6"/>
  <c r="N326" i="6"/>
  <c r="O279" i="6"/>
  <c r="O120" i="6"/>
  <c r="AC7" i="21"/>
  <c r="M7" i="21" s="1"/>
  <c r="M28" i="21" s="1"/>
  <c r="M49" i="21" s="1"/>
  <c r="M326" i="6"/>
  <c r="M245" i="6"/>
  <c r="M221" i="6"/>
  <c r="M154" i="6"/>
  <c r="M79" i="6"/>
  <c r="J154" i="6"/>
  <c r="D210" i="6" l="1"/>
  <c r="E210" i="6" s="1"/>
  <c r="O210" i="6" s="1"/>
  <c r="D209" i="6"/>
  <c r="E209" i="6" s="1"/>
  <c r="N209" i="6" s="1"/>
  <c r="D207" i="6"/>
  <c r="E207" i="6" s="1"/>
  <c r="L207" i="6" s="1"/>
  <c r="L210" i="6"/>
  <c r="L209" i="6"/>
  <c r="D206" i="6"/>
  <c r="E206" i="6" s="1"/>
  <c r="K206" i="6" s="1"/>
  <c r="K210" i="6"/>
  <c r="K209" i="6"/>
  <c r="D208" i="6"/>
  <c r="E208" i="6" s="1"/>
  <c r="M210" i="6"/>
  <c r="M209" i="6"/>
  <c r="J198" i="6"/>
  <c r="J326" i="6"/>
  <c r="J120" i="6"/>
  <c r="K50" i="6"/>
  <c r="K52" i="6"/>
  <c r="K51" i="6"/>
  <c r="K60" i="6"/>
  <c r="K61" i="6"/>
  <c r="L81" i="6"/>
  <c r="L23" i="6"/>
  <c r="M21" i="6"/>
  <c r="L27" i="6"/>
  <c r="L28" i="6"/>
  <c r="L85" i="6" s="1"/>
  <c r="L40" i="6"/>
  <c r="K84" i="6"/>
  <c r="K86" i="6" s="1"/>
  <c r="AA12" i="21" s="1"/>
  <c r="AA13" i="21" s="1"/>
  <c r="K29" i="6"/>
  <c r="J79" i="6"/>
  <c r="I8" i="6"/>
  <c r="I38" i="6" s="1"/>
  <c r="J279" i="6"/>
  <c r="Z7" i="21"/>
  <c r="J7" i="21" s="1"/>
  <c r="J28" i="21" s="1"/>
  <c r="J49" i="21" s="1"/>
  <c r="J245" i="6"/>
  <c r="H99" i="6"/>
  <c r="H105" i="6" s="1"/>
  <c r="K250" i="6" l="1"/>
  <c r="K262" i="6" s="1"/>
  <c r="K158" i="6" s="1"/>
  <c r="I245" i="6"/>
  <c r="N210" i="6"/>
  <c r="K207" i="6"/>
  <c r="M207" i="6" s="1"/>
  <c r="N207" i="6" s="1"/>
  <c r="O207" i="6" s="1"/>
  <c r="K208" i="6"/>
  <c r="M208" i="6"/>
  <c r="O209" i="6"/>
  <c r="L206" i="6"/>
  <c r="M206" i="6" s="1"/>
  <c r="L208" i="6"/>
  <c r="K62" i="6"/>
  <c r="K70" i="6" s="1"/>
  <c r="K88" i="6" s="1"/>
  <c r="I154" i="6"/>
  <c r="L61" i="6"/>
  <c r="L52" i="6"/>
  <c r="L60" i="6"/>
  <c r="L51" i="6"/>
  <c r="L50" i="6"/>
  <c r="Y7" i="21"/>
  <c r="I7" i="21" s="1"/>
  <c r="I28" i="21" s="1"/>
  <c r="I49" i="21" s="1"/>
  <c r="H8" i="6"/>
  <c r="H38" i="6" s="1"/>
  <c r="L84" i="6"/>
  <c r="L86" i="6" s="1"/>
  <c r="AB12" i="21" s="1"/>
  <c r="AB13" i="21" s="1"/>
  <c r="L29" i="6"/>
  <c r="K53" i="6"/>
  <c r="K55" i="6" s="1"/>
  <c r="I79" i="6"/>
  <c r="I198" i="6"/>
  <c r="I120" i="6"/>
  <c r="M23" i="6"/>
  <c r="M27" i="6"/>
  <c r="M84" i="6" s="1"/>
  <c r="M81" i="6"/>
  <c r="N21" i="6"/>
  <c r="M40" i="6"/>
  <c r="X7" i="21"/>
  <c r="H7" i="21" s="1"/>
  <c r="H28" i="21" s="1"/>
  <c r="H49" i="21" s="1"/>
  <c r="L250" i="6" l="1"/>
  <c r="L262" i="6" s="1"/>
  <c r="L158" i="6" s="1"/>
  <c r="K90" i="6"/>
  <c r="K93" i="6" s="1"/>
  <c r="K251" i="6"/>
  <c r="K212" i="6"/>
  <c r="K95" i="6" s="1"/>
  <c r="N208" i="6"/>
  <c r="O208" i="6" s="1"/>
  <c r="N206" i="6"/>
  <c r="O206" i="6" s="1"/>
  <c r="L62" i="6"/>
  <c r="L70" i="6" s="1"/>
  <c r="L88" i="6" s="1"/>
  <c r="H79" i="6"/>
  <c r="N23" i="6"/>
  <c r="N81" i="6"/>
  <c r="N27" i="6"/>
  <c r="N84" i="6" s="1"/>
  <c r="N40" i="6"/>
  <c r="O21" i="6"/>
  <c r="H198" i="6"/>
  <c r="H245" i="6"/>
  <c r="H120" i="6"/>
  <c r="H154" i="6"/>
  <c r="L53" i="6"/>
  <c r="L55" i="6" s="1"/>
  <c r="K109" i="6" l="1"/>
  <c r="AA16" i="21"/>
  <c r="K265" i="6"/>
  <c r="K161" i="6" s="1"/>
  <c r="K266" i="6"/>
  <c r="K173" i="6" s="1"/>
  <c r="K267" i="6"/>
  <c r="K174" i="6" s="1"/>
  <c r="K264" i="6"/>
  <c r="K160" i="6" s="1"/>
  <c r="K263" i="6"/>
  <c r="K159" i="6" s="1"/>
  <c r="L90" i="6"/>
  <c r="L93" i="6" s="1"/>
  <c r="L251" i="6"/>
  <c r="K96" i="6"/>
  <c r="K123" i="6"/>
  <c r="K164" i="6" s="1"/>
  <c r="O23" i="6"/>
  <c r="O81" i="6"/>
  <c r="O27" i="6"/>
  <c r="O84" i="6" s="1"/>
  <c r="O40" i="6"/>
  <c r="AA17" i="21" l="1"/>
  <c r="AA18" i="21"/>
  <c r="L109" i="6"/>
  <c r="AB16" i="21"/>
  <c r="K166" i="6"/>
  <c r="K268" i="6"/>
  <c r="K270" i="6" s="1"/>
  <c r="K125" i="6" s="1"/>
  <c r="L265" i="6"/>
  <c r="L161" i="6" s="1"/>
  <c r="L266" i="6"/>
  <c r="L173" i="6" s="1"/>
  <c r="L263" i="6"/>
  <c r="L159" i="6" s="1"/>
  <c r="L267" i="6"/>
  <c r="L174" i="6" s="1"/>
  <c r="L264" i="6"/>
  <c r="L160" i="6" s="1"/>
  <c r="K110" i="6"/>
  <c r="M12" i="6"/>
  <c r="M41" i="6" s="1"/>
  <c r="AB18" i="21" l="1"/>
  <c r="AB17" i="21"/>
  <c r="L268" i="6"/>
  <c r="L270" i="6" s="1"/>
  <c r="L125" i="6" s="1"/>
  <c r="M89" i="6"/>
  <c r="N89" i="6" s="1"/>
  <c r="O89" i="6" s="1"/>
  <c r="M67" i="6"/>
  <c r="M65" i="6"/>
  <c r="M66" i="6"/>
  <c r="M13" i="6"/>
  <c r="N66" i="6" l="1"/>
  <c r="M51" i="6"/>
  <c r="N65" i="6"/>
  <c r="M68" i="6"/>
  <c r="M50" i="6"/>
  <c r="N67" i="6"/>
  <c r="M52" i="6"/>
  <c r="M14" i="6"/>
  <c r="M28" i="6"/>
  <c r="N13" i="6"/>
  <c r="M45" i="6"/>
  <c r="M60" i="6" s="1"/>
  <c r="M46" i="6"/>
  <c r="O65" i="6" l="1"/>
  <c r="N68" i="6"/>
  <c r="N50" i="6"/>
  <c r="O67" i="6"/>
  <c r="O52" i="6" s="1"/>
  <c r="N52" i="6"/>
  <c r="M53" i="6"/>
  <c r="O66" i="6"/>
  <c r="O51" i="6" s="1"/>
  <c r="N51" i="6"/>
  <c r="M29" i="6"/>
  <c r="M85" i="6"/>
  <c r="M86" i="6" s="1"/>
  <c r="AC12" i="21" s="1"/>
  <c r="AC13" i="21" s="1"/>
  <c r="N14" i="6"/>
  <c r="N28" i="6"/>
  <c r="N46" i="6"/>
  <c r="M61" i="6"/>
  <c r="M62" i="6" s="1"/>
  <c r="M70" i="6" s="1"/>
  <c r="M88" i="6" s="1"/>
  <c r="O13" i="6"/>
  <c r="N45" i="6"/>
  <c r="N60" i="6" s="1"/>
  <c r="M47" i="6"/>
  <c r="M250" i="6" l="1"/>
  <c r="M262" i="6" s="1"/>
  <c r="M158" i="6" s="1"/>
  <c r="M90" i="6"/>
  <c r="M93" i="6" s="1"/>
  <c r="M251" i="6"/>
  <c r="M55" i="6"/>
  <c r="N53" i="6"/>
  <c r="O68" i="6"/>
  <c r="O50" i="6"/>
  <c r="O53" i="6" s="1"/>
  <c r="N29" i="6"/>
  <c r="N85" i="6"/>
  <c r="N86" i="6" s="1"/>
  <c r="AD12" i="21" s="1"/>
  <c r="AD13" i="21" s="1"/>
  <c r="O14" i="6"/>
  <c r="O28" i="6"/>
  <c r="O46" i="6"/>
  <c r="O61" i="6" s="1"/>
  <c r="N61" i="6"/>
  <c r="N62" i="6" s="1"/>
  <c r="N70" i="6" s="1"/>
  <c r="N88" i="6" s="1"/>
  <c r="O45" i="6"/>
  <c r="N47" i="6"/>
  <c r="M109" i="6" l="1"/>
  <c r="AC16" i="21"/>
  <c r="N250" i="6"/>
  <c r="N262" i="6" s="1"/>
  <c r="N158" i="6" s="1"/>
  <c r="M263" i="6"/>
  <c r="M159" i="6" s="1"/>
  <c r="M264" i="6"/>
  <c r="M160" i="6" s="1"/>
  <c r="M265" i="6"/>
  <c r="M161" i="6" s="1"/>
  <c r="M266" i="6"/>
  <c r="M173" i="6" s="1"/>
  <c r="M267" i="6"/>
  <c r="M174" i="6" s="1"/>
  <c r="N90" i="6"/>
  <c r="N93" i="6" s="1"/>
  <c r="N251" i="6"/>
  <c r="N55" i="6"/>
  <c r="O29" i="6"/>
  <c r="O85" i="6"/>
  <c r="O86" i="6" s="1"/>
  <c r="AE12" i="21" s="1"/>
  <c r="O47" i="6"/>
  <c r="O55" i="6" s="1"/>
  <c r="O60" i="6"/>
  <c r="O62" i="6" s="1"/>
  <c r="O70" i="6" s="1"/>
  <c r="O88" i="6" s="1"/>
  <c r="L212" i="6"/>
  <c r="L95" i="6" s="1"/>
  <c r="N212" i="6"/>
  <c r="N95" i="6" s="1"/>
  <c r="N123" i="6" s="1"/>
  <c r="O212" i="6"/>
  <c r="O95" i="6" s="1"/>
  <c r="O123" i="6" s="1"/>
  <c r="M212" i="6"/>
  <c r="M95" i="6" s="1"/>
  <c r="AC17" i="21" l="1"/>
  <c r="AC18" i="21"/>
  <c r="N109" i="6"/>
  <c r="AD16" i="21"/>
  <c r="AE13" i="21"/>
  <c r="AF13" i="21"/>
  <c r="O250" i="6"/>
  <c r="O262" i="6" s="1"/>
  <c r="O158" i="6" s="1"/>
  <c r="M268" i="6"/>
  <c r="N263" i="6"/>
  <c r="N159" i="6" s="1"/>
  <c r="N264" i="6"/>
  <c r="N160" i="6" s="1"/>
  <c r="N265" i="6"/>
  <c r="N161" i="6" s="1"/>
  <c r="N266" i="6"/>
  <c r="N173" i="6" s="1"/>
  <c r="N267" i="6"/>
  <c r="N174" i="6" s="1"/>
  <c r="O90" i="6"/>
  <c r="O93" i="6" s="1"/>
  <c r="AE16" i="21" s="1"/>
  <c r="O251" i="6"/>
  <c r="L96" i="6"/>
  <c r="L123" i="6"/>
  <c r="L164" i="6" s="1"/>
  <c r="M96" i="6"/>
  <c r="M123" i="6"/>
  <c r="N96" i="6"/>
  <c r="AD17" i="21" l="1"/>
  <c r="AD18" i="21"/>
  <c r="AE17" i="21"/>
  <c r="AE18" i="21"/>
  <c r="M164" i="6"/>
  <c r="L166" i="6"/>
  <c r="L110" i="6"/>
  <c r="N110" i="6"/>
  <c r="M110" i="6"/>
  <c r="O96" i="6"/>
  <c r="O109" i="6"/>
  <c r="M270" i="6"/>
  <c r="M125" i="6" s="1"/>
  <c r="N268" i="6"/>
  <c r="O264" i="6"/>
  <c r="O160" i="6" s="1"/>
  <c r="O263" i="6"/>
  <c r="O159" i="6" s="1"/>
  <c r="O265" i="6"/>
  <c r="O161" i="6" s="1"/>
  <c r="O266" i="6"/>
  <c r="O173" i="6" s="1"/>
  <c r="O267" i="6"/>
  <c r="O174" i="6" s="1"/>
  <c r="N164" i="6" l="1"/>
  <c r="M166" i="6"/>
  <c r="O110" i="6"/>
  <c r="N270" i="6"/>
  <c r="N125" i="6" s="1"/>
  <c r="O268" i="6"/>
  <c r="O270" i="6" s="1"/>
  <c r="O125" i="6" s="1"/>
  <c r="O164" i="6" l="1"/>
  <c r="O166" i="6" s="1"/>
  <c r="N166" i="6"/>
  <c r="K317" i="6" l="1"/>
  <c r="K98" i="6" s="1"/>
  <c r="K99" i="6" s="1"/>
  <c r="K224" i="6" l="1"/>
  <c r="K227" i="6" l="1"/>
  <c r="K232" i="6" s="1"/>
  <c r="K229" i="6"/>
  <c r="K233" i="6" l="1"/>
  <c r="K101" i="6"/>
  <c r="K102" i="6" l="1"/>
  <c r="K124" i="6" s="1"/>
  <c r="K177" i="6"/>
  <c r="K234" i="6"/>
  <c r="K103" i="6" l="1"/>
  <c r="K105" i="6" s="1"/>
  <c r="K179" i="6"/>
  <c r="K122" i="6" l="1"/>
  <c r="K126" i="6" s="1"/>
  <c r="K293" i="6" s="1"/>
  <c r="AA21" i="21"/>
  <c r="K334" i="6"/>
  <c r="K335" i="6" s="1"/>
  <c r="K340" i="6"/>
  <c r="AA23" i="21" l="1"/>
  <c r="AA22" i="21"/>
  <c r="K139" i="6"/>
  <c r="K341" i="6"/>
  <c r="K342" i="6" s="1"/>
  <c r="K297" i="6"/>
  <c r="K298" i="6" s="1"/>
  <c r="K301" i="6" s="1"/>
  <c r="K302" i="6" s="1"/>
  <c r="L300" i="6" l="1"/>
  <c r="L305" i="6" s="1"/>
  <c r="K172" i="6"/>
  <c r="K175" i="6" s="1"/>
  <c r="K181" i="6" s="1"/>
  <c r="K136" i="6"/>
  <c r="K140" i="6" s="1"/>
  <c r="K143" i="6" s="1"/>
  <c r="K285" i="6" s="1"/>
  <c r="K286" i="6" s="1"/>
  <c r="L284" i="6" s="1"/>
  <c r="L289" i="6" s="1"/>
  <c r="L339" i="6"/>
  <c r="K184" i="6"/>
  <c r="K185" i="6" s="1"/>
  <c r="K145" i="6" l="1"/>
  <c r="K187" i="6"/>
  <c r="K111" i="6"/>
  <c r="L317" i="6"/>
  <c r="L98" i="6" s="1"/>
  <c r="L144" i="6" l="1"/>
  <c r="K157" i="6"/>
  <c r="K162" i="6" s="1"/>
  <c r="K168" i="6" s="1"/>
  <c r="K189" i="6" s="1"/>
  <c r="L99" i="6"/>
  <c r="L224" i="6" s="1"/>
  <c r="L227" i="6" l="1"/>
  <c r="L232" i="6" s="1"/>
  <c r="L101" i="6" s="1"/>
  <c r="L229" i="6"/>
  <c r="L233" i="6" l="1"/>
  <c r="L102" i="6" l="1"/>
  <c r="L124" i="6" s="1"/>
  <c r="L177" i="6"/>
  <c r="L179" i="6" s="1"/>
  <c r="L234" i="6"/>
  <c r="L103" i="6" l="1"/>
  <c r="L105" i="6" s="1"/>
  <c r="L122" i="6" s="1"/>
  <c r="L126" i="6" s="1"/>
  <c r="L293" i="6" s="1"/>
  <c r="L340" i="6"/>
  <c r="L334" i="6" l="1"/>
  <c r="L335" i="6" s="1"/>
  <c r="L341" i="6" s="1"/>
  <c r="L342" i="6" s="1"/>
  <c r="AB21" i="21"/>
  <c r="L139" i="6" l="1"/>
  <c r="L297" i="6"/>
  <c r="L298" i="6" s="1"/>
  <c r="L301" i="6" s="1"/>
  <c r="L136" i="6" s="1"/>
  <c r="L140" i="6" s="1"/>
  <c r="L143" i="6" s="1"/>
  <c r="AB23" i="21"/>
  <c r="AB22" i="21"/>
  <c r="M339" i="6"/>
  <c r="L184" i="6"/>
  <c r="L185" i="6" s="1"/>
  <c r="L302" i="6" l="1"/>
  <c r="L172" i="6" s="1"/>
  <c r="L175" i="6" s="1"/>
  <c r="L181" i="6" s="1"/>
  <c r="L187" i="6" s="1"/>
  <c r="M300" i="6"/>
  <c r="M305" i="6" s="1"/>
  <c r="L111" i="6"/>
  <c r="L145" i="6"/>
  <c r="L285" i="6"/>
  <c r="L286" i="6" s="1"/>
  <c r="M284" i="6" s="1"/>
  <c r="M289" i="6" s="1"/>
  <c r="M144" i="6" l="1"/>
  <c r="L157" i="6"/>
  <c r="L162" i="6" s="1"/>
  <c r="L168" i="6" s="1"/>
  <c r="L189" i="6" s="1"/>
  <c r="M317" i="6" l="1"/>
  <c r="M98" i="6" l="1"/>
  <c r="M99" i="6" s="1"/>
  <c r="M224" i="6" s="1"/>
  <c r="M229" i="6" l="1"/>
  <c r="M227" i="6"/>
  <c r="M232" i="6" s="1"/>
  <c r="M101" i="6" s="1"/>
  <c r="M233" i="6" l="1"/>
  <c r="M102" i="6" l="1"/>
  <c r="M124" i="6" s="1"/>
  <c r="M177" i="6"/>
  <c r="M179" i="6" s="1"/>
  <c r="M234" i="6"/>
  <c r="M103" i="6" l="1"/>
  <c r="M105" i="6" s="1"/>
  <c r="AC21" i="21" s="1"/>
  <c r="AC22" i="21" l="1"/>
  <c r="AC23" i="21"/>
  <c r="M122" i="6"/>
  <c r="M126" i="6" s="1"/>
  <c r="M293" i="6" s="1"/>
  <c r="M334" i="6"/>
  <c r="M335" i="6" s="1"/>
  <c r="M297" i="6" s="1"/>
  <c r="M340" i="6"/>
  <c r="M298" i="6" l="1"/>
  <c r="M301" i="6" s="1"/>
  <c r="M302" i="6" s="1"/>
  <c r="M172" i="6" s="1"/>
  <c r="M175" i="6" s="1"/>
  <c r="M181" i="6" s="1"/>
  <c r="M139" i="6"/>
  <c r="M341" i="6"/>
  <c r="M342" i="6" s="1"/>
  <c r="N300" i="6" l="1"/>
  <c r="N305" i="6" s="1"/>
  <c r="M136" i="6"/>
  <c r="M140" i="6" s="1"/>
  <c r="M143" i="6" s="1"/>
  <c r="M145" i="6" s="1"/>
  <c r="M157" i="6" s="1"/>
  <c r="M162" i="6" s="1"/>
  <c r="M168" i="6" s="1"/>
  <c r="N339" i="6"/>
  <c r="M184" i="6"/>
  <c r="M185" i="6" s="1"/>
  <c r="M187" i="6" l="1"/>
  <c r="M189" i="6" s="1"/>
  <c r="M111" i="6"/>
  <c r="M285" i="6"/>
  <c r="M286" i="6" s="1"/>
  <c r="N284" i="6" s="1"/>
  <c r="N289" i="6" s="1"/>
  <c r="N317" i="6" s="1"/>
  <c r="N98" i="6" s="1"/>
  <c r="N99" i="6" s="1"/>
  <c r="N224" i="6" s="1"/>
  <c r="N144" i="6"/>
  <c r="N227" i="6" l="1"/>
  <c r="N232" i="6" s="1"/>
  <c r="N229" i="6"/>
  <c r="N233" i="6" l="1"/>
  <c r="N101" i="6"/>
  <c r="N102" i="6" l="1"/>
  <c r="N124" i="6" s="1"/>
  <c r="N177" i="6"/>
  <c r="N179" i="6" s="1"/>
  <c r="N234" i="6"/>
  <c r="N103" i="6" l="1"/>
  <c r="N105" i="6" s="1"/>
  <c r="AD21" i="21" s="1"/>
  <c r="AD22" i="21" l="1"/>
  <c r="AD23" i="21"/>
  <c r="N122" i="6"/>
  <c r="N126" i="6" s="1"/>
  <c r="N293" i="6" s="1"/>
  <c r="N334" i="6"/>
  <c r="N335" i="6" s="1"/>
  <c r="N341" i="6" s="1"/>
  <c r="N340" i="6"/>
  <c r="N139" i="6" l="1"/>
  <c r="N342" i="6"/>
  <c r="N297" i="6"/>
  <c r="N298" i="6" s="1"/>
  <c r="N301" i="6" s="1"/>
  <c r="N302" i="6" s="1"/>
  <c r="O300" i="6" s="1"/>
  <c r="O305" i="6" s="1"/>
  <c r="O339" i="6" l="1"/>
  <c r="N184" i="6"/>
  <c r="N185" i="6" s="1"/>
  <c r="N111" i="6" s="1"/>
  <c r="N136" i="6"/>
  <c r="N140" i="6" s="1"/>
  <c r="N143" i="6" s="1"/>
  <c r="N285" i="6" s="1"/>
  <c r="N286" i="6" s="1"/>
  <c r="O284" i="6" s="1"/>
  <c r="O289" i="6" s="1"/>
  <c r="O317" i="6" s="1"/>
  <c r="N172" i="6"/>
  <c r="N175" i="6" s="1"/>
  <c r="N181" i="6" s="1"/>
  <c r="N187" i="6" l="1"/>
  <c r="N145" i="6"/>
  <c r="O144" i="6" s="1"/>
  <c r="O98" i="6"/>
  <c r="O99" i="6" s="1"/>
  <c r="O224" i="6" s="1"/>
  <c r="O229" i="6" s="1"/>
  <c r="N157" i="6" l="1"/>
  <c r="N162" i="6" s="1"/>
  <c r="N168" i="6" s="1"/>
  <c r="N189" i="6" s="1"/>
  <c r="O227" i="6"/>
  <c r="O232" i="6" s="1"/>
  <c r="O233" i="6" s="1"/>
  <c r="O102" i="6" l="1"/>
  <c r="O124" i="6" s="1"/>
  <c r="O177" i="6"/>
  <c r="O179" i="6" s="1"/>
  <c r="O101" i="6"/>
  <c r="O234" i="6"/>
  <c r="O103" i="6" l="1"/>
  <c r="O105" i="6" s="1"/>
  <c r="AE21" i="21" s="1"/>
  <c r="AE22" i="21" l="1"/>
  <c r="AE23" i="21"/>
  <c r="O334" i="6"/>
  <c r="O335" i="6" s="1"/>
  <c r="O139" i="6" s="1"/>
  <c r="O340" i="6"/>
  <c r="O122" i="6"/>
  <c r="O126" i="6" s="1"/>
  <c r="O293" i="6" s="1"/>
  <c r="O297" i="6" l="1"/>
  <c r="O298" i="6" s="1"/>
  <c r="O301" i="6" s="1"/>
  <c r="O136" i="6" s="1"/>
  <c r="O140" i="6" s="1"/>
  <c r="O143" i="6" s="1"/>
  <c r="O341" i="6"/>
  <c r="O342" i="6" s="1"/>
  <c r="O184" i="6" s="1"/>
  <c r="O185" i="6" s="1"/>
  <c r="O111" i="6" s="1"/>
  <c r="O302" i="6" l="1"/>
  <c r="O172" i="6" s="1"/>
  <c r="O175" i="6" s="1"/>
  <c r="O181" i="6" s="1"/>
  <c r="O187" i="6" s="1"/>
  <c r="O145" i="6"/>
  <c r="O157" i="6" s="1"/>
  <c r="O162" i="6" s="1"/>
  <c r="O168" i="6" s="1"/>
  <c r="O285" i="6"/>
  <c r="O286" i="6" s="1"/>
  <c r="O189" i="6" l="1"/>
</calcChain>
</file>

<file path=xl/sharedStrings.xml><?xml version="1.0" encoding="utf-8"?>
<sst xmlns="http://schemas.openxmlformats.org/spreadsheetml/2006/main" count="404" uniqueCount="202">
  <si>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</si>
  <si>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</si>
  <si>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</si>
  <si>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</si>
  <si>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</si>
  <si>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</si>
  <si>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</si>
  <si>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</si>
  <si>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</si>
  <si>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</si>
  <si>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</si>
  <si>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</si>
  <si>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</si>
  <si>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</si>
  <si>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</si>
  <si>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</si>
  <si>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</si>
  <si>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</si>
  <si>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</si>
  <si>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</si>
  <si>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</si>
  <si>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</si>
  <si>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</si>
  <si>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</si>
  <si>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</si>
  <si>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</si>
  <si>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</si>
  <si>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</si>
  <si>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</si>
  <si>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</si>
  <si>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</si>
  <si>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</si>
  <si>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</si>
  <si>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</si>
  <si>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</si>
  <si>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</si>
  <si>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</si>
  <si>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</si>
  <si>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</si>
  <si>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</si>
  <si>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</si>
  <si>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</si>
  <si>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</si>
  <si>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</si>
  <si>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</si>
  <si>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</si>
  <si>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</si>
  <si>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</si>
  <si>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</si>
  <si>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</si>
  <si>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</si>
  <si>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</si>
  <si>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</si>
  <si>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</si>
  <si>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</si>
  <si>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</si>
  <si>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</si>
  <si>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</si>
  <si>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</si>
  <si>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</si>
  <si>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</si>
  <si>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</si>
  <si>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</si>
  <si>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Ending</t>
  </si>
  <si>
    <t>Annual Interest Expense</t>
  </si>
  <si>
    <t>Annual Interest Income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</si>
  <si>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</si>
  <si>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</si>
  <si>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</si>
  <si>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</si>
  <si>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</si>
  <si>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</si>
  <si>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</si>
  <si>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</si>
  <si>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</si>
  <si>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</si>
  <si>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</si>
  <si>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</si>
  <si>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</si>
  <si>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</si>
  <si>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Increases</t>
  </si>
  <si>
    <t>Inflation on a unit basis</t>
  </si>
  <si>
    <t>DEPRECIATION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</si>
  <si>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</si>
  <si>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</si>
  <si>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</si>
  <si>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</si>
  <si>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</si>
  <si>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</si>
  <si>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</si>
  <si>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</si>
  <si>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</si>
  <si>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</si>
  <si>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</si>
  <si>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</si>
  <si>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</si>
  <si>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</si>
  <si>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</si>
  <si>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</si>
  <si>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</si>
  <si>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</si>
  <si>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</si>
  <si>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</si>
  <si>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</si>
  <si>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</si>
  <si>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</si>
  <si>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</si>
  <si>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</si>
  <si>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</si>
  <si>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</si>
  <si>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</si>
  <si>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</si>
  <si>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</si>
  <si>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</si>
  <si>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Return on Equity</t>
  </si>
  <si>
    <t>Changes in working capital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</si>
  <si>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</si>
  <si>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</si>
  <si>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</si>
  <si>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</si>
  <si>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</si>
  <si>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</si>
  <si>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</si>
  <si>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</si>
  <si>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</si>
  <si>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</si>
  <si>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</si>
  <si>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</si>
  <si>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</si>
  <si>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</si>
  <si>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</si>
  <si>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</si>
  <si>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</si>
  <si>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</si>
  <si>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</si>
  <si>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</si>
  <si>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</si>
  <si>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</si>
  <si>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OTHER ASSUMPTIONS</t>
  </si>
  <si>
    <t>Working Capital Days</t>
  </si>
  <si>
    <t>Change in Debt &amp; Equity</t>
  </si>
  <si>
    <t>Cost Adjustments - Gain/(Loss)</t>
  </si>
  <si>
    <t>Investing Activities - Other</t>
  </si>
  <si>
    <t>Prepaid Expenses</t>
  </si>
  <si>
    <t>Three scenarios have been used for Inflation, Product Pricing</t>
  </si>
  <si>
    <t>(MM)</t>
  </si>
  <si>
    <t>Sales Price - $/Unit</t>
  </si>
  <si>
    <t>($/unit)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</si>
  <si>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</si>
  <si>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</si>
  <si>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</si>
  <si>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</si>
  <si>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</si>
  <si>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</si>
  <si>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</si>
  <si>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</si>
  <si>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</si>
  <si>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</si>
  <si>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</si>
  <si>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</si>
  <si>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</si>
  <si>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</si>
  <si>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</si>
  <si>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Inflation on a total basis</t>
  </si>
  <si>
    <t>Economic and Sales Scenarios</t>
  </si>
  <si>
    <t>Trend</t>
  </si>
  <si>
    <t>Powered by:</t>
  </si>
  <si>
    <t>Practical Skills Module: Financial Modeling</t>
  </si>
  <si>
    <t>Years Remaining Existing Assets:</t>
  </si>
  <si>
    <t>Financial Model Worksheet - Vertical Orientation</t>
  </si>
  <si>
    <t>Blu Containers</t>
  </si>
  <si>
    <t>Raw Materials</t>
  </si>
  <si>
    <t>Utilities</t>
  </si>
  <si>
    <t>Rent</t>
  </si>
  <si>
    <t>Operating Labour</t>
  </si>
  <si>
    <t>SG&amp;A</t>
  </si>
  <si>
    <t>Interest earned on Cash Balance :</t>
  </si>
  <si>
    <t>Interest rate on Senior Secured Term Debt:</t>
  </si>
  <si>
    <t>Interest rate on Bank Revolver :</t>
  </si>
  <si>
    <t>Depreciation Methodology used:</t>
  </si>
  <si>
    <t>Years remaining for depreciation of existing assets:</t>
  </si>
  <si>
    <t>Years used for depreciation of new assets:</t>
  </si>
  <si>
    <t>Straight Line</t>
  </si>
  <si>
    <t>Tax rate assumed in the model :</t>
  </si>
  <si>
    <t>Additional tax assumptions in "Other Assumptions Box"</t>
  </si>
  <si>
    <t>Best Case: 4%</t>
  </si>
  <si>
    <t>Worst Case: -4%</t>
  </si>
  <si>
    <t>Annual Factory Capacity</t>
  </si>
  <si>
    <t>($ MM)</t>
  </si>
  <si>
    <t>($/Unit)</t>
  </si>
  <si>
    <t>Cost Of Sales</t>
  </si>
  <si>
    <t>Amount Outstanding - Beginning</t>
  </si>
  <si>
    <t>Change in Cash</t>
  </si>
  <si>
    <t>Interest Rate</t>
  </si>
  <si>
    <t>Additions / (Repayments)</t>
  </si>
  <si>
    <t>Mandatory Debt Repayment</t>
  </si>
  <si>
    <t>Common Stock Issuance / (Buy Back)</t>
  </si>
  <si>
    <t>Dividends</t>
  </si>
  <si>
    <t>Revolver Outstanding - Beginning</t>
  </si>
  <si>
    <t>Amount Oustanding - Ending</t>
  </si>
  <si>
    <t>New Issuance / (Buy-Back)</t>
  </si>
  <si>
    <t>Dividend Payout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</si>
</sst>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43" formatCode="_ * #,##0.00_ ;_ * \-#,##0.00_ ;_ * &quot;-&quot;??_ ;_ @_ 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* #,##0.00_);_(* \(#,##0.00\);_(* &quot;-&quot;??_);_(@_)"/>
    <numFmt numFmtId="169" formatCode="_(* #,##0.0_);_(* \(#,##0.0\);_(* &quot;-&quot;??_);_(@_)"/>
    <numFmt numFmtId="170" formatCode="_(* #,##0_);_(* \(#,##0\);_(* &quot;-&quot;??_);_(@_)"/>
    <numFmt numFmtId="171" formatCode="0.0%"/>
    <numFmt numFmtId="172" formatCode="#,##0.0_);\(#,##0.0\)"/>
    <numFmt numFmtId="173" formatCode="&quot;$&quot;#,##0.0_);\(&quot;$&quot;#,##0.0\)"/>
    <numFmt numFmtId="174" formatCode="#,##0.000_);\(#,##0.000\)"/>
    <numFmt numFmtId="175" formatCode="0.0_);\(0.0\)"/>
    <numFmt numFmtId="176" formatCode="0.00_);\(0.00\)"/>
    <numFmt numFmtId="177" formatCode="0.000_);\(0.000\)"/>
    <numFmt numFmtId="178" formatCode="0\A"/>
    <numFmt numFmtId="179" formatCode="&quot;- EBITDA margin of &quot;0.0%"/>
    <numFmt numFmtId="180" formatCode="&quot;- Opening UCC pool of &quot;&quot;$&quot;#,###.0&quot; million as of January 1, 1999&quot;"/>
    <numFmt numFmtId="181" formatCode="0%;\(0%\)"/>
    <numFmt numFmtId="182" formatCode="0.00\ "/>
    <numFmt numFmtId="183" formatCode="_-* #,##0_-;\-* #,##0_-;_-* &quot;-&quot;??_-;_-@_-"/>
    <numFmt numFmtId="184" formatCode="0_);\(0\)"/>
    <numFmt numFmtId="185" formatCode="0.0%\ ;\(0.0%\)"/>
    <numFmt numFmtId="186" formatCode="mmmm\ d\,\ yyyy"/>
    <numFmt numFmtId="187" formatCode="&quot;$&quot;#,##0.0"/>
    <numFmt numFmtId="188" formatCode="0\ &quot;years&quot;"/>
    <numFmt numFmtId="189" formatCode="0.0\ \x"/>
    <numFmt numFmtId="190" formatCode="#,##0.0000_);\(#,##0.0000\)"/>
    <numFmt numFmtId="191" formatCode="&quot;$&quot;#,##0.000_);\(&quot;$&quot;#,##0.000\)"/>
    <numFmt numFmtId="192" formatCode="0\F"/>
    <numFmt numFmtId="193" formatCode="&quot;$&quot;#,##0.0000_);\(&quot;$&quot;#,##0.0000\)"/>
    <numFmt numFmtId="194" formatCode="&quot;$&quot;#,##0.000000_);\(&quot;$&quot;#,##0.000000\)"/>
    <numFmt numFmtId="195" formatCode="0.0%;\(0.0%\)"/>
    <numFmt numFmtId="196" formatCode="[&gt;-0.000001]\ 0.0_);\ \(0.0\)_)"/>
    <numFmt numFmtId="197" formatCode="\(0%\)"/>
    <numFmt numFmtId="198" formatCode="&quot;(&quot;0&quot;%)&quot;"/>
    <numFmt numFmtId="199" formatCode="\+0.0%;\(0.0%\);\ \-\ \:\ &quot;This cell should contain a value&quot;"/>
  </numFmts>
  <fonts count="83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99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4586BB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4586BB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4586BB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5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168" fontId="2" fillId="0" borderId="0" applyFont="0" applyFill="0" applyBorder="0" applyAlignment="0" applyProtection="0"/>
    <xf numFmtId="167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3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  <xf numFmtId="9" fontId="3" fillId="0" borderId="0" applyFont="0" applyFill="0" applyBorder="0" applyAlignment="0" applyProtection="0"/>
  </cellStyleXfs>
  <cellXfs count="592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2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180" fontId="0" fillId="0" borderId="0" xfId="0" quotePrefix="1" applyNumberFormat="1" applyAlignment="1">
      <alignment horizontal="left"/>
    </xf>
    <xf numFmtId="179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8" fontId="20" fillId="0" borderId="0" xfId="0" applyNumberFormat="1" applyFont="1" applyAlignment="1">
      <alignment horizontal="right"/>
    </xf>
    <xf numFmtId="0" fontId="0" fillId="0" borderId="0" xfId="0" quotePrefix="1"/>
    <xf numFmtId="0" fontId="24" fillId="0" borderId="0" xfId="0" applyFont="1"/>
    <xf numFmtId="0" fontId="0" fillId="0" borderId="7" xfId="0" applyBorder="1"/>
    <xf numFmtId="173" fontId="20" fillId="0" borderId="0" xfId="0" applyNumberFormat="1" applyFont="1"/>
    <xf numFmtId="179" fontId="0" fillId="0" borderId="0" xfId="0" applyNumberFormat="1" applyAlignment="1">
      <alignment horizontal="left"/>
    </xf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0" xfId="9" applyFont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0" fontId="19" fillId="0" borderId="0" xfId="9" quotePrefix="1" applyFont="1" applyAlignment="1">
      <alignment horizontal="left"/>
    </xf>
    <xf numFmtId="171" fontId="20" fillId="0" borderId="0" xfId="0" applyNumberFormat="1" applyFont="1"/>
    <xf numFmtId="171" fontId="3" fillId="0" borderId="0" xfId="0" applyNumberFormat="1" applyFont="1"/>
    <xf numFmtId="171" fontId="32" fillId="0" borderId="16" xfId="0" applyNumberFormat="1" applyFont="1" applyBorder="1"/>
    <xf numFmtId="171" fontId="32" fillId="0" borderId="17" xfId="0" applyNumberFormat="1" applyFont="1" applyBorder="1"/>
    <xf numFmtId="171" fontId="32" fillId="0" borderId="18" xfId="0" applyNumberFormat="1" applyFont="1" applyBorder="1"/>
    <xf numFmtId="171" fontId="32" fillId="0" borderId="19" xfId="0" applyNumberFormat="1" applyFont="1" applyBorder="1"/>
    <xf numFmtId="171" fontId="32" fillId="0" borderId="20" xfId="0" applyNumberFormat="1" applyFont="1" applyBorder="1"/>
    <xf numFmtId="171" fontId="32" fillId="0" borderId="21" xfId="0" applyNumberFormat="1" applyFont="1" applyBorder="1"/>
    <xf numFmtId="171" fontId="32" fillId="0" borderId="22" xfId="0" applyNumberFormat="1" applyFont="1" applyBorder="1"/>
    <xf numFmtId="171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6" fontId="32" fillId="0" borderId="0" xfId="4" applyNumberFormat="1" applyFont="1" applyBorder="1" applyAlignment="1" applyProtection="1">
      <alignment horizontal="right"/>
    </xf>
    <xf numFmtId="176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19" fillId="0" borderId="0" xfId="9" applyFont="1" applyAlignment="1">
      <alignment horizontal="left"/>
    </xf>
    <xf numFmtId="184" fontId="35" fillId="0" borderId="0" xfId="0" applyNumberFormat="1" applyFont="1"/>
    <xf numFmtId="182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169" fontId="41" fillId="0" borderId="0" xfId="4" applyNumberFormat="1" applyFont="1" applyFill="1" applyBorder="1" applyProtection="1"/>
    <xf numFmtId="169" fontId="41" fillId="0" borderId="0" xfId="4" applyNumberFormat="1" applyFont="1" applyFill="1" applyProtection="1"/>
    <xf numFmtId="171" fontId="43" fillId="0" borderId="0" xfId="0" applyNumberFormat="1" applyFont="1"/>
    <xf numFmtId="171" fontId="28" fillId="0" borderId="0" xfId="0" applyNumberFormat="1" applyFont="1"/>
    <xf numFmtId="169" fontId="20" fillId="0" borderId="0" xfId="4" applyNumberFormat="1" applyFont="1" applyFill="1" applyBorder="1" applyProtection="1"/>
    <xf numFmtId="169" fontId="2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9" fontId="19" fillId="0" borderId="0" xfId="4" applyNumberFormat="1" applyFont="1" applyFill="1" applyBorder="1" applyProtection="1"/>
    <xf numFmtId="169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70" fontId="44" fillId="0" borderId="22" xfId="4" applyNumberFormat="1" applyFont="1" applyFill="1" applyBorder="1" applyProtection="1"/>
    <xf numFmtId="170" fontId="19" fillId="0" borderId="22" xfId="4" applyNumberFormat="1" applyFont="1" applyFill="1" applyBorder="1" applyProtection="1"/>
    <xf numFmtId="170" fontId="44" fillId="0" borderId="0" xfId="4" applyNumberFormat="1" applyFont="1" applyFill="1" applyProtection="1"/>
    <xf numFmtId="170" fontId="19" fillId="0" borderId="0" xfId="4" applyNumberFormat="1" applyFont="1" applyFill="1" applyProtection="1"/>
    <xf numFmtId="0" fontId="19" fillId="0" borderId="0" xfId="0" applyFont="1"/>
    <xf numFmtId="0" fontId="36" fillId="0" borderId="0" xfId="0" applyFont="1"/>
    <xf numFmtId="169" fontId="45" fillId="0" borderId="0" xfId="4" applyNumberFormat="1" applyFont="1" applyFill="1" applyBorder="1" applyProtection="1"/>
    <xf numFmtId="185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5" fontId="0" fillId="0" borderId="0" xfId="4" applyNumberFormat="1" applyFont="1" applyFill="1" applyBorder="1" applyProtection="1"/>
    <xf numFmtId="175" fontId="0" fillId="0" borderId="0" xfId="4" applyNumberFormat="1" applyFont="1" applyFill="1" applyProtection="1"/>
    <xf numFmtId="173" fontId="19" fillId="0" borderId="0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72" fontId="0" fillId="0" borderId="17" xfId="0" applyNumberFormat="1" applyBorder="1"/>
    <xf numFmtId="0" fontId="0" fillId="0" borderId="21" xfId="0" applyBorder="1"/>
    <xf numFmtId="0" fontId="21" fillId="0" borderId="22" xfId="0" applyFont="1" applyBorder="1"/>
    <xf numFmtId="171" fontId="0" fillId="0" borderId="22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72" fontId="20" fillId="0" borderId="0" xfId="4" applyNumberFormat="1" applyFont="1" applyBorder="1" applyProtection="1"/>
    <xf numFmtId="172" fontId="0" fillId="0" borderId="0" xfId="4" applyNumberFormat="1" applyFont="1" applyBorder="1" applyProtection="1"/>
    <xf numFmtId="0" fontId="46" fillId="0" borderId="0" xfId="0" applyFont="1"/>
    <xf numFmtId="172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73" fontId="19" fillId="0" borderId="0" xfId="4" applyNumberFormat="1" applyFont="1" applyBorder="1" applyProtection="1"/>
    <xf numFmtId="173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70" fontId="0" fillId="0" borderId="0" xfId="4" applyNumberFormat="1" applyFont="1" applyBorder="1" applyProtection="1"/>
    <xf numFmtId="0" fontId="28" fillId="0" borderId="0" xfId="0" quotePrefix="1" applyFont="1"/>
    <xf numFmtId="164" fontId="20" fillId="0" borderId="0" xfId="0" applyNumberFormat="1" applyFont="1"/>
    <xf numFmtId="171" fontId="0" fillId="0" borderId="0" xfId="0" applyNumberForma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72" fontId="0" fillId="0" borderId="25" xfId="4" applyNumberFormat="1" applyFont="1" applyBorder="1" applyAlignment="1" applyProtection="1">
      <alignment horizontal="right"/>
    </xf>
    <xf numFmtId="172" fontId="20" fillId="0" borderId="1" xfId="4" applyNumberFormat="1" applyFont="1" applyBorder="1" applyProtection="1"/>
    <xf numFmtId="172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72" fontId="20" fillId="0" borderId="0" xfId="4" applyNumberFormat="1" applyFont="1" applyFill="1" applyBorder="1" applyAlignment="1" applyProtection="1">
      <alignment horizontal="right"/>
      <protection locked="0"/>
    </xf>
    <xf numFmtId="172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72" fontId="20" fillId="0" borderId="1" xfId="4" applyNumberFormat="1" applyFont="1" applyFill="1" applyBorder="1" applyAlignment="1" applyProtection="1">
      <alignment horizontal="right"/>
    </xf>
    <xf numFmtId="172" fontId="19" fillId="0" borderId="0" xfId="4" applyNumberFormat="1" applyFont="1" applyFill="1" applyBorder="1" applyProtection="1"/>
    <xf numFmtId="189" fontId="0" fillId="0" borderId="0" xfId="4" applyNumberFormat="1" applyFont="1" applyBorder="1" applyProtection="1"/>
    <xf numFmtId="172" fontId="20" fillId="0" borderId="1" xfId="4" applyNumberFormat="1" applyFont="1" applyFill="1" applyBorder="1" applyProtection="1">
      <protection locked="0"/>
    </xf>
    <xf numFmtId="172" fontId="2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72" fontId="0" fillId="0" borderId="0" xfId="0" applyNumberFormat="1"/>
    <xf numFmtId="165" fontId="19" fillId="0" borderId="0" xfId="0" quotePrefix="1" applyNumberFormat="1" applyFont="1" applyAlignment="1">
      <alignment horizontal="left"/>
    </xf>
    <xf numFmtId="173" fontId="19" fillId="0" borderId="26" xfId="0" applyNumberFormat="1" applyFont="1" applyBorder="1"/>
    <xf numFmtId="165" fontId="19" fillId="0" borderId="0" xfId="0" applyNumberFormat="1" applyFont="1" applyAlignment="1">
      <alignment horizontal="left"/>
    </xf>
    <xf numFmtId="173" fontId="19" fillId="0" borderId="0" xfId="0" applyNumberFormat="1" applyFont="1"/>
    <xf numFmtId="0" fontId="19" fillId="0" borderId="7" xfId="0" applyFont="1" applyBorder="1"/>
    <xf numFmtId="0" fontId="33" fillId="0" borderId="8" xfId="0" applyFont="1" applyBorder="1"/>
    <xf numFmtId="170" fontId="0" fillId="0" borderId="8" xfId="4" applyNumberFormat="1" applyFont="1" applyBorder="1" applyProtection="1"/>
    <xf numFmtId="195" fontId="28" fillId="0" borderId="0" xfId="0" applyNumberFormat="1" applyFont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81" fontId="28" fillId="0" borderId="1" xfId="0" applyNumberFormat="1" applyFont="1" applyBorder="1"/>
    <xf numFmtId="195" fontId="28" fillId="0" borderId="1" xfId="0" applyNumberFormat="1" applyFont="1" applyBorder="1"/>
    <xf numFmtId="0" fontId="47" fillId="0" borderId="8" xfId="0" quotePrefix="1" applyFont="1" applyBorder="1"/>
    <xf numFmtId="168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8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72" fontId="41" fillId="0" borderId="0" xfId="4" applyNumberFormat="1" applyFont="1" applyFill="1" applyProtection="1">
      <protection locked="0"/>
    </xf>
    <xf numFmtId="172" fontId="0" fillId="0" borderId="0" xfId="4" applyNumberFormat="1" applyFont="1" applyProtection="1"/>
    <xf numFmtId="37" fontId="0" fillId="0" borderId="0" xfId="4" applyNumberFormat="1" applyFont="1" applyFill="1" applyProtection="1"/>
    <xf numFmtId="172" fontId="0" fillId="0" borderId="0" xfId="4" applyNumberFormat="1" applyFont="1" applyFill="1" applyProtection="1"/>
    <xf numFmtId="37" fontId="20" fillId="0" borderId="0" xfId="4" applyNumberFormat="1" applyFont="1" applyBorder="1" applyProtection="1"/>
    <xf numFmtId="172" fontId="41" fillId="0" borderId="1" xfId="4" applyNumberFormat="1" applyFont="1" applyFill="1" applyBorder="1" applyAlignment="1" applyProtection="1">
      <alignment horizontal="right"/>
      <protection locked="0"/>
    </xf>
    <xf numFmtId="172" fontId="20" fillId="0" borderId="1" xfId="4" applyNumberFormat="1" applyFont="1" applyFill="1" applyBorder="1" applyAlignment="1" applyProtection="1">
      <alignment horizontal="right"/>
      <protection locked="0"/>
    </xf>
    <xf numFmtId="172" fontId="19" fillId="0" borderId="0" xfId="4" applyNumberFormat="1" applyFont="1" applyProtection="1"/>
    <xf numFmtId="170" fontId="0" fillId="0" borderId="0" xfId="4" applyNumberFormat="1" applyFont="1" applyProtection="1"/>
    <xf numFmtId="170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72" fontId="20" fillId="0" borderId="0" xfId="4" applyNumberFormat="1" applyFont="1" applyFill="1" applyProtection="1">
      <protection locked="0"/>
    </xf>
    <xf numFmtId="172" fontId="19" fillId="0" borderId="8" xfId="4" applyNumberFormat="1" applyFont="1" applyBorder="1" applyProtection="1"/>
    <xf numFmtId="164" fontId="19" fillId="0" borderId="0" xfId="4" applyNumberFormat="1" applyFont="1" applyProtection="1"/>
    <xf numFmtId="191" fontId="19" fillId="0" borderId="0" xfId="4" applyNumberFormat="1" applyFont="1" applyProtection="1"/>
    <xf numFmtId="164" fontId="48" fillId="0" borderId="0" xfId="4" applyNumberFormat="1" applyFont="1" applyProtection="1"/>
    <xf numFmtId="37" fontId="19" fillId="0" borderId="0" xfId="4" applyNumberFormat="1" applyFont="1" applyProtection="1"/>
    <xf numFmtId="174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72" fontId="0" fillId="0" borderId="8" xfId="4" applyNumberFormat="1" applyFont="1" applyBorder="1" applyProtection="1"/>
    <xf numFmtId="172" fontId="49" fillId="0" borderId="0" xfId="4" applyNumberFormat="1" applyFont="1" applyBorder="1" applyProtection="1"/>
    <xf numFmtId="172" fontId="22" fillId="0" borderId="0" xfId="4" applyNumberFormat="1" applyFont="1" applyBorder="1" applyProtection="1"/>
    <xf numFmtId="0" fontId="0" fillId="0" borderId="10" xfId="0" applyBorder="1" applyAlignment="1">
      <alignment horizontal="left"/>
    </xf>
    <xf numFmtId="196" fontId="0" fillId="0" borderId="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37" fontId="20" fillId="0" borderId="0" xfId="4" applyNumberFormat="1" applyFont="1" applyFill="1" applyBorder="1" applyProtection="1"/>
    <xf numFmtId="174" fontId="0" fillId="0" borderId="0" xfId="4" applyNumberFormat="1" applyFont="1" applyProtection="1"/>
    <xf numFmtId="172" fontId="0" fillId="0" borderId="0" xfId="4" applyNumberFormat="1" applyFont="1" applyFill="1" applyProtection="1">
      <protection locked="0"/>
    </xf>
    <xf numFmtId="172" fontId="41" fillId="0" borderId="0" xfId="4" applyNumberFormat="1" applyFont="1" applyFill="1" applyBorder="1" applyProtection="1">
      <protection locked="0"/>
    </xf>
    <xf numFmtId="172" fontId="20" fillId="0" borderId="0" xfId="4" applyNumberFormat="1" applyFont="1" applyFill="1" applyBorder="1" applyProtection="1">
      <protection locked="0"/>
    </xf>
    <xf numFmtId="174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9" fontId="0" fillId="0" borderId="0" xfId="4" applyNumberFormat="1" applyFont="1" applyBorder="1" applyProtection="1"/>
    <xf numFmtId="169" fontId="0" fillId="0" borderId="0" xfId="4" applyNumberFormat="1" applyFont="1" applyProtection="1"/>
    <xf numFmtId="0" fontId="28" fillId="0" borderId="0" xfId="0" applyFont="1"/>
    <xf numFmtId="177" fontId="28" fillId="0" borderId="0" xfId="4" applyNumberFormat="1" applyFont="1" applyBorder="1" applyProtection="1"/>
    <xf numFmtId="177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7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90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4" fontId="0" fillId="0" borderId="0" xfId="0" applyNumberFormat="1"/>
    <xf numFmtId="0" fontId="59" fillId="0" borderId="0" xfId="0" applyFont="1" applyAlignment="1">
      <alignment horizontal="right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37" fontId="35" fillId="0" borderId="0" xfId="0" applyNumberFormat="1" applyFont="1"/>
    <xf numFmtId="171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9" fillId="0" borderId="0" xfId="0" applyNumberFormat="1" applyFont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168" fontId="56" fillId="0" borderId="0" xfId="4" applyFont="1" applyProtection="1"/>
    <xf numFmtId="184" fontId="20" fillId="0" borderId="0" xfId="4" applyNumberFormat="1" applyFont="1" applyProtection="1"/>
    <xf numFmtId="168" fontId="56" fillId="0" borderId="0" xfId="4" applyFont="1" applyFill="1" applyProtection="1"/>
    <xf numFmtId="184" fontId="20" fillId="0" borderId="0" xfId="4" applyNumberFormat="1" applyFont="1" applyFill="1" applyProtection="1"/>
    <xf numFmtId="184" fontId="0" fillId="0" borderId="0" xfId="0" applyNumberFormat="1"/>
    <xf numFmtId="4" fontId="19" fillId="0" borderId="0" xfId="4" applyNumberFormat="1" applyFont="1" applyFill="1" applyBorder="1" applyProtection="1"/>
    <xf numFmtId="169" fontId="0" fillId="0" borderId="1" xfId="4" applyNumberFormat="1" applyFont="1" applyBorder="1" applyProtection="1"/>
    <xf numFmtId="178" fontId="21" fillId="0" borderId="0" xfId="0" quotePrefix="1" applyNumberFormat="1" applyFont="1" applyAlignment="1">
      <alignment horizontal="right"/>
    </xf>
    <xf numFmtId="193" fontId="0" fillId="0" borderId="0" xfId="0" applyNumberFormat="1"/>
    <xf numFmtId="164" fontId="19" fillId="0" borderId="0" xfId="0" applyNumberFormat="1" applyFont="1"/>
    <xf numFmtId="0" fontId="16" fillId="0" borderId="0" xfId="7" applyFont="1" applyAlignment="1">
      <alignment horizontal="centerContinuous"/>
    </xf>
    <xf numFmtId="0" fontId="66" fillId="0" borderId="0" xfId="7" applyFont="1" applyAlignment="1">
      <alignment horizontal="centerContinuous"/>
    </xf>
    <xf numFmtId="0" fontId="54" fillId="0" borderId="0" xfId="7" applyFont="1" applyAlignment="1">
      <alignment horizontal="centerContinuous"/>
    </xf>
    <xf numFmtId="0" fontId="3" fillId="0" borderId="0" xfId="7"/>
    <xf numFmtId="0" fontId="27" fillId="0" borderId="0" xfId="7" applyFont="1" applyAlignment="1">
      <alignment horizontal="centerContinuous"/>
    </xf>
    <xf numFmtId="0" fontId="67" fillId="0" borderId="0" xfId="7" applyFont="1" applyAlignment="1">
      <alignment horizontal="centerContinuous"/>
    </xf>
    <xf numFmtId="0" fontId="19" fillId="0" borderId="0" xfId="7" applyFont="1" applyAlignment="1">
      <alignment horizontal="centerContinuous"/>
    </xf>
    <xf numFmtId="0" fontId="68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8" fontId="21" fillId="0" borderId="0" xfId="0" applyNumberFormat="1" applyFont="1"/>
    <xf numFmtId="192" fontId="21" fillId="0" borderId="0" xfId="0" quotePrefix="1" applyNumberFormat="1" applyFont="1" applyAlignment="1">
      <alignment horizontal="right"/>
    </xf>
    <xf numFmtId="0" fontId="19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62" fillId="0" borderId="0" xfId="7" applyFont="1"/>
    <xf numFmtId="0" fontId="33" fillId="0" borderId="0" xfId="7" applyFont="1"/>
    <xf numFmtId="0" fontId="3" fillId="0" borderId="10" xfId="7" applyBorder="1"/>
    <xf numFmtId="0" fontId="3" fillId="0" borderId="11" xfId="7" applyBorder="1"/>
    <xf numFmtId="0" fontId="28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9" fillId="0" borderId="14" xfId="7" applyFont="1" applyBorder="1" applyAlignment="1">
      <alignment horizontal="centerContinuous" vertical="center"/>
    </xf>
    <xf numFmtId="0" fontId="28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8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20" fillId="0" borderId="0" xfId="0" applyNumberFormat="1" applyFont="1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3" xfId="0" applyBorder="1"/>
    <xf numFmtId="37" fontId="20" fillId="0" borderId="34" xfId="0" applyNumberFormat="1" applyFont="1" applyBorder="1" applyAlignment="1">
      <alignment horizontal="right"/>
    </xf>
    <xf numFmtId="0" fontId="0" fillId="0" borderId="31" xfId="0" quotePrefix="1" applyBorder="1" applyAlignment="1">
      <alignment horizontal="left"/>
    </xf>
    <xf numFmtId="0" fontId="21" fillId="0" borderId="31" xfId="0" applyFont="1" applyBorder="1" applyAlignment="1">
      <alignment vertical="center"/>
    </xf>
    <xf numFmtId="0" fontId="22" fillId="0" borderId="32" xfId="0" applyFont="1" applyBorder="1" applyAlignment="1">
      <alignment horizontal="centerContinuous" vertical="center"/>
    </xf>
    <xf numFmtId="0" fontId="20" fillId="0" borderId="31" xfId="0" applyFont="1" applyBorder="1"/>
    <xf numFmtId="0" fontId="0" fillId="0" borderId="32" xfId="0" applyBorder="1" applyAlignment="1">
      <alignment horizontal="centerContinuous"/>
    </xf>
    <xf numFmtId="0" fontId="20" fillId="0" borderId="33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1" fillId="0" borderId="31" xfId="0" applyFont="1" applyBorder="1"/>
    <xf numFmtId="0" fontId="0" fillId="0" borderId="31" xfId="0" applyBorder="1" applyAlignment="1">
      <alignment horizontal="left"/>
    </xf>
    <xf numFmtId="0" fontId="24" fillId="0" borderId="0" xfId="0" applyFont="1" applyAlignment="1">
      <alignment vertical="center"/>
    </xf>
    <xf numFmtId="0" fontId="19" fillId="0" borderId="31" xfId="0" applyFont="1" applyBorder="1"/>
    <xf numFmtId="173" fontId="20" fillId="0" borderId="32" xfId="0" applyNumberFormat="1" applyFont="1" applyBorder="1"/>
    <xf numFmtId="0" fontId="19" fillId="0" borderId="31" xfId="0" applyFont="1" applyBorder="1" applyAlignment="1">
      <alignment horizontal="left" vertical="center"/>
    </xf>
    <xf numFmtId="175" fontId="20" fillId="0" borderId="34" xfId="0" applyNumberFormat="1" applyFont="1" applyBorder="1"/>
    <xf numFmtId="175" fontId="20" fillId="0" borderId="35" xfId="0" applyNumberFormat="1" applyFont="1" applyBorder="1"/>
    <xf numFmtId="178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71" fontId="64" fillId="0" borderId="0" xfId="0" applyNumberFormat="1" applyFont="1"/>
    <xf numFmtId="0" fontId="19" fillId="0" borderId="0" xfId="9" quotePrefix="1" applyFont="1" applyAlignment="1">
      <alignment horizontal="right"/>
    </xf>
    <xf numFmtId="0" fontId="73" fillId="0" borderId="0" xfId="7" applyFont="1"/>
    <xf numFmtId="0" fontId="3" fillId="0" borderId="12" xfId="7" applyBorder="1"/>
    <xf numFmtId="0" fontId="36" fillId="0" borderId="0" xfId="7" applyFont="1"/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0" fontId="72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8" fontId="72" fillId="3" borderId="0" xfId="0" applyNumberFormat="1" applyFont="1" applyFill="1" applyAlignment="1">
      <alignment vertical="center"/>
    </xf>
    <xf numFmtId="0" fontId="72" fillId="3" borderId="0" xfId="0" applyFont="1" applyFill="1" applyAlignment="1">
      <alignment vertical="center"/>
    </xf>
    <xf numFmtId="0" fontId="3" fillId="3" borderId="34" xfId="7" applyFill="1" applyBorder="1" applyAlignment="1">
      <alignment vertical="center"/>
    </xf>
    <xf numFmtId="178" fontId="72" fillId="3" borderId="34" xfId="0" applyNumberFormat="1" applyFont="1" applyFill="1" applyBorder="1" applyAlignment="1">
      <alignment vertical="center"/>
    </xf>
    <xf numFmtId="0" fontId="72" fillId="3" borderId="34" xfId="0" applyFont="1" applyFill="1" applyBorder="1" applyAlignment="1">
      <alignment vertical="center"/>
    </xf>
    <xf numFmtId="0" fontId="72" fillId="3" borderId="28" xfId="0" applyFont="1" applyFill="1" applyBorder="1" applyAlignment="1">
      <alignment vertical="center"/>
    </xf>
    <xf numFmtId="0" fontId="0" fillId="3" borderId="29" xfId="0" applyFill="1" applyBorder="1"/>
    <xf numFmtId="0" fontId="0" fillId="3" borderId="30" xfId="0" applyFill="1" applyBorder="1"/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72" fillId="3" borderId="30" xfId="0" applyFont="1" applyFill="1" applyBorder="1" applyAlignment="1">
      <alignment vertical="center"/>
    </xf>
    <xf numFmtId="0" fontId="3" fillId="4" borderId="0" xfId="7" applyFill="1"/>
    <xf numFmtId="178" fontId="21" fillId="4" borderId="0" xfId="0" applyNumberFormat="1" applyFont="1" applyFill="1"/>
    <xf numFmtId="192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19" fillId="4" borderId="31" xfId="0" applyFont="1" applyFill="1" applyBorder="1" applyAlignment="1">
      <alignment vertical="center"/>
    </xf>
    <xf numFmtId="0" fontId="0" fillId="4" borderId="0" xfId="0" applyFill="1"/>
    <xf numFmtId="0" fontId="0" fillId="4" borderId="32" xfId="0" applyFill="1" applyBorder="1"/>
    <xf numFmtId="0" fontId="72" fillId="3" borderId="29" xfId="0" applyFont="1" applyFill="1" applyBorder="1" applyAlignment="1">
      <alignment vertical="center"/>
    </xf>
    <xf numFmtId="0" fontId="3" fillId="5" borderId="0" xfId="7" applyFill="1"/>
    <xf numFmtId="178" fontId="21" fillId="5" borderId="0" xfId="0" applyNumberFormat="1" applyFont="1" applyFill="1"/>
    <xf numFmtId="192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19" fillId="5" borderId="31" xfId="0" applyFont="1" applyFill="1" applyBorder="1" applyAlignment="1">
      <alignment vertical="center"/>
    </xf>
    <xf numFmtId="0" fontId="0" fillId="5" borderId="0" xfId="0" applyFill="1"/>
    <xf numFmtId="0" fontId="0" fillId="5" borderId="32" xfId="0" applyFill="1" applyBorder="1"/>
    <xf numFmtId="0" fontId="75" fillId="0" borderId="0" xfId="7" applyFont="1"/>
    <xf numFmtId="0" fontId="76" fillId="0" borderId="0" xfId="7" applyFont="1"/>
    <xf numFmtId="0" fontId="78" fillId="0" borderId="0" xfId="7" applyFont="1"/>
    <xf numFmtId="0" fontId="3" fillId="3" borderId="36" xfId="7" applyFill="1" applyBorder="1" applyAlignment="1">
      <alignment vertical="center"/>
    </xf>
    <xf numFmtId="0" fontId="3" fillId="3" borderId="37" xfId="7" applyFill="1" applyBorder="1" applyAlignment="1">
      <alignment vertical="center"/>
    </xf>
    <xf numFmtId="0" fontId="69" fillId="3" borderId="37" xfId="7" applyFont="1" applyFill="1" applyBorder="1" applyAlignment="1">
      <alignment vertical="center"/>
    </xf>
    <xf numFmtId="0" fontId="70" fillId="3" borderId="38" xfId="7" applyFont="1" applyFill="1" applyBorder="1" applyAlignment="1">
      <alignment horizontal="centerContinuous" vertical="center"/>
    </xf>
    <xf numFmtId="0" fontId="71" fillId="3" borderId="38" xfId="7" applyFont="1" applyFill="1" applyBorder="1" applyAlignment="1">
      <alignment horizontal="centerContinuous" vertical="center"/>
    </xf>
    <xf numFmtId="0" fontId="69" fillId="3" borderId="39" xfId="7" applyFont="1" applyFill="1" applyBorder="1" applyAlignment="1">
      <alignment vertical="center"/>
    </xf>
    <xf numFmtId="0" fontId="3" fillId="3" borderId="40" xfId="7" applyFill="1" applyBorder="1" applyAlignment="1">
      <alignment vertical="center"/>
    </xf>
    <xf numFmtId="0" fontId="69" fillId="3" borderId="41" xfId="7" applyFont="1" applyFill="1" applyBorder="1" applyAlignment="1">
      <alignment vertical="center"/>
    </xf>
    <xf numFmtId="0" fontId="3" fillId="4" borderId="40" xfId="7" applyFill="1" applyBorder="1"/>
    <xf numFmtId="0" fontId="21" fillId="4" borderId="41" xfId="0" applyFont="1" applyFill="1" applyBorder="1"/>
    <xf numFmtId="0" fontId="3" fillId="5" borderId="40" xfId="7" applyFill="1" applyBorder="1"/>
    <xf numFmtId="0" fontId="21" fillId="5" borderId="41" xfId="0" applyFont="1" applyFill="1" applyBorder="1"/>
    <xf numFmtId="0" fontId="3" fillId="0" borderId="40" xfId="7" applyBorder="1"/>
    <xf numFmtId="0" fontId="3" fillId="0" borderId="41" xfId="7" applyBorder="1"/>
    <xf numFmtId="164" fontId="3" fillId="0" borderId="41" xfId="4" applyNumberFormat="1" applyFont="1" applyBorder="1"/>
    <xf numFmtId="195" fontId="28" fillId="0" borderId="41" xfId="0" applyNumberFormat="1" applyFont="1" applyBorder="1"/>
    <xf numFmtId="0" fontId="3" fillId="0" borderId="42" xfId="7" applyBorder="1"/>
    <xf numFmtId="0" fontId="3" fillId="0" borderId="43" xfId="7" applyBorder="1"/>
    <xf numFmtId="0" fontId="3" fillId="0" borderId="43" xfId="7" applyBorder="1" applyAlignment="1">
      <alignment horizontal="left"/>
    </xf>
    <xf numFmtId="0" fontId="3" fillId="0" borderId="44" xfId="7" applyBorder="1"/>
    <xf numFmtId="0" fontId="3" fillId="3" borderId="39" xfId="7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3" fillId="3" borderId="45" xfId="7" applyFill="1" applyBorder="1" applyAlignment="1">
      <alignment vertical="center"/>
    </xf>
    <xf numFmtId="0" fontId="3" fillId="3" borderId="46" xfId="7" applyFill="1" applyBorder="1" applyAlignment="1">
      <alignment vertical="center"/>
    </xf>
    <xf numFmtId="0" fontId="76" fillId="0" borderId="47" xfId="7" applyFont="1" applyBorder="1"/>
    <xf numFmtId="173" fontId="0" fillId="0" borderId="0" xfId="0" applyNumberFormat="1"/>
    <xf numFmtId="185" fontId="63" fillId="0" borderId="0" xfId="0" applyNumberFormat="1" applyFont="1"/>
    <xf numFmtId="164" fontId="0" fillId="0" borderId="0" xfId="0" applyNumberFormat="1"/>
    <xf numFmtId="172" fontId="0" fillId="0" borderId="0" xfId="4" applyNumberFormat="1" applyFont="1" applyFill="1" applyBorder="1" applyProtection="1"/>
    <xf numFmtId="184" fontId="0" fillId="0" borderId="25" xfId="0" applyNumberFormat="1" applyBorder="1"/>
    <xf numFmtId="175" fontId="63" fillId="0" borderId="0" xfId="4" applyNumberFormat="1" applyFont="1" applyFill="1" applyProtection="1"/>
    <xf numFmtId="172" fontId="56" fillId="0" borderId="0" xfId="0" applyNumberFormat="1" applyFont="1"/>
    <xf numFmtId="37" fontId="20" fillId="0" borderId="9" xfId="0" applyNumberFormat="1" applyFont="1" applyBorder="1"/>
    <xf numFmtId="172" fontId="56" fillId="0" borderId="6" xfId="0" applyNumberFormat="1" applyFont="1" applyBorder="1"/>
    <xf numFmtId="172" fontId="56" fillId="0" borderId="1" xfId="0" applyNumberFormat="1" applyFont="1" applyBorder="1"/>
    <xf numFmtId="172" fontId="56" fillId="0" borderId="11" xfId="0" applyNumberFormat="1" applyFont="1" applyBorder="1"/>
    <xf numFmtId="172" fontId="35" fillId="0" borderId="1" xfId="0" applyNumberFormat="1" applyFont="1" applyBorder="1"/>
    <xf numFmtId="173" fontId="35" fillId="0" borderId="0" xfId="0" applyNumberFormat="1" applyFont="1"/>
    <xf numFmtId="171" fontId="64" fillId="0" borderId="15" xfId="0" applyNumberFormat="1" applyFont="1" applyBorder="1"/>
    <xf numFmtId="184" fontId="63" fillId="0" borderId="9" xfId="0" applyNumberFormat="1" applyFont="1" applyBorder="1" applyAlignment="1">
      <alignment vertical="center"/>
    </xf>
    <xf numFmtId="184" fontId="63" fillId="0" borderId="11" xfId="0" applyNumberFormat="1" applyFont="1" applyBorder="1" applyAlignment="1">
      <alignment vertical="center"/>
    </xf>
    <xf numFmtId="196" fontId="0" fillId="0" borderId="0" xfId="4" applyNumberFormat="1" applyFont="1" applyFill="1" applyBorder="1" applyProtection="1"/>
    <xf numFmtId="174" fontId="0" fillId="0" borderId="0" xfId="4" applyNumberFormat="1" applyFont="1" applyFill="1" applyBorder="1" applyProtection="1"/>
    <xf numFmtId="172" fontId="63" fillId="0" borderId="0" xfId="4" applyNumberFormat="1" applyFont="1" applyFill="1" applyBorder="1" applyProtection="1"/>
    <xf numFmtId="172" fontId="0" fillId="0" borderId="0" xfId="4" applyNumberFormat="1" applyFont="1" applyFill="1" applyBorder="1" applyAlignment="1" applyProtection="1">
      <alignment horizontal="right"/>
    </xf>
    <xf numFmtId="172" fontId="19" fillId="0" borderId="0" xfId="4" applyNumberFormat="1" applyFont="1" applyFill="1" applyBorder="1" applyAlignment="1" applyProtection="1">
      <alignment horizontal="right"/>
    </xf>
    <xf numFmtId="37" fontId="19" fillId="0" borderId="0" xfId="4" applyNumberFormat="1" applyFont="1" applyFill="1" applyBorder="1" applyAlignment="1" applyProtection="1">
      <alignment horizontal="right"/>
    </xf>
    <xf numFmtId="189" fontId="0" fillId="0" borderId="0" xfId="4" applyNumberFormat="1" applyFont="1" applyFill="1" applyBorder="1" applyProtection="1"/>
    <xf numFmtId="37" fontId="19" fillId="0" borderId="0" xfId="4" applyNumberFormat="1" applyFont="1" applyFill="1" applyBorder="1" applyProtection="1"/>
    <xf numFmtId="39" fontId="19" fillId="0" borderId="0" xfId="4" applyNumberFormat="1" applyFont="1" applyFill="1" applyBorder="1" applyProtection="1"/>
    <xf numFmtId="168" fontId="0" fillId="0" borderId="0" xfId="4" applyFont="1" applyFill="1" applyBorder="1" applyProtection="1"/>
    <xf numFmtId="170" fontId="0" fillId="0" borderId="8" xfId="4" applyNumberFormat="1" applyFont="1" applyFill="1" applyBorder="1" applyProtection="1"/>
    <xf numFmtId="170" fontId="0" fillId="0" borderId="9" xfId="4" applyNumberFormat="1" applyFont="1" applyFill="1" applyBorder="1" applyProtection="1"/>
    <xf numFmtId="195" fontId="28" fillId="0" borderId="6" xfId="0" applyNumberFormat="1" applyFont="1" applyBorder="1"/>
    <xf numFmtId="195" fontId="28" fillId="0" borderId="11" xfId="0" applyNumberFormat="1" applyFont="1" applyBorder="1"/>
    <xf numFmtId="39" fontId="20" fillId="0" borderId="0" xfId="4" applyNumberFormat="1" applyFont="1" applyFill="1" applyBorder="1" applyProtection="1"/>
    <xf numFmtId="39" fontId="0" fillId="0" borderId="0" xfId="4" applyNumberFormat="1" applyFont="1" applyFill="1" applyBorder="1" applyProtection="1"/>
    <xf numFmtId="37" fontId="19" fillId="0" borderId="22" xfId="4" applyNumberFormat="1" applyFont="1" applyFill="1" applyBorder="1" applyProtection="1"/>
    <xf numFmtId="169" fontId="63" fillId="0" borderId="0" xfId="4" applyNumberFormat="1" applyFont="1" applyFill="1" applyBorder="1" applyProtection="1"/>
    <xf numFmtId="170" fontId="19" fillId="0" borderId="0" xfId="4" applyNumberFormat="1" applyFont="1" applyFill="1" applyBorder="1" applyProtection="1"/>
    <xf numFmtId="171" fontId="19" fillId="0" borderId="13" xfId="0" applyNumberFormat="1" applyFont="1" applyBorder="1" applyAlignment="1">
      <alignment vertical="center"/>
    </xf>
    <xf numFmtId="175" fontId="32" fillId="0" borderId="16" xfId="4" applyNumberFormat="1" applyFont="1" applyFill="1" applyBorder="1" applyProtection="1"/>
    <xf numFmtId="175" fontId="32" fillId="0" borderId="17" xfId="4" applyNumberFormat="1" applyFont="1" applyFill="1" applyBorder="1" applyProtection="1"/>
    <xf numFmtId="175" fontId="32" fillId="0" borderId="18" xfId="0" applyNumberFormat="1" applyFont="1" applyBorder="1"/>
    <xf numFmtId="175" fontId="33" fillId="0" borderId="19" xfId="4" applyNumberFormat="1" applyFont="1" applyFill="1" applyBorder="1" applyProtection="1"/>
    <xf numFmtId="175" fontId="33" fillId="0" borderId="0" xfId="4" applyNumberFormat="1" applyFont="1" applyFill="1" applyBorder="1" applyProtection="1"/>
    <xf numFmtId="175" fontId="33" fillId="0" borderId="20" xfId="4" applyNumberFormat="1" applyFont="1" applyFill="1" applyBorder="1" applyProtection="1"/>
    <xf numFmtId="175" fontId="33" fillId="0" borderId="21" xfId="4" applyNumberFormat="1" applyFont="1" applyFill="1" applyBorder="1" applyProtection="1"/>
    <xf numFmtId="175" fontId="33" fillId="0" borderId="22" xfId="4" applyNumberFormat="1" applyFont="1" applyFill="1" applyBorder="1" applyProtection="1"/>
    <xf numFmtId="175" fontId="33" fillId="0" borderId="23" xfId="4" applyNumberFormat="1" applyFont="1" applyFill="1" applyBorder="1" applyProtection="1"/>
    <xf numFmtId="187" fontId="20" fillId="0" borderId="0" xfId="0" applyNumberFormat="1" applyFont="1"/>
    <xf numFmtId="187" fontId="20" fillId="0" borderId="34" xfId="0" applyNumberFormat="1" applyFont="1" applyBorder="1"/>
    <xf numFmtId="175" fontId="20" fillId="0" borderId="0" xfId="0" applyNumberFormat="1" applyFont="1"/>
    <xf numFmtId="175" fontId="20" fillId="0" borderId="32" xfId="0" applyNumberFormat="1" applyFont="1" applyBorder="1"/>
    <xf numFmtId="0" fontId="20" fillId="0" borderId="32" xfId="0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35" xfId="0" applyNumberFormat="1" applyFont="1" applyBorder="1" applyAlignment="1">
      <alignment horizontal="right"/>
    </xf>
    <xf numFmtId="171" fontId="20" fillId="0" borderId="32" xfId="0" applyNumberFormat="1" applyFont="1" applyBorder="1" applyAlignment="1">
      <alignment horizontal="right"/>
    </xf>
    <xf numFmtId="0" fontId="20" fillId="0" borderId="48" xfId="0" applyFont="1" applyBorder="1" applyAlignment="1">
      <alignment horizontal="left"/>
    </xf>
    <xf numFmtId="164" fontId="3" fillId="0" borderId="0" xfId="4" applyNumberFormat="1" applyFont="1" applyFill="1" applyBorder="1"/>
    <xf numFmtId="195" fontId="62" fillId="0" borderId="0" xfId="0" applyNumberFormat="1" applyFont="1"/>
    <xf numFmtId="164" fontId="76" fillId="0" borderId="0" xfId="4" applyNumberFormat="1" applyFont="1" applyFill="1" applyBorder="1"/>
    <xf numFmtId="195" fontId="77" fillId="0" borderId="0" xfId="0" applyNumberFormat="1" applyFont="1"/>
    <xf numFmtId="0" fontId="8" fillId="2" borderId="27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79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6" fontId="12" fillId="2" borderId="0" xfId="8" applyNumberFormat="1" applyFont="1" applyFill="1" applyAlignment="1" applyProtection="1">
      <alignment horizontal="left" wrapText="1"/>
      <protection locked="0"/>
    </xf>
    <xf numFmtId="0" fontId="74" fillId="6" borderId="0" xfId="13" applyFont="1" applyFill="1" applyProtection="1">
      <protection locked="0"/>
    </xf>
    <xf numFmtId="186" fontId="12" fillId="6" borderId="0" xfId="8" applyNumberFormat="1" applyFont="1" applyFill="1" applyAlignment="1" applyProtection="1">
      <alignment horizontal="left" wrapText="1"/>
      <protection locked="0"/>
    </xf>
    <xf numFmtId="0" fontId="8" fillId="2" borderId="0" xfId="13" applyFont="1" applyFill="1" applyAlignment="1" applyProtection="1">
      <alignment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15" fillId="2" borderId="0" xfId="13" applyFont="1" applyFill="1"/>
    <xf numFmtId="0" fontId="8" fillId="2" borderId="0" xfId="13" applyFont="1" applyFill="1"/>
    <xf numFmtId="166" fontId="41" fillId="0" borderId="49" xfId="0" applyNumberFormat="1" applyFont="1" applyBorder="1" applyAlignment="1">
      <alignment horizontal="right"/>
    </xf>
    <xf numFmtId="39" fontId="41" fillId="0" borderId="32" xfId="0" applyNumberFormat="1" applyFont="1" applyBorder="1" applyAlignment="1">
      <alignment horizontal="right"/>
    </xf>
    <xf numFmtId="171" fontId="41" fillId="0" borderId="35" xfId="0" quotePrefix="1" applyNumberFormat="1" applyFont="1" applyBorder="1" applyAlignment="1">
      <alignment horizontal="right"/>
    </xf>
    <xf numFmtId="0" fontId="41" fillId="0" borderId="32" xfId="0" applyFont="1" applyBorder="1"/>
    <xf numFmtId="0" fontId="21" fillId="0" borderId="0" xfId="0" applyFont="1" applyAlignment="1">
      <alignment horizontal="centerContinuous"/>
    </xf>
    <xf numFmtId="0" fontId="41" fillId="0" borderId="50" xfId="0" applyFont="1" applyBorder="1" applyAlignment="1">
      <alignment horizontal="center"/>
    </xf>
    <xf numFmtId="0" fontId="0" fillId="0" borderId="50" xfId="0" applyBorder="1"/>
    <xf numFmtId="9" fontId="41" fillId="0" borderId="32" xfId="0" applyNumberFormat="1" applyFont="1" applyBorder="1"/>
    <xf numFmtId="0" fontId="0" fillId="0" borderId="51" xfId="0" applyBorder="1"/>
    <xf numFmtId="0" fontId="41" fillId="0" borderId="51" xfId="0" applyFont="1" applyBorder="1"/>
    <xf numFmtId="0" fontId="41" fillId="0" borderId="0" xfId="0" applyFont="1" applyBorder="1"/>
    <xf numFmtId="0" fontId="41" fillId="0" borderId="50" xfId="0" applyFont="1" applyBorder="1"/>
    <xf numFmtId="0" fontId="41" fillId="0" borderId="53" xfId="0" applyFont="1" applyBorder="1"/>
    <xf numFmtId="171" fontId="41" fillId="0" borderId="54" xfId="0" quotePrefix="1" applyNumberFormat="1" applyFont="1" applyBorder="1" applyAlignment="1">
      <alignment horizontal="right"/>
    </xf>
    <xf numFmtId="0" fontId="0" fillId="0" borderId="52" xfId="0" quotePrefix="1" applyFont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5" xfId="0" applyBorder="1"/>
    <xf numFmtId="197" fontId="41" fillId="0" borderId="34" xfId="4" applyNumberFormat="1" applyFont="1" applyBorder="1" applyAlignment="1">
      <alignment horizontal="left" indent="12"/>
    </xf>
    <xf numFmtId="0" fontId="0" fillId="0" borderId="32" xfId="0" applyBorder="1" applyAlignment="1">
      <alignment horizontal="right" vertical="center"/>
    </xf>
    <xf numFmtId="198" fontId="0" fillId="0" borderId="34" xfId="0" applyNumberFormat="1" applyBorder="1" applyAlignment="1">
      <alignment horizontal="centerContinuous"/>
    </xf>
    <xf numFmtId="0" fontId="0" fillId="0" borderId="56" xfId="0" applyBorder="1" applyAlignment="1">
      <alignment horizontal="left" indent="12"/>
    </xf>
    <xf numFmtId="0" fontId="0" fillId="0" borderId="0" xfId="9" applyFont="1" applyAlignment="1">
      <alignment horizontal="left"/>
    </xf>
    <xf numFmtId="171" fontId="32" fillId="0" borderId="0" xfId="0" applyNumberFormat="1" applyFont="1" applyBorder="1"/>
    <xf numFmtId="199" fontId="41" fillId="0" borderId="0" xfId="4" applyNumberFormat="1" applyFont="1" applyAlignment="1">
      <alignment horizontal="centerContinuous"/>
    </xf>
    <xf numFmtId="199" fontId="20" fillId="0" borderId="34" xfId="0" quotePrefix="1" applyNumberFormat="1" applyFont="1" applyBorder="1" applyAlignment="1">
      <alignment horizontal="centerContinuous"/>
    </xf>
    <xf numFmtId="199" fontId="65" fillId="0" borderId="0" xfId="14" applyNumberFormat="1" applyFont="1"/>
    <xf numFmtId="199" fontId="65" fillId="0" borderId="0" xfId="9" applyNumberFormat="1" applyFont="1"/>
    <xf numFmtId="0" fontId="3" fillId="0" borderId="20" xfId="9" applyFont="1" applyBorder="1"/>
    <xf numFmtId="171" fontId="20" fillId="0" borderId="57" xfId="0" applyNumberFormat="1" applyFont="1" applyBorder="1"/>
    <xf numFmtId="2" fontId="19" fillId="0" borderId="13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2" fontId="19" fillId="0" borderId="4" xfId="0" applyNumberFormat="1" applyFont="1" applyBorder="1" applyAlignment="1">
      <alignment vertical="center"/>
    </xf>
    <xf numFmtId="2" fontId="0" fillId="0" borderId="0" xfId="0" applyNumberFormat="1"/>
    <xf numFmtId="169" fontId="80" fillId="0" borderId="0" xfId="4" applyNumberFormat="1" applyFont="1" applyFill="1" applyProtection="1"/>
    <xf numFmtId="10" fontId="81" fillId="0" borderId="0" xfId="4" applyNumberFormat="1" applyFont="1" applyFill="1" applyBorder="1" applyProtection="1"/>
    <xf numFmtId="43" fontId="0" fillId="0" borderId="0" xfId="0" applyNumberFormat="1"/>
    <xf numFmtId="172" fontId="0" fillId="0" borderId="17" xfId="0" applyNumberFormat="1" applyFont="1" applyBorder="1"/>
    <xf numFmtId="171" fontId="0" fillId="0" borderId="22" xfId="0" applyNumberFormat="1" applyFont="1" applyBorder="1" applyAlignment="1">
      <alignment horizontal="right"/>
    </xf>
    <xf numFmtId="2" fontId="82" fillId="0" borderId="0" xfId="0" applyNumberFormat="1" applyFont="1"/>
    <xf numFmtId="0" fontId="0" fillId="0" borderId="0" xfId="0" applyFont="1"/>
    <xf numFmtId="172" fontId="0" fillId="0" borderId="12" xfId="4" applyNumberFormat="1" applyFont="1" applyFill="1" applyBorder="1" applyProtection="1"/>
    <xf numFmtId="172" fontId="63" fillId="0" borderId="12" xfId="4" applyNumberFormat="1" applyFont="1" applyFill="1" applyBorder="1" applyProtection="1"/>
    <xf numFmtId="2" fontId="82" fillId="0" borderId="12" xfId="0" applyNumberFormat="1" applyFont="1" applyBorder="1"/>
    <xf numFmtId="172" fontId="19" fillId="0" borderId="27" xfId="4" applyNumberFormat="1" applyFont="1" applyFill="1" applyBorder="1" applyProtection="1"/>
    <xf numFmtId="37" fontId="19" fillId="0" borderId="3" xfId="4" applyNumberFormat="1" applyFont="1" applyFill="1" applyBorder="1" applyProtection="1"/>
    <xf numFmtId="37" fontId="0" fillId="0" borderId="3" xfId="4" applyNumberFormat="1" applyFont="1" applyFill="1" applyBorder="1" applyProtection="1"/>
    <xf numFmtId="173" fontId="19" fillId="0" borderId="58" xfId="4" applyNumberFormat="1" applyFont="1" applyFill="1" applyBorder="1" applyProtection="1"/>
    <xf numFmtId="175" fontId="0" fillId="2" borderId="0" xfId="4" applyNumberFormat="1" applyFont="1" applyFill="1" applyBorder="1" applyProtection="1"/>
    <xf numFmtId="173" fontId="19" fillId="2" borderId="0" xfId="4" applyNumberFormat="1" applyFont="1" applyFill="1" applyBorder="1" applyProtection="1"/>
    <xf numFmtId="172" fontId="0" fillId="0" borderId="1" xfId="4" applyNumberFormat="1" applyFont="1" applyFill="1" applyBorder="1" applyAlignment="1" applyProtection="1">
      <alignment horizontal="right"/>
    </xf>
    <xf numFmtId="172" fontId="63" fillId="0" borderId="1" xfId="4" applyNumberFormat="1" applyFont="1" applyFill="1" applyBorder="1" applyAlignment="1" applyProtection="1">
      <alignment horizontal="right"/>
    </xf>
    <xf numFmtId="10" fontId="82" fillId="0" borderId="0" xfId="4" applyNumberFormat="1" applyFont="1" applyFill="1" applyBorder="1" applyProtection="1"/>
    <xf numFmtId="172" fontId="82" fillId="0" borderId="1" xfId="4" applyNumberFormat="1" applyFont="1" applyFill="1" applyBorder="1" applyAlignment="1" applyProtection="1">
      <alignment horizontal="right"/>
    </xf>
    <xf numFmtId="172" fontId="56" fillId="0" borderId="0" xfId="0" applyNumberFormat="1" applyFont="1" applyAlignment="1">
      <alignment horizontal="center" vertical="center"/>
    </xf>
    <xf numFmtId="0" fontId="35" fillId="0" borderId="59" xfId="0" applyFont="1" applyBorder="1" applyAlignment="1">
      <alignment vertical="center"/>
    </xf>
    <xf numFmtId="0" fontId="0" fillId="0" borderId="58" xfId="0" applyBorder="1"/>
    <xf numFmtId="0" fontId="33" fillId="0" borderId="58" xfId="0" applyFont="1" applyBorder="1"/>
    <xf numFmtId="173" fontId="19" fillId="0" borderId="58" xfId="0" applyNumberFormat="1" applyFont="1" applyBorder="1" applyAlignment="1">
      <alignment vertical="center"/>
    </xf>
    <xf numFmtId="173" fontId="19" fillId="0" borderId="58" xfId="0" applyNumberFormat="1" applyFont="1" applyBorder="1" applyAlignment="1">
      <alignment horizontal="center" vertical="center"/>
    </xf>
    <xf numFmtId="173" fontId="19" fillId="0" borderId="60" xfId="0" applyNumberFormat="1" applyFont="1" applyBorder="1" applyAlignment="1">
      <alignment horizontal="center" vertical="center"/>
    </xf>
    <xf numFmtId="172" fontId="0" fillId="0" borderId="1" xfId="4" applyNumberFormat="1" applyFont="1" applyFill="1" applyBorder="1" applyProtection="1"/>
    <xf numFmtId="175" fontId="63" fillId="0" borderId="1" xfId="4" applyNumberFormat="1" applyFont="1" applyFill="1" applyBorder="1" applyProtection="1"/>
    <xf numFmtId="0" fontId="41" fillId="0" borderId="0" xfId="0" applyFont="1"/>
    <xf numFmtId="173" fontId="20" fillId="0" borderId="50" xfId="0" applyNumberFormat="1" applyFont="1" applyBorder="1"/>
    <xf numFmtId="173" fontId="41" fillId="0" borderId="50" xfId="0" applyNumberFormat="1" applyFont="1" applyBorder="1"/>
    <xf numFmtId="172" fontId="0" fillId="0" borderId="61" xfId="0" applyNumberFormat="1" applyBorder="1"/>
    <xf numFmtId="175" fontId="20" fillId="0" borderId="50" xfId="0" applyNumberFormat="1" applyFont="1" applyBorder="1"/>
    <xf numFmtId="175" fontId="19" fillId="0" borderId="1" xfId="0" applyNumberFormat="1" applyFont="1" applyBorder="1"/>
    <xf numFmtId="184" fontId="0" fillId="0" borderId="14" xfId="0" applyNumberFormat="1" applyBorder="1"/>
    <xf numFmtId="173" fontId="19" fillId="0" borderId="26" xfId="4" applyNumberFormat="1" applyFont="1" applyFill="1" applyBorder="1" applyProtection="1"/>
    <xf numFmtId="0" fontId="19" fillId="2" borderId="0" xfId="0" applyFont="1" applyFill="1" applyAlignment="1">
      <alignment horizontal="center"/>
    </xf>
    <xf numFmtId="0" fontId="0" fillId="2" borderId="0" xfId="0" applyFill="1"/>
    <xf numFmtId="185" fontId="63" fillId="0" borderId="1" xfId="0" applyNumberFormat="1" applyFont="1" applyBorder="1"/>
    <xf numFmtId="185" fontId="0" fillId="0" borderId="1" xfId="0" applyNumberFormat="1" applyBorder="1"/>
    <xf numFmtId="173" fontId="19" fillId="0" borderId="14" xfId="0" applyNumberFormat="1" applyFont="1" applyBorder="1"/>
    <xf numFmtId="172" fontId="0" fillId="0" borderId="1" xfId="0" applyNumberFormat="1" applyBorder="1"/>
    <xf numFmtId="173" fontId="19" fillId="0" borderId="1" xfId="0" applyNumberFormat="1" applyFont="1" applyBorder="1"/>
    <xf numFmtId="172" fontId="63" fillId="0" borderId="1" xfId="0" applyNumberFormat="1" applyFont="1" applyBorder="1"/>
    <xf numFmtId="0" fontId="0" fillId="0" borderId="61" xfId="0" applyBorder="1"/>
    <xf numFmtId="172" fontId="63" fillId="0" borderId="61" xfId="0" applyNumberFormat="1" applyFont="1" applyBorder="1"/>
    <xf numFmtId="173" fontId="19" fillId="0" borderId="62" xfId="0" applyNumberFormat="1" applyFont="1" applyBorder="1"/>
    <xf numFmtId="172" fontId="82" fillId="0" borderId="0" xfId="4" applyNumberFormat="1" applyFont="1" applyFill="1" applyBorder="1" applyProtection="1"/>
    <xf numFmtId="2" fontId="0" fillId="0" borderId="1" xfId="0" applyNumberFormat="1" applyBorder="1"/>
    <xf numFmtId="171" fontId="28" fillId="0" borderId="1" xfId="0" applyNumberFormat="1" applyFont="1" applyBorder="1"/>
    <xf numFmtId="10" fontId="81" fillId="0" borderId="1" xfId="4" applyNumberFormat="1" applyFont="1" applyFill="1" applyBorder="1" applyProtection="1"/>
    <xf numFmtId="175" fontId="0" fillId="0" borderId="1" xfId="4" applyNumberFormat="1" applyFont="1" applyFill="1" applyBorder="1" applyProtection="1"/>
    <xf numFmtId="175" fontId="0" fillId="2" borderId="1" xfId="4" applyNumberFormat="1" applyFont="1" applyFill="1" applyBorder="1" applyProtection="1"/>
    <xf numFmtId="37" fontId="0" fillId="0" borderId="1" xfId="4" applyNumberFormat="1" applyFont="1" applyFill="1" applyBorder="1" applyProtection="1"/>
    <xf numFmtId="195" fontId="62" fillId="0" borderId="6" xfId="0" applyNumberFormat="1" applyFont="1" applyBorder="1"/>
    <xf numFmtId="0" fontId="36" fillId="0" borderId="0" xfId="0" applyFont="1" applyAlignment="1">
      <alignment horizontal="right"/>
    </xf>
    <xf numFmtId="173" fontId="19" fillId="0" borderId="3" xfId="0" applyNumberFormat="1" applyFont="1" applyBorder="1"/>
    <xf numFmtId="172" fontId="0" fillId="0" borderId="9" xfId="4" applyNumberFormat="1" applyFont="1" applyBorder="1" applyProtection="1"/>
    <xf numFmtId="172" fontId="22" fillId="0" borderId="6" xfId="4" applyNumberFormat="1" applyFont="1" applyBorder="1" applyProtection="1"/>
    <xf numFmtId="172" fontId="35" fillId="0" borderId="15" xfId="0" applyNumberFormat="1" applyFont="1" applyBorder="1"/>
    <xf numFmtId="196" fontId="0" fillId="0" borderId="11" xfId="4" applyNumberFormat="1" applyFont="1" applyBorder="1" applyProtection="1"/>
  </cellXfs>
  <cellStyles count="15">
    <cellStyle name="Across" xfId="1"/>
    <cellStyle name="Bottom" xfId="2"/>
    <cellStyle name="Center" xfId="3"/>
    <cellStyle name="Comma" xfId="4" builtinId="3"/>
    <cellStyle name="Currency [2]" xfId="5"/>
    <cellStyle name="Double" xfId="6"/>
    <cellStyle name="Normal" xfId="0" builtinId="0"/>
    <cellStyle name="Normal 2" xfId="13"/>
    <cellStyle name="Normal_DrydenNewDCF3" xfId="7"/>
    <cellStyle name="Normal_Inverness Drive Model 4-26-02" xfId="8"/>
    <cellStyle name="Normal_TrainingDCF1" xfId="9"/>
    <cellStyle name="Numbers" xfId="10"/>
    <cellStyle name="Numbers - Bold - Italic" xfId="11"/>
    <cellStyle name="Outline" xfId="12"/>
    <cellStyle name="Percent" xfId="14" builtinId="5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0000FF"/>
      <color rgb="FF009966"/>
      <color rgb="FF5B77CC"/>
      <color rgb="FFFFFF99"/>
      <color rgb="FF002F6C"/>
      <color rgb="FF008ED6"/>
      <color rgb="FF6B72A9"/>
      <color rgb="FF6B729F"/>
      <color rgb="FF4586BB"/>
      <color rgb="FF827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5" fmlaLink="$D$6" fmlaRange="$C$14:$C$16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594382</xdr:colOff>
      <xdr:row>5</xdr:row>
      <xdr:rowOff>39361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6805"/>
          <a:ext cx="4095769" cy="987327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708355</xdr:colOff>
      <xdr:row>27</xdr:row>
      <xdr:rowOff>151617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286502" y="5651502"/>
          <a:ext cx="2529170" cy="813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4</xdr:row>
          <xdr:rowOff>63500</xdr:rowOff>
        </xdr:from>
        <xdr:to>
          <xdr:col>4</xdr:col>
          <xdr:colOff>25400</xdr:colOff>
          <xdr:row>5</xdr:row>
          <xdr:rowOff>196850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8"/>
  <sheetViews>
    <sheetView zoomScale="70" zoomScaleNormal="70" workbookViewId="0">
      <selection activeCell="I7" sqref="I7"/>
    </sheetView>
  </sheetViews>
  <sheetFormatPr defaultColWidth="12.453125" defaultRowHeight="15.5"/>
  <cols>
    <col min="1" max="1" width="5.26953125" style="480" customWidth="1"/>
    <col min="2" max="2" width="23.54296875" style="480" customWidth="1"/>
    <col min="3" max="11" width="12.453125" style="480"/>
    <col min="12" max="12" width="2.81640625" style="480" customWidth="1"/>
    <col min="13" max="16384" width="12.453125" style="480"/>
  </cols>
  <sheetData>
    <row r="1" spans="1:16">
      <c r="A1" s="479"/>
      <c r="B1" s="479"/>
      <c r="C1" s="479"/>
      <c r="D1" s="479"/>
      <c r="E1" s="479"/>
      <c r="F1" s="479"/>
      <c r="G1" s="479"/>
      <c r="H1" s="479"/>
      <c r="I1" s="479"/>
      <c r="J1" s="479"/>
    </row>
    <row r="4" spans="1:16" ht="30">
      <c r="D4" s="481"/>
    </row>
    <row r="6" spans="1:16" ht="22.5">
      <c r="B6" s="492" t="s">
        <v>167</v>
      </c>
      <c r="D6" s="483"/>
      <c r="M6" s="480" t="s">
        <v>126</v>
      </c>
    </row>
    <row r="7" spans="1:16">
      <c r="G7" s="484"/>
    </row>
    <row r="10" spans="1:16" ht="30">
      <c r="B10" s="485"/>
    </row>
    <row r="11" spans="1:16" ht="17.5">
      <c r="B11" s="486"/>
      <c r="C11" s="486"/>
      <c r="D11" s="486"/>
    </row>
    <row r="12" spans="1:16" ht="35">
      <c r="B12" s="487" t="s">
        <v>170</v>
      </c>
    </row>
    <row r="13" spans="1:16" ht="20.149999999999999" customHeight="1">
      <c r="B13" s="488">
        <f ca="1">TODAY()</f>
        <v>45669</v>
      </c>
      <c r="C13" s="486"/>
      <c r="D13" s="486"/>
    </row>
    <row r="15" spans="1:16" ht="16" customHeight="1">
      <c r="P15" s="489"/>
    </row>
    <row r="16" spans="1:16">
      <c r="P16" s="489"/>
    </row>
    <row r="24" spans="1:10" ht="19" customHeight="1">
      <c r="B24" s="493" t="s">
        <v>169</v>
      </c>
      <c r="D24" s="490"/>
      <c r="H24" s="494" t="s">
        <v>166</v>
      </c>
    </row>
    <row r="25" spans="1:10" ht="19" customHeight="1">
      <c r="D25" s="482"/>
    </row>
    <row r="28" spans="1:10" ht="16" thickBot="1">
      <c r="A28" s="491"/>
      <c r="B28" s="491"/>
      <c r="C28" s="491"/>
      <c r="D28" s="491"/>
      <c r="E28" s="491"/>
      <c r="F28" s="491"/>
      <c r="G28" s="491"/>
      <c r="H28" s="491"/>
      <c r="I28" s="491"/>
      <c r="J28" s="491"/>
    </row>
  </sheetData>
  <sheetProtection algorithmName="SHA-512" hashValue="T9BCwrSiI4YdYOj9kW5QAo625kNt95xOnpKW0Fqa8hdNSNxa6Majq4e5oot5QRt0o9XprTTTcJlXjGLSvNtVtA==" saltValue="4Kz/39CQEseSATdAnTnoOg==" spinCount="100000" sheet="1" objects="1" scenarios="1" selectLockedCells="1"/>
  <printOptions horizontalCentered="1"/>
  <pageMargins left="9.8425196850393706E-2" right="9.8425196850393706E-2" top="9.8425196850393706E-2" bottom="0.19685039370078741" header="9.8425196850393706E-2" footer="9.8425196850393706E-2"/>
  <pageSetup orientation="landscape" r:id="rId1"/>
  <headerFooter>
    <oddFooter xml:space="preserve">&amp;L&amp;F&amp;CPage &amp;P of &amp;N&amp;R&amp;D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F66"/>
  <sheetViews>
    <sheetView showGridLines="0" topLeftCell="A40" zoomScaleNormal="100" workbookViewId="0">
      <selection activeCell="Q18" sqref="Q18"/>
    </sheetView>
  </sheetViews>
  <sheetFormatPr defaultColWidth="10.7265625" defaultRowHeight="12.5"/>
  <cols>
    <col min="1" max="1" width="2.54296875" style="293" customWidth="1"/>
    <col min="2" max="2" width="4.7265625" style="293" customWidth="1"/>
    <col min="3" max="4" width="1.7265625" style="293" customWidth="1"/>
    <col min="5" max="5" width="20.7265625" style="293" customWidth="1"/>
    <col min="6" max="6" width="9.26953125" style="293" customWidth="1"/>
    <col min="7" max="7" width="1.81640625" style="293" customWidth="1"/>
    <col min="8" max="15" width="9.26953125" style="293" customWidth="1"/>
    <col min="16" max="16" width="1.7265625" style="293" customWidth="1"/>
    <col min="17" max="17" width="4.7265625" style="293" customWidth="1"/>
    <col min="18" max="19" width="2.7265625" style="293" customWidth="1"/>
    <col min="20" max="21" width="1.7265625" style="293" customWidth="1"/>
    <col min="22" max="22" width="20.7265625" style="293" customWidth="1"/>
    <col min="23" max="31" width="9.26953125" style="293" customWidth="1"/>
    <col min="32" max="32" width="1.7265625" style="293" customWidth="1"/>
    <col min="33" max="16384" width="10.7265625" style="293"/>
  </cols>
  <sheetData>
    <row r="1" spans="2:32" ht="22.75" customHeight="1">
      <c r="B1" s="290" t="str">
        <f>Cover!B12</f>
        <v>Blu Containers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2"/>
      <c r="P1" s="292"/>
      <c r="Q1" s="292"/>
      <c r="T1" s="291"/>
      <c r="U1" s="291"/>
      <c r="V1" s="291"/>
      <c r="W1" s="291"/>
      <c r="X1" s="292"/>
      <c r="Y1" s="292"/>
      <c r="Z1" s="292"/>
      <c r="AA1" s="292"/>
      <c r="AB1" s="292"/>
      <c r="AC1" s="292"/>
      <c r="AD1" s="292"/>
      <c r="AE1" s="292"/>
    </row>
    <row r="2" spans="2:32" ht="18">
      <c r="B2" s="294" t="s">
        <v>155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</row>
    <row r="3" spans="2:32" ht="3" customHeight="1" thickBot="1"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</row>
    <row r="4" spans="2:32" ht="10" customHeight="1"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</row>
    <row r="5" spans="2:32" ht="15" customHeight="1">
      <c r="C5" s="296" t="s">
        <v>134</v>
      </c>
      <c r="D5" s="297"/>
      <c r="E5" s="297"/>
      <c r="F5" s="297"/>
      <c r="G5" s="297"/>
      <c r="H5" s="295"/>
      <c r="I5" s="295"/>
      <c r="J5" s="295"/>
      <c r="K5" s="295"/>
      <c r="L5" s="295"/>
      <c r="M5" s="295"/>
      <c r="N5" s="295"/>
      <c r="O5" s="295"/>
      <c r="P5" s="295"/>
      <c r="T5" s="296" t="str">
        <f>"SUMMMARY VALUES - "&amp;UPPER(CHOOSE(Scenarios!$D$6,Scenarios!C14,Scenarios!C15,Scenarios!C16))</f>
        <v>SUMMMARY VALUES - WORST CASE</v>
      </c>
      <c r="U5" s="297"/>
      <c r="V5" s="297"/>
      <c r="W5" s="297"/>
      <c r="X5" s="295"/>
      <c r="Y5" s="295"/>
      <c r="Z5" s="295"/>
      <c r="AA5" s="295"/>
      <c r="AB5" s="295"/>
      <c r="AC5" s="295"/>
      <c r="AD5" s="295"/>
      <c r="AE5" s="295"/>
    </row>
    <row r="6" spans="2:32" s="312" customFormat="1" ht="15" customHeight="1">
      <c r="C6" s="396"/>
      <c r="D6" s="397"/>
      <c r="E6" s="397"/>
      <c r="F6" s="397"/>
      <c r="G6" s="397"/>
      <c r="H6" s="398"/>
      <c r="I6" s="398"/>
      <c r="J6" s="398"/>
      <c r="K6" s="399" t="s">
        <v>2</v>
      </c>
      <c r="L6" s="400"/>
      <c r="M6" s="400"/>
      <c r="N6" s="400"/>
      <c r="O6" s="400"/>
      <c r="P6" s="401"/>
      <c r="T6" s="313"/>
      <c r="U6" s="314"/>
      <c r="V6" s="314"/>
      <c r="W6" s="314"/>
      <c r="X6" s="314"/>
      <c r="Y6" s="314"/>
      <c r="Z6" s="314"/>
      <c r="AA6" s="315" t="s">
        <v>2</v>
      </c>
      <c r="AB6" s="316"/>
      <c r="AC6" s="316"/>
      <c r="AD6" s="316"/>
      <c r="AE6" s="316"/>
      <c r="AF6" s="317"/>
    </row>
    <row r="7" spans="2:32" s="312" customFormat="1" ht="15" customHeight="1">
      <c r="C7" s="402"/>
      <c r="D7" s="365" t="s">
        <v>148</v>
      </c>
      <c r="E7" s="366"/>
      <c r="F7" s="365" t="s">
        <v>165</v>
      </c>
      <c r="G7" s="366"/>
      <c r="H7" s="367">
        <f>X7</f>
        <v>2020</v>
      </c>
      <c r="I7" s="367">
        <f t="shared" ref="I7:O7" si="0">Y7</f>
        <v>2021</v>
      </c>
      <c r="J7" s="367">
        <f t="shared" si="0"/>
        <v>2022</v>
      </c>
      <c r="K7" s="368">
        <f t="shared" si="0"/>
        <v>2023</v>
      </c>
      <c r="L7" s="368">
        <f t="shared" si="0"/>
        <v>2024</v>
      </c>
      <c r="M7" s="368">
        <f t="shared" si="0"/>
        <v>2025</v>
      </c>
      <c r="N7" s="368">
        <f t="shared" si="0"/>
        <v>2026</v>
      </c>
      <c r="O7" s="368">
        <f t="shared" si="0"/>
        <v>2027</v>
      </c>
      <c r="P7" s="403"/>
      <c r="T7" s="318"/>
      <c r="U7" s="319"/>
      <c r="V7" s="319"/>
      <c r="W7" s="319"/>
      <c r="X7" s="320">
        <f>Model!H8</f>
        <v>2020</v>
      </c>
      <c r="Y7" s="320">
        <f>Model!I8</f>
        <v>2021</v>
      </c>
      <c r="Z7" s="320">
        <f>Model!J8</f>
        <v>2022</v>
      </c>
      <c r="AA7" s="321">
        <f>Model!K8</f>
        <v>2023</v>
      </c>
      <c r="AB7" s="321">
        <f>Model!L8</f>
        <v>2024</v>
      </c>
      <c r="AC7" s="321">
        <f>Model!M8</f>
        <v>2025</v>
      </c>
      <c r="AD7" s="321">
        <f>Model!N8</f>
        <v>2026</v>
      </c>
      <c r="AE7" s="321">
        <f>Model!O8</f>
        <v>2027</v>
      </c>
      <c r="AF7" s="322"/>
    </row>
    <row r="8" spans="2:32" ht="3" customHeight="1">
      <c r="C8" s="404"/>
      <c r="D8" s="378"/>
      <c r="E8" s="378"/>
      <c r="F8" s="378"/>
      <c r="G8" s="378"/>
      <c r="H8" s="379"/>
      <c r="I8" s="379"/>
      <c r="J8" s="380"/>
      <c r="K8" s="381"/>
      <c r="L8" s="381"/>
      <c r="M8" s="381"/>
      <c r="N8" s="381"/>
      <c r="O8" s="381"/>
      <c r="P8" s="405"/>
      <c r="T8" s="298"/>
      <c r="X8" s="301"/>
      <c r="Y8" s="301"/>
      <c r="Z8" s="302"/>
      <c r="AA8" s="21"/>
      <c r="AB8" s="21"/>
      <c r="AC8" s="21"/>
      <c r="AD8" s="21"/>
      <c r="AE8" s="21"/>
      <c r="AF8" s="300"/>
    </row>
    <row r="9" spans="2:32" ht="3" customHeight="1">
      <c r="C9" s="406"/>
      <c r="D9" s="386"/>
      <c r="E9" s="386"/>
      <c r="F9" s="386"/>
      <c r="G9" s="386"/>
      <c r="H9" s="387"/>
      <c r="I9" s="387"/>
      <c r="J9" s="388"/>
      <c r="K9" s="389"/>
      <c r="L9" s="389"/>
      <c r="M9" s="389"/>
      <c r="N9" s="389"/>
      <c r="O9" s="389"/>
      <c r="P9" s="407"/>
      <c r="T9" s="298"/>
      <c r="X9" s="301"/>
      <c r="Y9" s="301"/>
      <c r="Z9" s="302"/>
      <c r="AA9" s="21"/>
      <c r="AB9" s="21"/>
      <c r="AC9" s="21"/>
      <c r="AD9" s="21"/>
      <c r="AE9" s="21"/>
      <c r="AF9" s="300"/>
    </row>
    <row r="10" spans="2:32" ht="13" customHeight="1">
      <c r="C10" s="408"/>
      <c r="D10" s="303" t="s">
        <v>128</v>
      </c>
      <c r="P10" s="409"/>
      <c r="T10" s="298"/>
      <c r="U10" s="303" t="s">
        <v>128</v>
      </c>
      <c r="AF10" s="300"/>
    </row>
    <row r="11" spans="2:32" ht="3" customHeight="1">
      <c r="C11" s="408"/>
      <c r="D11" s="303"/>
      <c r="P11" s="409"/>
      <c r="T11" s="298"/>
      <c r="U11" s="303"/>
      <c r="AF11" s="300"/>
    </row>
    <row r="12" spans="2:32">
      <c r="C12" s="408"/>
      <c r="E12" s="293" t="s">
        <v>3</v>
      </c>
      <c r="F12" s="393"/>
      <c r="H12" s="477">
        <v>213.49999999999997</v>
      </c>
      <c r="I12" s="477">
        <v>236.60000000000002</v>
      </c>
      <c r="J12" s="477">
        <v>204.79999999999998</v>
      </c>
      <c r="K12" s="477">
        <v>252.52005383580078</v>
      </c>
      <c r="L12" s="477">
        <v>233.63473744279943</v>
      </c>
      <c r="M12" s="477">
        <v>281.29567004459767</v>
      </c>
      <c r="N12" s="477">
        <v>281.29411549768906</v>
      </c>
      <c r="O12" s="477">
        <v>268.17287049000004</v>
      </c>
      <c r="P12" s="409"/>
      <c r="T12" s="298"/>
      <c r="V12" s="293" t="s">
        <v>3</v>
      </c>
      <c r="W12" s="304" t="s">
        <v>145</v>
      </c>
      <c r="X12" s="475">
        <f>Model!H86</f>
        <v>213.49999999999997</v>
      </c>
      <c r="Y12" s="475">
        <f>Model!I86</f>
        <v>236.60000000000002</v>
      </c>
      <c r="Z12" s="475">
        <f>Model!J86</f>
        <v>204.79999999999998</v>
      </c>
      <c r="AA12" s="475">
        <f>Model!K86</f>
        <v>238.46934051144007</v>
      </c>
      <c r="AB12" s="475">
        <f>Model!L86</f>
        <v>219.12455890174965</v>
      </c>
      <c r="AC12" s="475">
        <f ca="1">Model!M86</f>
        <v>261.28551753290424</v>
      </c>
      <c r="AD12" s="475">
        <f ca="1">Model!N86</f>
        <v>257.23639104350485</v>
      </c>
      <c r="AE12" s="475">
        <f ca="1">Model!O86</f>
        <v>241.92495353143494</v>
      </c>
      <c r="AF12" s="300"/>
    </row>
    <row r="13" spans="2:32" ht="13">
      <c r="C13" s="408"/>
      <c r="E13" s="306" t="s">
        <v>135</v>
      </c>
      <c r="F13" s="307"/>
      <c r="G13" s="306"/>
      <c r="H13" s="394"/>
      <c r="I13" s="478">
        <v>0.10819672131147562</v>
      </c>
      <c r="J13" s="478">
        <v>-0.13440405748098072</v>
      </c>
      <c r="K13" s="478">
        <v>0.23300807537012114</v>
      </c>
      <c r="L13" s="478">
        <v>-7.4787392550143328E-2</v>
      </c>
      <c r="M13" s="478">
        <v>0.20399762947693945</v>
      </c>
      <c r="N13" s="478">
        <v>-5.5263805104344144E-6</v>
      </c>
      <c r="O13" s="478">
        <v>-4.6645998919934151E-2</v>
      </c>
      <c r="P13" s="409"/>
      <c r="T13" s="298"/>
      <c r="V13" s="306" t="s">
        <v>135</v>
      </c>
      <c r="W13" s="307" t="s">
        <v>101</v>
      </c>
      <c r="Y13" s="476">
        <f>Y12/X12-1</f>
        <v>0.10819672131147562</v>
      </c>
      <c r="Z13" s="476">
        <f t="shared" ref="Z13:AF13" si="1">Z12/Y12-1</f>
        <v>-0.13440405748098072</v>
      </c>
      <c r="AA13" s="476">
        <f t="shared" si="1"/>
        <v>0.164401076716016</v>
      </c>
      <c r="AB13" s="476">
        <f t="shared" si="1"/>
        <v>-8.1120623591284691E-2</v>
      </c>
      <c r="AC13" s="476">
        <f t="shared" ca="1" si="1"/>
        <v>0.19240635938967743</v>
      </c>
      <c r="AD13" s="476">
        <f t="shared" ca="1" si="1"/>
        <v>-1.5496941918678897E-2</v>
      </c>
      <c r="AE13" s="476">
        <f t="shared" ca="1" si="1"/>
        <v>-5.9522828204662481E-2</v>
      </c>
      <c r="AF13" s="585">
        <f t="shared" ca="1" si="1"/>
        <v>-1</v>
      </c>
    </row>
    <row r="14" spans="2:32" ht="3" customHeight="1">
      <c r="C14" s="408"/>
      <c r="E14" s="355"/>
      <c r="F14" s="355"/>
      <c r="G14" s="355"/>
      <c r="H14" s="420"/>
      <c r="I14" s="420"/>
      <c r="J14" s="420"/>
      <c r="K14" s="420"/>
      <c r="L14" s="420"/>
      <c r="M14" s="420"/>
      <c r="N14" s="420"/>
      <c r="O14" s="420"/>
      <c r="P14" s="409"/>
      <c r="T14" s="298"/>
      <c r="AF14" s="300"/>
    </row>
    <row r="15" spans="2:32" ht="3" customHeight="1">
      <c r="C15" s="408"/>
      <c r="H15" s="394"/>
      <c r="I15" s="394"/>
      <c r="J15" s="394"/>
      <c r="K15" s="394"/>
      <c r="L15" s="394"/>
      <c r="M15" s="394"/>
      <c r="N15" s="394"/>
      <c r="O15" s="394"/>
      <c r="P15" s="409"/>
      <c r="T15" s="298"/>
      <c r="AF15" s="300"/>
    </row>
    <row r="16" spans="2:32">
      <c r="C16" s="408"/>
      <c r="E16" s="293" t="s">
        <v>5</v>
      </c>
      <c r="F16" s="393"/>
      <c r="H16" s="477">
        <v>50.19999999999996</v>
      </c>
      <c r="I16" s="477">
        <v>68.400000000000034</v>
      </c>
      <c r="J16" s="477">
        <v>33.099999999999966</v>
      </c>
      <c r="K16" s="477">
        <v>73.908936742934031</v>
      </c>
      <c r="L16" s="477">
        <v>47.138384430686358</v>
      </c>
      <c r="M16" s="477">
        <v>86.494145169348144</v>
      </c>
      <c r="N16" s="477">
        <v>76.74534154067311</v>
      </c>
      <c r="O16" s="477">
        <v>54.342095904000075</v>
      </c>
      <c r="P16" s="410"/>
      <c r="T16" s="298"/>
      <c r="V16" s="293" t="s">
        <v>5</v>
      </c>
      <c r="W16" s="304" t="s">
        <v>145</v>
      </c>
      <c r="X16" s="475">
        <f>Model!H93</f>
        <v>50.19999999999996</v>
      </c>
      <c r="Y16" s="475">
        <f>Model!I93</f>
        <v>68.400000000000034</v>
      </c>
      <c r="Z16" s="475">
        <f>Model!J93</f>
        <v>33.099999999999966</v>
      </c>
      <c r="AA16" s="475">
        <f>Model!K93</f>
        <v>60.864995962314907</v>
      </c>
      <c r="AB16" s="475">
        <f>Model!L93</f>
        <v>33.142568381588148</v>
      </c>
      <c r="AC16" s="475">
        <f ca="1">Model!M93</f>
        <v>66.856354414772198</v>
      </c>
      <c r="AD16" s="475">
        <f ca="1">Model!N93</f>
        <v>54.340524173989138</v>
      </c>
      <c r="AE16" s="475">
        <f ca="1">Model!O93</f>
        <v>30.594623530523648</v>
      </c>
      <c r="AF16" s="300"/>
    </row>
    <row r="17" spans="3:32" ht="13">
      <c r="C17" s="408"/>
      <c r="E17" s="306" t="s">
        <v>136</v>
      </c>
      <c r="F17" s="307"/>
      <c r="G17" s="306"/>
      <c r="H17" s="478">
        <v>0.23512880562060876</v>
      </c>
      <c r="I17" s="478">
        <v>0.28909551986475074</v>
      </c>
      <c r="J17" s="478">
        <v>0.16162109374999983</v>
      </c>
      <c r="K17" s="478">
        <v>0.29268541496111333</v>
      </c>
      <c r="L17" s="478">
        <v>0.20176102640655996</v>
      </c>
      <c r="M17" s="478">
        <v>0.30748480826468122</v>
      </c>
      <c r="N17" s="478">
        <v>0.27282953077382666</v>
      </c>
      <c r="O17" s="478">
        <v>0.20263830492885912</v>
      </c>
      <c r="P17" s="411"/>
      <c r="T17" s="298"/>
      <c r="V17" s="306" t="s">
        <v>136</v>
      </c>
      <c r="W17" s="307" t="s">
        <v>101</v>
      </c>
      <c r="X17" s="476">
        <f>X16/X12</f>
        <v>0.23512880562060876</v>
      </c>
      <c r="Y17" s="476">
        <f t="shared" ref="Y17:AE17" si="2">Y16/Y12</f>
        <v>0.28909551986475074</v>
      </c>
      <c r="Z17" s="476">
        <f t="shared" si="2"/>
        <v>0.16162109374999983</v>
      </c>
      <c r="AA17" s="476">
        <f t="shared" si="2"/>
        <v>0.25523195489943934</v>
      </c>
      <c r="AB17" s="476">
        <f t="shared" si="2"/>
        <v>0.15124990346905162</v>
      </c>
      <c r="AC17" s="476">
        <f t="shared" ca="1" si="2"/>
        <v>0.2558747038337203</v>
      </c>
      <c r="AD17" s="476">
        <f t="shared" ca="1" si="2"/>
        <v>0.21124742091720161</v>
      </c>
      <c r="AE17" s="476">
        <f t="shared" ca="1" si="2"/>
        <v>0.12646328162484605</v>
      </c>
      <c r="AF17" s="300"/>
    </row>
    <row r="18" spans="3:32" ht="13">
      <c r="C18" s="408"/>
      <c r="E18" s="306" t="s">
        <v>135</v>
      </c>
      <c r="F18" s="307"/>
      <c r="G18" s="306"/>
      <c r="H18" s="395"/>
      <c r="I18" s="478">
        <v>0.36254980079681443</v>
      </c>
      <c r="J18" s="478">
        <v>-0.51608187134502992</v>
      </c>
      <c r="K18" s="478">
        <v>1.2328983910251998</v>
      </c>
      <c r="L18" s="478">
        <v>-0.36220995040639703</v>
      </c>
      <c r="M18" s="478">
        <v>0.83489837876246331</v>
      </c>
      <c r="N18" s="478">
        <v>-0.11271056103956756</v>
      </c>
      <c r="O18" s="478">
        <v>-0.29191668428239226</v>
      </c>
      <c r="P18" s="411"/>
      <c r="T18" s="298"/>
      <c r="V18" s="306" t="s">
        <v>135</v>
      </c>
      <c r="W18" s="307" t="s">
        <v>101</v>
      </c>
      <c r="X18" s="307"/>
      <c r="Y18" s="476">
        <f>Y16/X16-1</f>
        <v>0.36254980079681443</v>
      </c>
      <c r="Z18" s="476">
        <f t="shared" ref="Z18:AE18" si="3">Z16/Y16-1</f>
        <v>-0.51608187134502992</v>
      </c>
      <c r="AA18" s="476">
        <f t="shared" si="3"/>
        <v>0.83882163028141909</v>
      </c>
      <c r="AB18" s="476">
        <f t="shared" si="3"/>
        <v>-0.45547407245194493</v>
      </c>
      <c r="AC18" s="476">
        <f t="shared" ca="1" si="3"/>
        <v>1.0172351655134015</v>
      </c>
      <c r="AD18" s="476">
        <f t="shared" ca="1" si="3"/>
        <v>-0.18720479676674728</v>
      </c>
      <c r="AE18" s="476">
        <f t="shared" ca="1" si="3"/>
        <v>-0.43698328281551246</v>
      </c>
      <c r="AF18" s="300"/>
    </row>
    <row r="19" spans="3:32" ht="3" customHeight="1">
      <c r="C19" s="408"/>
      <c r="E19" s="355"/>
      <c r="F19" s="355"/>
      <c r="G19" s="355"/>
      <c r="H19" s="420"/>
      <c r="I19" s="420"/>
      <c r="J19" s="420"/>
      <c r="K19" s="420"/>
      <c r="L19" s="420"/>
      <c r="M19" s="420"/>
      <c r="N19" s="420"/>
      <c r="O19" s="420"/>
      <c r="P19" s="409"/>
      <c r="T19" s="298"/>
      <c r="AF19" s="300"/>
    </row>
    <row r="20" spans="3:32" ht="3" customHeight="1">
      <c r="C20" s="408"/>
      <c r="H20" s="394"/>
      <c r="I20" s="394"/>
      <c r="J20" s="394"/>
      <c r="K20" s="394"/>
      <c r="L20" s="394"/>
      <c r="M20" s="394"/>
      <c r="N20" s="394"/>
      <c r="O20" s="394"/>
      <c r="P20" s="409"/>
      <c r="T20" s="298"/>
      <c r="AF20" s="300"/>
    </row>
    <row r="21" spans="3:32">
      <c r="C21" s="408"/>
      <c r="E21" s="293" t="s">
        <v>8</v>
      </c>
      <c r="F21" s="393"/>
      <c r="H21" s="477">
        <v>14.099999999999962</v>
      </c>
      <c r="I21" s="477">
        <v>23.700000000000035</v>
      </c>
      <c r="J21" s="477">
        <v>2.1999999999999651</v>
      </c>
      <c r="K21" s="477">
        <v>29.729225549573787</v>
      </c>
      <c r="L21" s="477">
        <v>12.902222384275735</v>
      </c>
      <c r="M21" s="477">
        <v>38.827514163233928</v>
      </c>
      <c r="N21" s="477">
        <v>33.343628899144065</v>
      </c>
      <c r="O21" s="477">
        <v>19.427780763849238</v>
      </c>
      <c r="P21" s="410"/>
      <c r="T21" s="298"/>
      <c r="V21" s="293" t="s">
        <v>8</v>
      </c>
      <c r="W21" s="304" t="s">
        <v>145</v>
      </c>
      <c r="X21" s="475">
        <f>Model!H105</f>
        <v>14.099999999999962</v>
      </c>
      <c r="Y21" s="475">
        <f>Model!I105</f>
        <v>23.700000000000035</v>
      </c>
      <c r="Z21" s="475">
        <f>Model!J105</f>
        <v>2.1999999999999651</v>
      </c>
      <c r="AA21" s="475">
        <f>Model!K105</f>
        <v>21.250664042171358</v>
      </c>
      <c r="AB21" s="475">
        <f>Model!L105</f>
        <v>3.6181750365942786</v>
      </c>
      <c r="AC21" s="475">
        <f ca="1">Model!M105</f>
        <v>25.579538628287981</v>
      </c>
      <c r="AD21" s="475">
        <f ca="1">Model!N105</f>
        <v>17.900439398804597</v>
      </c>
      <c r="AE21" s="475">
        <f ca="1">Model!O105</f>
        <v>2.7013754328825765</v>
      </c>
      <c r="AF21" s="300"/>
    </row>
    <row r="22" spans="3:32" ht="13">
      <c r="C22" s="408"/>
      <c r="E22" s="306" t="s">
        <v>136</v>
      </c>
      <c r="F22" s="357"/>
      <c r="G22" s="306"/>
      <c r="H22" s="478">
        <v>6.604215456674456E-2</v>
      </c>
      <c r="I22" s="478">
        <v>0.10016906170752338</v>
      </c>
      <c r="J22" s="478">
        <v>1.074218749999983E-2</v>
      </c>
      <c r="K22" s="478">
        <v>0.11773015686470979</v>
      </c>
      <c r="L22" s="478">
        <v>5.5223904311038394E-2</v>
      </c>
      <c r="M22" s="478">
        <v>0.13803096989398403</v>
      </c>
      <c r="N22" s="478">
        <v>0.1185365319148242</v>
      </c>
      <c r="O22" s="478">
        <v>7.2444989414295308E-2</v>
      </c>
      <c r="P22" s="410"/>
      <c r="T22" s="298"/>
      <c r="V22" s="306" t="s">
        <v>136</v>
      </c>
      <c r="W22" s="307" t="s">
        <v>101</v>
      </c>
      <c r="X22" s="476">
        <f>X21/X12</f>
        <v>6.604215456674456E-2</v>
      </c>
      <c r="Y22" s="476">
        <f t="shared" ref="Y22:AE22" si="4">Y21/Y12</f>
        <v>0.10016906170752338</v>
      </c>
      <c r="Z22" s="476">
        <f t="shared" si="4"/>
        <v>1.074218749999983E-2</v>
      </c>
      <c r="AA22" s="476">
        <f t="shared" si="4"/>
        <v>8.9112772302701537E-2</v>
      </c>
      <c r="AB22" s="476">
        <f t="shared" si="4"/>
        <v>1.6511955824251467E-2</v>
      </c>
      <c r="AC22" s="476">
        <f t="shared" ca="1" si="4"/>
        <v>9.7898800016984089E-2</v>
      </c>
      <c r="AD22" s="476">
        <f t="shared" ca="1" si="4"/>
        <v>6.9587507919037797E-2</v>
      </c>
      <c r="AE22" s="476">
        <f t="shared" ca="1" si="4"/>
        <v>1.1166171134684412E-2</v>
      </c>
      <c r="AF22" s="300"/>
    </row>
    <row r="23" spans="3:32" ht="13">
      <c r="C23" s="408"/>
      <c r="E23" s="306" t="s">
        <v>135</v>
      </c>
      <c r="F23" s="357"/>
      <c r="G23" s="306"/>
      <c r="H23" s="395"/>
      <c r="I23" s="478">
        <v>0.68085106382979421</v>
      </c>
      <c r="J23" s="478">
        <v>-0.9071729957805923</v>
      </c>
      <c r="K23" s="478">
        <v>12.513284340715572</v>
      </c>
      <c r="L23" s="478">
        <v>-0.56600879620085809</v>
      </c>
      <c r="M23" s="478">
        <v>2.0093663716844627</v>
      </c>
      <c r="N23" s="478">
        <v>-0.14123709390807704</v>
      </c>
      <c r="O23" s="478">
        <v>-0.41734653949594691</v>
      </c>
      <c r="P23" s="410"/>
      <c r="T23" s="298"/>
      <c r="V23" s="306" t="s">
        <v>135</v>
      </c>
      <c r="W23" s="307" t="s">
        <v>101</v>
      </c>
      <c r="X23" s="307"/>
      <c r="Y23" s="476">
        <f>Y21/X21-1</f>
        <v>0.68085106382979421</v>
      </c>
      <c r="Z23" s="476">
        <f t="shared" ref="Z23:AE23" si="5">Z21/Y21-1</f>
        <v>-0.9071729957805923</v>
      </c>
      <c r="AA23" s="476">
        <f t="shared" si="5"/>
        <v>8.6593927464416804</v>
      </c>
      <c r="AB23" s="476">
        <f t="shared" si="5"/>
        <v>-0.82973825997088324</v>
      </c>
      <c r="AC23" s="476">
        <f t="shared" ca="1" si="5"/>
        <v>6.0697349822980176</v>
      </c>
      <c r="AD23" s="476">
        <f t="shared" ca="1" si="5"/>
        <v>-0.30020475900965615</v>
      </c>
      <c r="AE23" s="476">
        <f t="shared" ca="1" si="5"/>
        <v>-0.84908887582597692</v>
      </c>
      <c r="AF23" s="300"/>
    </row>
    <row r="24" spans="3:32" ht="4" customHeight="1">
      <c r="C24" s="412"/>
      <c r="D24" s="413"/>
      <c r="E24" s="414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5"/>
      <c r="T24" s="308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309"/>
    </row>
    <row r="25" spans="3:32" ht="10" customHeight="1"/>
    <row r="26" spans="3:32" ht="15" customHeight="1">
      <c r="C26" s="296" t="s">
        <v>156</v>
      </c>
      <c r="D26" s="297"/>
      <c r="E26" s="297"/>
      <c r="F26" s="297"/>
      <c r="G26" s="297"/>
      <c r="H26" s="295"/>
      <c r="I26" s="295"/>
      <c r="J26" s="295"/>
      <c r="K26" s="295"/>
      <c r="L26" s="295"/>
      <c r="M26" s="295"/>
      <c r="N26" s="295"/>
      <c r="O26" s="295"/>
      <c r="P26" s="295"/>
    </row>
    <row r="27" spans="3:32" s="312" customFormat="1" ht="15" customHeight="1">
      <c r="C27" s="396"/>
      <c r="D27" s="397"/>
      <c r="E27" s="397"/>
      <c r="F27" s="397"/>
      <c r="G27" s="397"/>
      <c r="H27" s="398"/>
      <c r="I27" s="398"/>
      <c r="J27" s="398"/>
      <c r="K27" s="399" t="s">
        <v>2</v>
      </c>
      <c r="L27" s="400"/>
      <c r="M27" s="400"/>
      <c r="N27" s="400"/>
      <c r="O27" s="400"/>
      <c r="P27" s="416"/>
    </row>
    <row r="28" spans="3:32" s="312" customFormat="1" ht="15" customHeight="1">
      <c r="C28" s="402"/>
      <c r="D28" s="365" t="s">
        <v>148</v>
      </c>
      <c r="E28" s="366"/>
      <c r="F28" s="365" t="s">
        <v>165</v>
      </c>
      <c r="G28" s="366"/>
      <c r="H28" s="367">
        <f t="shared" ref="H28:O28" si="6">H7</f>
        <v>2020</v>
      </c>
      <c r="I28" s="367">
        <f t="shared" si="6"/>
        <v>2021</v>
      </c>
      <c r="J28" s="367">
        <f t="shared" si="6"/>
        <v>2022</v>
      </c>
      <c r="K28" s="368">
        <f t="shared" si="6"/>
        <v>2023</v>
      </c>
      <c r="L28" s="368">
        <f t="shared" si="6"/>
        <v>2024</v>
      </c>
      <c r="M28" s="368">
        <f t="shared" si="6"/>
        <v>2025</v>
      </c>
      <c r="N28" s="368">
        <f t="shared" si="6"/>
        <v>2026</v>
      </c>
      <c r="O28" s="368">
        <f t="shared" si="6"/>
        <v>2027</v>
      </c>
      <c r="P28" s="417"/>
    </row>
    <row r="29" spans="3:32" ht="3" customHeight="1">
      <c r="C29" s="404"/>
      <c r="D29" s="378"/>
      <c r="E29" s="378"/>
      <c r="F29" s="378"/>
      <c r="G29" s="378"/>
      <c r="H29" s="379"/>
      <c r="I29" s="379"/>
      <c r="J29" s="380"/>
      <c r="K29" s="381"/>
      <c r="L29" s="381"/>
      <c r="M29" s="381"/>
      <c r="N29" s="381"/>
      <c r="O29" s="381"/>
      <c r="P29" s="405"/>
    </row>
    <row r="30" spans="3:32" ht="3" customHeight="1">
      <c r="C30" s="406"/>
      <c r="D30" s="386"/>
      <c r="E30" s="386"/>
      <c r="F30" s="386"/>
      <c r="G30" s="386"/>
      <c r="H30" s="387"/>
      <c r="I30" s="387"/>
      <c r="J30" s="388"/>
      <c r="K30" s="389"/>
      <c r="L30" s="389"/>
      <c r="M30" s="389"/>
      <c r="N30" s="389"/>
      <c r="O30" s="389"/>
      <c r="P30" s="407"/>
    </row>
    <row r="31" spans="3:32" ht="13" customHeight="1">
      <c r="C31" s="408"/>
      <c r="D31" s="303" t="s">
        <v>128</v>
      </c>
      <c r="P31" s="409"/>
    </row>
    <row r="32" spans="3:32" ht="3" customHeight="1">
      <c r="C32" s="408"/>
      <c r="D32" s="303"/>
      <c r="P32" s="409"/>
    </row>
    <row r="33" spans="3:31">
      <c r="C33" s="408"/>
      <c r="E33" s="293" t="s">
        <v>3</v>
      </c>
      <c r="F33" s="393"/>
      <c r="H33" s="477">
        <v>213.49999999999997</v>
      </c>
      <c r="I33" s="477">
        <v>236.60000000000002</v>
      </c>
      <c r="J33" s="477">
        <v>204.79999999999998</v>
      </c>
      <c r="K33" s="477">
        <v>264.16925975773893</v>
      </c>
      <c r="L33" s="477">
        <v>247.24873598794073</v>
      </c>
      <c r="M33" s="477">
        <v>300.87569481630618</v>
      </c>
      <c r="N33" s="477">
        <v>304.06703436312</v>
      </c>
      <c r="O33" s="477">
        <v>281.2288291191087</v>
      </c>
      <c r="P33" s="409"/>
      <c r="W33" s="304"/>
      <c r="X33" s="305"/>
      <c r="Y33" s="305"/>
      <c r="Z33" s="305"/>
      <c r="AA33" s="305"/>
      <c r="AB33" s="305"/>
      <c r="AC33" s="305"/>
      <c r="AD33" s="305"/>
      <c r="AE33" s="305"/>
    </row>
    <row r="34" spans="3:31" ht="13">
      <c r="C34" s="408"/>
      <c r="E34" s="306" t="s">
        <v>135</v>
      </c>
      <c r="F34" s="307"/>
      <c r="G34" s="306"/>
      <c r="H34" s="394"/>
      <c r="I34" s="478">
        <v>0.10819672131147562</v>
      </c>
      <c r="J34" s="478">
        <v>-0.13440405748098072</v>
      </c>
      <c r="K34" s="478">
        <v>0.28988896366083461</v>
      </c>
      <c r="L34" s="478">
        <v>-6.4051827170638509E-2</v>
      </c>
      <c r="M34" s="478">
        <v>0.21689477446299676</v>
      </c>
      <c r="N34" s="478">
        <v>1.0606837314533601E-2</v>
      </c>
      <c r="O34" s="478">
        <v>-7.510911300150247E-2</v>
      </c>
      <c r="P34" s="409"/>
      <c r="V34" s="310"/>
      <c r="W34" s="304"/>
      <c r="Y34" s="188"/>
      <c r="Z34" s="188"/>
      <c r="AA34" s="188"/>
      <c r="AB34" s="188"/>
      <c r="AC34" s="188"/>
      <c r="AD34" s="188"/>
      <c r="AE34" s="188"/>
    </row>
    <row r="35" spans="3:31" ht="3" customHeight="1">
      <c r="C35" s="408"/>
      <c r="H35" s="420"/>
      <c r="I35" s="420"/>
      <c r="J35" s="420"/>
      <c r="K35" s="420"/>
      <c r="L35" s="420"/>
      <c r="M35" s="420"/>
      <c r="N35" s="420"/>
      <c r="O35" s="420"/>
      <c r="P35" s="409"/>
    </row>
    <row r="36" spans="3:31" ht="3" customHeight="1">
      <c r="C36" s="408"/>
      <c r="H36" s="394"/>
      <c r="I36" s="394"/>
      <c r="J36" s="394"/>
      <c r="K36" s="394"/>
      <c r="L36" s="394"/>
      <c r="M36" s="394"/>
      <c r="N36" s="394"/>
      <c r="O36" s="394"/>
      <c r="P36" s="409"/>
    </row>
    <row r="37" spans="3:31">
      <c r="C37" s="408"/>
      <c r="E37" s="293" t="s">
        <v>5</v>
      </c>
      <c r="F37" s="393"/>
      <c r="H37" s="477">
        <v>50.19999999999996</v>
      </c>
      <c r="I37" s="477">
        <v>68.400000000000034</v>
      </c>
      <c r="J37" s="477">
        <v>33.099999999999966</v>
      </c>
      <c r="K37" s="477">
        <v>85.558142664872179</v>
      </c>
      <c r="L37" s="477">
        <v>59.750306626110358</v>
      </c>
      <c r="M37" s="477">
        <v>103.62246187788767</v>
      </c>
      <c r="N37" s="477">
        <v>96.46948010760002</v>
      </c>
      <c r="O37" s="477">
        <v>69.064128669967289</v>
      </c>
      <c r="P37" s="410"/>
      <c r="W37" s="304"/>
      <c r="X37" s="305"/>
      <c r="Y37" s="305"/>
      <c r="Z37" s="305"/>
      <c r="AA37" s="305"/>
      <c r="AB37" s="305"/>
      <c r="AC37" s="305"/>
      <c r="AD37" s="305"/>
      <c r="AE37" s="305"/>
    </row>
    <row r="38" spans="3:31" ht="13">
      <c r="C38" s="408"/>
      <c r="E38" s="306" t="s">
        <v>136</v>
      </c>
      <c r="F38" s="307"/>
      <c r="G38" s="306"/>
      <c r="H38" s="478">
        <v>0.23512880562060876</v>
      </c>
      <c r="I38" s="478">
        <v>0.28909551986475074</v>
      </c>
      <c r="J38" s="478">
        <v>0.16162109374999983</v>
      </c>
      <c r="K38" s="478">
        <v>0.32387622520248865</v>
      </c>
      <c r="L38" s="478">
        <v>0.24166071623122315</v>
      </c>
      <c r="M38" s="478">
        <v>0.34440290014503283</v>
      </c>
      <c r="N38" s="478">
        <v>0.31726385699672782</v>
      </c>
      <c r="O38" s="478">
        <v>0.24557983221811372</v>
      </c>
      <c r="P38" s="411"/>
      <c r="V38" s="310"/>
      <c r="W38" s="304"/>
      <c r="X38" s="188"/>
      <c r="Y38" s="188"/>
      <c r="Z38" s="188"/>
      <c r="AA38" s="188"/>
      <c r="AB38" s="188"/>
      <c r="AC38" s="188"/>
      <c r="AD38" s="188"/>
      <c r="AE38" s="188"/>
    </row>
    <row r="39" spans="3:31" ht="13">
      <c r="C39" s="408"/>
      <c r="E39" s="306" t="s">
        <v>135</v>
      </c>
      <c r="F39" s="307"/>
      <c r="G39" s="306"/>
      <c r="H39" s="395"/>
      <c r="I39" s="478">
        <v>0.36254980079681443</v>
      </c>
      <c r="J39" s="478">
        <v>-0.51608187134502992</v>
      </c>
      <c r="K39" s="478">
        <v>1.584838146974993</v>
      </c>
      <c r="L39" s="478">
        <v>-0.30164091032048324</v>
      </c>
      <c r="M39" s="478">
        <v>0.73425824450255739</v>
      </c>
      <c r="N39" s="478">
        <v>-6.9029259107132313E-2</v>
      </c>
      <c r="O39" s="478">
        <v>-0.28408312563792593</v>
      </c>
      <c r="P39" s="411"/>
      <c r="V39" s="310"/>
      <c r="W39" s="304"/>
      <c r="Y39" s="188"/>
      <c r="Z39" s="188"/>
      <c r="AA39" s="188"/>
      <c r="AB39" s="188"/>
      <c r="AC39" s="188"/>
      <c r="AD39" s="188"/>
      <c r="AE39" s="188"/>
    </row>
    <row r="40" spans="3:31" ht="3" customHeight="1">
      <c r="C40" s="408"/>
      <c r="H40" s="420"/>
      <c r="I40" s="420"/>
      <c r="J40" s="420"/>
      <c r="K40" s="420"/>
      <c r="L40" s="420"/>
      <c r="M40" s="420"/>
      <c r="N40" s="420"/>
      <c r="O40" s="420"/>
      <c r="P40" s="409"/>
    </row>
    <row r="41" spans="3:31" ht="3" customHeight="1">
      <c r="C41" s="408"/>
      <c r="H41" s="394"/>
      <c r="I41" s="394"/>
      <c r="J41" s="394"/>
      <c r="K41" s="394"/>
      <c r="L41" s="394"/>
      <c r="M41" s="394"/>
      <c r="N41" s="394"/>
      <c r="O41" s="394"/>
      <c r="P41" s="409"/>
    </row>
    <row r="42" spans="3:31">
      <c r="C42" s="408"/>
      <c r="E42" s="293" t="s">
        <v>8</v>
      </c>
      <c r="F42" s="393"/>
      <c r="H42" s="477">
        <v>14.099999999999962</v>
      </c>
      <c r="I42" s="477">
        <v>23.700000000000035</v>
      </c>
      <c r="J42" s="477">
        <v>2.1999999999999651</v>
      </c>
      <c r="K42" s="477">
        <v>37.301209398833585</v>
      </c>
      <c r="L42" s="477">
        <v>21.164133585207566</v>
      </c>
      <c r="M42" s="477">
        <v>50.282646738424212</v>
      </c>
      <c r="N42" s="477">
        <v>46.328916076068907</v>
      </c>
      <c r="O42" s="477">
        <v>29.187956541027607</v>
      </c>
      <c r="P42" s="410"/>
      <c r="W42" s="304"/>
      <c r="X42" s="311"/>
      <c r="Y42" s="311"/>
      <c r="Z42" s="311"/>
      <c r="AA42" s="305"/>
      <c r="AB42" s="305"/>
      <c r="AC42" s="305"/>
      <c r="AD42" s="305"/>
      <c r="AE42" s="305"/>
    </row>
    <row r="43" spans="3:31" ht="13">
      <c r="C43" s="408"/>
      <c r="E43" s="306" t="s">
        <v>136</v>
      </c>
      <c r="F43" s="307"/>
      <c r="G43" s="306"/>
      <c r="H43" s="478">
        <v>6.604215456674456E-2</v>
      </c>
      <c r="I43" s="478">
        <v>0.10016906170752338</v>
      </c>
      <c r="J43" s="478">
        <v>1.074218749999983E-2</v>
      </c>
      <c r="K43" s="478">
        <v>0.14120193028152223</v>
      </c>
      <c r="L43" s="478">
        <v>8.5598551194372222E-2</v>
      </c>
      <c r="M43" s="478">
        <v>0.16712099915256801</v>
      </c>
      <c r="N43" s="478">
        <v>0.15236415277015014</v>
      </c>
      <c r="O43" s="478">
        <v>0.10378721353871458</v>
      </c>
      <c r="P43" s="410"/>
      <c r="W43" s="304"/>
      <c r="X43" s="311"/>
      <c r="Y43" s="311"/>
      <c r="Z43" s="311"/>
      <c r="AA43" s="305"/>
      <c r="AB43" s="305"/>
      <c r="AC43" s="305"/>
      <c r="AD43" s="305"/>
      <c r="AE43" s="305"/>
    </row>
    <row r="44" spans="3:31" ht="13">
      <c r="C44" s="408"/>
      <c r="E44" s="306" t="s">
        <v>135</v>
      </c>
      <c r="F44" s="307"/>
      <c r="G44" s="306"/>
      <c r="H44" s="395"/>
      <c r="I44" s="478">
        <v>0.68085106382979421</v>
      </c>
      <c r="J44" s="478">
        <v>-0.9071729957805923</v>
      </c>
      <c r="K44" s="478">
        <v>15.955095181288261</v>
      </c>
      <c r="L44" s="478">
        <v>-0.43261535145106123</v>
      </c>
      <c r="M44" s="478">
        <v>1.3758424381505843</v>
      </c>
      <c r="N44" s="478">
        <v>-7.8630122294934934E-2</v>
      </c>
      <c r="O44" s="478">
        <v>-0.36998403992221662</v>
      </c>
      <c r="P44" s="410"/>
      <c r="W44" s="304"/>
      <c r="X44" s="311"/>
      <c r="Y44" s="311"/>
      <c r="Z44" s="311"/>
      <c r="AA44" s="305"/>
      <c r="AB44" s="305"/>
      <c r="AC44" s="305"/>
      <c r="AD44" s="305"/>
      <c r="AE44" s="305"/>
    </row>
    <row r="45" spans="3:31" ht="4" customHeight="1">
      <c r="C45" s="412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5"/>
    </row>
    <row r="46" spans="3:31" ht="10" customHeight="1"/>
    <row r="47" spans="3:31" ht="15" customHeight="1">
      <c r="C47" s="296" t="s">
        <v>137</v>
      </c>
      <c r="D47" s="297"/>
      <c r="E47" s="297"/>
      <c r="F47" s="297"/>
      <c r="G47" s="297"/>
      <c r="H47" s="295"/>
      <c r="I47" s="295"/>
      <c r="J47" s="295"/>
      <c r="K47" s="295"/>
      <c r="L47" s="295"/>
      <c r="M47" s="295"/>
      <c r="N47" s="295"/>
      <c r="O47" s="295"/>
      <c r="P47" s="295"/>
    </row>
    <row r="48" spans="3:31" s="312" customFormat="1" ht="15" customHeight="1">
      <c r="C48" s="396"/>
      <c r="D48" s="397"/>
      <c r="E48" s="397"/>
      <c r="F48" s="397"/>
      <c r="G48" s="397"/>
      <c r="H48" s="398"/>
      <c r="I48" s="398"/>
      <c r="J48" s="398"/>
      <c r="K48" s="399" t="s">
        <v>2</v>
      </c>
      <c r="L48" s="400"/>
      <c r="M48" s="400"/>
      <c r="N48" s="400"/>
      <c r="O48" s="400"/>
      <c r="P48" s="416"/>
    </row>
    <row r="49" spans="3:31" s="312" customFormat="1" ht="15" customHeight="1">
      <c r="C49" s="418"/>
      <c r="D49" s="365" t="s">
        <v>148</v>
      </c>
      <c r="E49" s="369"/>
      <c r="F49" s="365" t="s">
        <v>165</v>
      </c>
      <c r="G49" s="369"/>
      <c r="H49" s="370">
        <f>H28</f>
        <v>2020</v>
      </c>
      <c r="I49" s="370">
        <f t="shared" ref="I49:O49" si="7">I28</f>
        <v>2021</v>
      </c>
      <c r="J49" s="370">
        <f t="shared" si="7"/>
        <v>2022</v>
      </c>
      <c r="K49" s="371">
        <f t="shared" si="7"/>
        <v>2023</v>
      </c>
      <c r="L49" s="371">
        <f t="shared" si="7"/>
        <v>2024</v>
      </c>
      <c r="M49" s="371">
        <f t="shared" si="7"/>
        <v>2025</v>
      </c>
      <c r="N49" s="371">
        <f t="shared" si="7"/>
        <v>2026</v>
      </c>
      <c r="O49" s="371">
        <f t="shared" si="7"/>
        <v>2027</v>
      </c>
      <c r="P49" s="419"/>
    </row>
    <row r="50" spans="3:31" ht="3" customHeight="1">
      <c r="C50" s="404"/>
      <c r="D50" s="378"/>
      <c r="E50" s="378"/>
      <c r="F50" s="378"/>
      <c r="G50" s="378"/>
      <c r="H50" s="379"/>
      <c r="I50" s="379"/>
      <c r="J50" s="380"/>
      <c r="K50" s="381"/>
      <c r="L50" s="381"/>
      <c r="M50" s="381"/>
      <c r="N50" s="381"/>
      <c r="O50" s="381"/>
      <c r="P50" s="405"/>
      <c r="X50" s="312"/>
      <c r="Y50" s="312"/>
      <c r="Z50" s="312"/>
      <c r="AA50" s="312"/>
      <c r="AB50" s="312"/>
      <c r="AC50" s="312"/>
      <c r="AD50" s="312"/>
      <c r="AE50" s="312"/>
    </row>
    <row r="51" spans="3:31" ht="3" customHeight="1">
      <c r="C51" s="406"/>
      <c r="D51" s="386"/>
      <c r="E51" s="386"/>
      <c r="F51" s="386"/>
      <c r="G51" s="386"/>
      <c r="H51" s="387"/>
      <c r="I51" s="387"/>
      <c r="J51" s="388"/>
      <c r="K51" s="389"/>
      <c r="L51" s="389"/>
      <c r="M51" s="389"/>
      <c r="N51" s="389"/>
      <c r="O51" s="389"/>
      <c r="P51" s="407"/>
      <c r="X51" s="312"/>
      <c r="Y51" s="312"/>
      <c r="Z51" s="312"/>
      <c r="AA51" s="312"/>
      <c r="AB51" s="312"/>
      <c r="AC51" s="312"/>
      <c r="AD51" s="312"/>
      <c r="AE51" s="312"/>
    </row>
    <row r="52" spans="3:31" ht="13" customHeight="1">
      <c r="C52" s="408"/>
      <c r="D52" s="303" t="s">
        <v>128</v>
      </c>
      <c r="P52" s="409"/>
      <c r="X52" s="312"/>
      <c r="Y52" s="312"/>
      <c r="Z52" s="312"/>
      <c r="AA52" s="312"/>
      <c r="AB52" s="312"/>
      <c r="AC52" s="312"/>
      <c r="AD52" s="312"/>
      <c r="AE52" s="312"/>
    </row>
    <row r="53" spans="3:31">
      <c r="C53" s="408"/>
      <c r="E53" s="293" t="s">
        <v>3</v>
      </c>
      <c r="F53" s="393"/>
      <c r="H53" s="477">
        <v>213.49999999999997</v>
      </c>
      <c r="I53" s="477">
        <v>236.60000000000002</v>
      </c>
      <c r="J53" s="477">
        <v>204.79999999999998</v>
      </c>
      <c r="K53" s="477">
        <v>238.46934051144007</v>
      </c>
      <c r="L53" s="477">
        <v>219.12455890174965</v>
      </c>
      <c r="M53" s="477">
        <v>261.28551753290424</v>
      </c>
      <c r="N53" s="477">
        <v>257.23639104350485</v>
      </c>
      <c r="O53" s="477">
        <v>241.92495353143494</v>
      </c>
      <c r="P53" s="409"/>
      <c r="W53" s="304"/>
      <c r="X53" s="312"/>
      <c r="Y53" s="312"/>
      <c r="Z53" s="312"/>
      <c r="AA53" s="312"/>
      <c r="AB53" s="312"/>
      <c r="AC53" s="312"/>
      <c r="AD53" s="312"/>
      <c r="AE53" s="312"/>
    </row>
    <row r="54" spans="3:31" ht="13">
      <c r="C54" s="408"/>
      <c r="E54" s="306" t="s">
        <v>135</v>
      </c>
      <c r="F54" s="307"/>
      <c r="G54" s="306"/>
      <c r="H54" s="394"/>
      <c r="I54" s="478">
        <v>0.10819672131147562</v>
      </c>
      <c r="J54" s="478">
        <v>-0.13440405748098072</v>
      </c>
      <c r="K54" s="478">
        <v>0.164401076716016</v>
      </c>
      <c r="L54" s="478">
        <v>-8.1120623591284691E-2</v>
      </c>
      <c r="M54" s="478">
        <v>0.19240635938967743</v>
      </c>
      <c r="N54" s="478">
        <v>-1.5496941918678897E-2</v>
      </c>
      <c r="O54" s="478">
        <v>-5.9522828204662481E-2</v>
      </c>
      <c r="P54" s="409"/>
      <c r="V54" s="310"/>
      <c r="W54" s="304"/>
      <c r="X54" s="312"/>
      <c r="Y54" s="312"/>
      <c r="Z54" s="312"/>
      <c r="AA54" s="312"/>
      <c r="AB54" s="312"/>
      <c r="AC54" s="312"/>
      <c r="AD54" s="312"/>
      <c r="AE54" s="312"/>
    </row>
    <row r="55" spans="3:31" ht="3" customHeight="1">
      <c r="C55" s="408"/>
      <c r="H55" s="420"/>
      <c r="I55" s="420"/>
      <c r="J55" s="420"/>
      <c r="K55" s="420"/>
      <c r="L55" s="420"/>
      <c r="M55" s="420"/>
      <c r="N55" s="420"/>
      <c r="O55" s="420"/>
      <c r="P55" s="409"/>
      <c r="X55" s="312"/>
      <c r="Y55" s="312"/>
      <c r="Z55" s="312"/>
      <c r="AA55" s="312"/>
      <c r="AB55" s="312"/>
      <c r="AC55" s="312"/>
      <c r="AD55" s="312"/>
      <c r="AE55" s="312"/>
    </row>
    <row r="56" spans="3:31" ht="3" customHeight="1">
      <c r="C56" s="408"/>
      <c r="H56" s="394"/>
      <c r="I56" s="394"/>
      <c r="J56" s="394"/>
      <c r="K56" s="394"/>
      <c r="L56" s="394"/>
      <c r="M56" s="394"/>
      <c r="N56" s="394"/>
      <c r="O56" s="394"/>
      <c r="P56" s="409"/>
      <c r="X56" s="312"/>
      <c r="Y56" s="312"/>
      <c r="Z56" s="312"/>
      <c r="AA56" s="312"/>
      <c r="AB56" s="312"/>
      <c r="AC56" s="312"/>
      <c r="AD56" s="312"/>
      <c r="AE56" s="312"/>
    </row>
    <row r="57" spans="3:31">
      <c r="C57" s="408"/>
      <c r="E57" s="293" t="s">
        <v>5</v>
      </c>
      <c r="F57" s="393"/>
      <c r="H57" s="477">
        <v>50.19999999999996</v>
      </c>
      <c r="I57" s="477">
        <v>68.400000000000034</v>
      </c>
      <c r="J57" s="477">
        <v>33.099999999999966</v>
      </c>
      <c r="K57" s="477">
        <v>60.864995962314907</v>
      </c>
      <c r="L57" s="477">
        <v>33.142568381588148</v>
      </c>
      <c r="M57" s="477">
        <v>66.856354414772198</v>
      </c>
      <c r="N57" s="477">
        <v>54.340524173989138</v>
      </c>
      <c r="O57" s="477">
        <v>30.594623530523648</v>
      </c>
      <c r="P57" s="410"/>
      <c r="W57" s="304"/>
      <c r="X57" s="312"/>
      <c r="Y57" s="312"/>
      <c r="Z57" s="312"/>
      <c r="AA57" s="312"/>
      <c r="AB57" s="312"/>
      <c r="AC57" s="312"/>
      <c r="AD57" s="312"/>
      <c r="AE57" s="312"/>
    </row>
    <row r="58" spans="3:31" ht="13">
      <c r="C58" s="408"/>
      <c r="E58" s="306" t="s">
        <v>136</v>
      </c>
      <c r="F58" s="307"/>
      <c r="G58" s="306"/>
      <c r="H58" s="478">
        <v>0.23512880562060876</v>
      </c>
      <c r="I58" s="478">
        <v>0.28909551986475074</v>
      </c>
      <c r="J58" s="478">
        <v>0.16162109374999983</v>
      </c>
      <c r="K58" s="478">
        <v>0.25523195489943934</v>
      </c>
      <c r="L58" s="478">
        <v>0.15124990346905162</v>
      </c>
      <c r="M58" s="478">
        <v>0.2558747038337203</v>
      </c>
      <c r="N58" s="478">
        <v>0.21124742091720161</v>
      </c>
      <c r="O58" s="478">
        <v>0.12646328162484605</v>
      </c>
      <c r="P58" s="411"/>
      <c r="V58" s="310"/>
      <c r="W58" s="304"/>
      <c r="X58" s="312"/>
      <c r="Y58" s="312"/>
      <c r="Z58" s="312"/>
      <c r="AA58" s="312"/>
      <c r="AB58" s="312"/>
      <c r="AC58" s="312"/>
      <c r="AD58" s="312"/>
      <c r="AE58" s="312"/>
    </row>
    <row r="59" spans="3:31" ht="13">
      <c r="C59" s="408"/>
      <c r="E59" s="306" t="s">
        <v>135</v>
      </c>
      <c r="F59" s="307"/>
      <c r="G59" s="306"/>
      <c r="H59" s="395"/>
      <c r="I59" s="478">
        <v>0.36254980079681443</v>
      </c>
      <c r="J59" s="478">
        <v>-0.51608187134502992</v>
      </c>
      <c r="K59" s="478">
        <v>0.83882163028141909</v>
      </c>
      <c r="L59" s="478">
        <v>-0.45547407245194493</v>
      </c>
      <c r="M59" s="478">
        <v>1.0172351655134015</v>
      </c>
      <c r="N59" s="478">
        <v>-0.18720479676674728</v>
      </c>
      <c r="O59" s="478">
        <v>-0.43698328281551246</v>
      </c>
      <c r="P59" s="411"/>
      <c r="V59" s="310"/>
      <c r="W59" s="304"/>
      <c r="X59" s="312"/>
      <c r="Y59" s="312"/>
      <c r="Z59" s="312"/>
      <c r="AA59" s="312"/>
      <c r="AB59" s="312"/>
      <c r="AC59" s="312"/>
      <c r="AD59" s="312"/>
      <c r="AE59" s="312"/>
    </row>
    <row r="60" spans="3:31" ht="3" customHeight="1">
      <c r="C60" s="408"/>
      <c r="H60" s="420"/>
      <c r="I60" s="420"/>
      <c r="J60" s="420"/>
      <c r="K60" s="420"/>
      <c r="L60" s="420"/>
      <c r="M60" s="420"/>
      <c r="N60" s="420"/>
      <c r="O60" s="420"/>
      <c r="P60" s="409"/>
      <c r="X60" s="312"/>
      <c r="Y60" s="312"/>
      <c r="Z60" s="312"/>
      <c r="AA60" s="312"/>
      <c r="AB60" s="312"/>
      <c r="AC60" s="312"/>
      <c r="AD60" s="312"/>
      <c r="AE60" s="312"/>
    </row>
    <row r="61" spans="3:31" ht="3" customHeight="1">
      <c r="C61" s="408"/>
      <c r="H61" s="394"/>
      <c r="I61" s="394"/>
      <c r="J61" s="394"/>
      <c r="K61" s="394"/>
      <c r="L61" s="394"/>
      <c r="M61" s="394"/>
      <c r="N61" s="394"/>
      <c r="O61" s="394"/>
      <c r="P61" s="409"/>
      <c r="X61" s="312"/>
      <c r="Y61" s="312"/>
      <c r="Z61" s="312"/>
      <c r="AA61" s="312"/>
      <c r="AB61" s="312"/>
      <c r="AC61" s="312"/>
      <c r="AD61" s="312"/>
      <c r="AE61" s="312"/>
    </row>
    <row r="62" spans="3:31">
      <c r="C62" s="408"/>
      <c r="E62" s="293" t="s">
        <v>8</v>
      </c>
      <c r="F62" s="393"/>
      <c r="H62" s="477">
        <v>14.099999999999962</v>
      </c>
      <c r="I62" s="477">
        <v>23.700000000000035</v>
      </c>
      <c r="J62" s="477">
        <v>2.1999999999999651</v>
      </c>
      <c r="K62" s="477">
        <v>21.250664042171358</v>
      </c>
      <c r="L62" s="477">
        <v>3.6181750365942786</v>
      </c>
      <c r="M62" s="477">
        <v>25.579538628287981</v>
      </c>
      <c r="N62" s="477">
        <v>17.900439398804597</v>
      </c>
      <c r="O62" s="477">
        <v>2.7013754328825765</v>
      </c>
      <c r="P62" s="410"/>
      <c r="W62" s="304"/>
      <c r="X62" s="312"/>
      <c r="Y62" s="312"/>
      <c r="Z62" s="312"/>
      <c r="AA62" s="312"/>
      <c r="AB62" s="312"/>
      <c r="AC62" s="312"/>
      <c r="AD62" s="312"/>
      <c r="AE62" s="312"/>
    </row>
    <row r="63" spans="3:31" ht="13">
      <c r="C63" s="408"/>
      <c r="E63" s="306" t="s">
        <v>136</v>
      </c>
      <c r="F63" s="307"/>
      <c r="G63" s="306"/>
      <c r="H63" s="478">
        <v>6.604215456674456E-2</v>
      </c>
      <c r="I63" s="478">
        <v>0.10016906170752338</v>
      </c>
      <c r="J63" s="478">
        <v>1.074218749999983E-2</v>
      </c>
      <c r="K63" s="478">
        <v>8.9112772302701537E-2</v>
      </c>
      <c r="L63" s="478">
        <v>1.6511955824251467E-2</v>
      </c>
      <c r="M63" s="478">
        <v>9.7898800016984089E-2</v>
      </c>
      <c r="N63" s="478">
        <v>6.9587507919037797E-2</v>
      </c>
      <c r="O63" s="478">
        <v>1.1166171134684412E-2</v>
      </c>
      <c r="P63" s="410"/>
      <c r="W63" s="304"/>
      <c r="X63" s="312"/>
      <c r="Y63" s="312"/>
      <c r="Z63" s="312"/>
      <c r="AA63" s="312"/>
      <c r="AB63" s="312"/>
      <c r="AC63" s="312"/>
      <c r="AD63" s="312"/>
      <c r="AE63" s="312"/>
    </row>
    <row r="64" spans="3:31" ht="13">
      <c r="C64" s="408"/>
      <c r="E64" s="306" t="s">
        <v>135</v>
      </c>
      <c r="F64" s="307"/>
      <c r="G64" s="306"/>
      <c r="H64" s="395"/>
      <c r="I64" s="478">
        <v>0.68085106382979421</v>
      </c>
      <c r="J64" s="478">
        <v>-0.9071729957805923</v>
      </c>
      <c r="K64" s="478">
        <v>8.6593927464416804</v>
      </c>
      <c r="L64" s="478">
        <v>-0.82973825997088324</v>
      </c>
      <c r="M64" s="478">
        <v>6.0697349822980176</v>
      </c>
      <c r="N64" s="478">
        <v>-0.30020475900965615</v>
      </c>
      <c r="O64" s="478">
        <v>-0.84908887582597692</v>
      </c>
      <c r="P64" s="410"/>
      <c r="W64" s="304"/>
      <c r="X64" s="312"/>
      <c r="Y64" s="312"/>
      <c r="Z64" s="312"/>
      <c r="AA64" s="312"/>
      <c r="AB64" s="312"/>
      <c r="AC64" s="312"/>
      <c r="AD64" s="312"/>
      <c r="AE64" s="312"/>
    </row>
    <row r="65" spans="2:31" ht="4" customHeight="1">
      <c r="C65" s="412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5"/>
      <c r="X65" s="312"/>
      <c r="Y65" s="312"/>
      <c r="Z65" s="312"/>
      <c r="AA65" s="312"/>
      <c r="AB65" s="312"/>
      <c r="AC65" s="312"/>
      <c r="AD65" s="312"/>
      <c r="AE65" s="312"/>
    </row>
    <row r="66" spans="2:31" ht="12" customHeight="1"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X66" s="312"/>
      <c r="Y66" s="312"/>
      <c r="Z66" s="312"/>
      <c r="AA66" s="312"/>
      <c r="AB66" s="312"/>
      <c r="AC66" s="312"/>
      <c r="AD66" s="312"/>
      <c r="AE66" s="312"/>
    </row>
  </sheetData>
  <printOptions horizontalCentered="1"/>
  <pageMargins left="0.11811023622047245" right="0.11811023622047245" top="0.11811023622047245" bottom="0.19685039370078741" header="0.11811023622047245" footer="0.11811023622047245"/>
  <pageSetup scale="90" orientation="landscape" r:id="rId1"/>
  <headerFooter alignWithMargins="0">
    <oddFooter>&amp;L&amp;F&amp;CPage &amp;P of &amp;N&amp;R&amp;D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.5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78"/>
  <sheetViews>
    <sheetView showGridLines="0" topLeftCell="A62" zoomScaleNormal="100" zoomScaleSheetLayoutView="100" workbookViewId="0">
      <selection activeCell="K73" sqref="K73"/>
    </sheetView>
  </sheetViews>
  <sheetFormatPr defaultColWidth="8.81640625" defaultRowHeight="12.5"/>
  <cols>
    <col min="1" max="1" width="2.54296875" customWidth="1"/>
    <col min="2" max="2" width="5.54296875" customWidth="1"/>
    <col min="3" max="3" width="2.1796875" customWidth="1"/>
    <col min="4" max="4" width="13.453125" customWidth="1"/>
    <col min="5" max="14" width="10.453125" customWidth="1"/>
    <col min="15" max="15" width="5.54296875" customWidth="1"/>
  </cols>
  <sheetData>
    <row r="1" spans="2:17" ht="22.5" customHeight="1">
      <c r="B1" s="1" t="str">
        <f>Cover!B12</f>
        <v>Blu Containers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98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63"/>
      <c r="C3" s="363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</row>
    <row r="4" spans="2:17" ht="12" customHeight="1"/>
    <row r="5" spans="2:17" ht="16" customHeight="1">
      <c r="C5" s="372" t="s">
        <v>74</v>
      </c>
      <c r="D5" s="373"/>
      <c r="E5" s="373"/>
      <c r="F5" s="373"/>
      <c r="G5" s="373"/>
      <c r="H5" s="374"/>
      <c r="J5" s="372" t="s">
        <v>109</v>
      </c>
      <c r="K5" s="373"/>
      <c r="L5" s="373"/>
      <c r="M5" s="373"/>
      <c r="N5" s="374"/>
    </row>
    <row r="6" spans="2:17" ht="3" customHeight="1">
      <c r="C6" s="382"/>
      <c r="D6" s="383"/>
      <c r="E6" s="383"/>
      <c r="F6" s="383"/>
      <c r="G6" s="383"/>
      <c r="H6" s="384"/>
      <c r="J6" s="382"/>
      <c r="K6" s="383"/>
      <c r="L6" s="383"/>
      <c r="M6" s="383"/>
      <c r="N6" s="384"/>
    </row>
    <row r="7" spans="2:17" ht="3" customHeight="1">
      <c r="C7" s="390"/>
      <c r="D7" s="391"/>
      <c r="E7" s="391"/>
      <c r="F7" s="391"/>
      <c r="G7" s="391"/>
      <c r="H7" s="392"/>
      <c r="J7" s="390"/>
      <c r="K7" s="391"/>
      <c r="L7" s="391"/>
      <c r="M7" s="391"/>
      <c r="N7" s="392"/>
    </row>
    <row r="8" spans="2:17" ht="14.15" customHeight="1">
      <c r="C8" s="324" t="s">
        <v>73</v>
      </c>
      <c r="D8" s="19" t="s">
        <v>129</v>
      </c>
      <c r="G8" s="474">
        <v>2023</v>
      </c>
      <c r="H8" s="498"/>
      <c r="J8" s="330" t="str">
        <f ca="1">"Stock Price - "&amp;TEXT(TODAY()-1,"mm/dd/yy")</f>
        <v>Stock Price - 01/11/25</v>
      </c>
      <c r="K8" s="7"/>
      <c r="M8" s="8"/>
      <c r="N8" s="495">
        <v>11.5</v>
      </c>
      <c r="Q8" s="9"/>
    </row>
    <row r="9" spans="2:17" ht="14.15" customHeight="1">
      <c r="C9" s="324" t="s">
        <v>73</v>
      </c>
      <c r="D9" s="10" t="s">
        <v>144</v>
      </c>
      <c r="H9" s="325"/>
      <c r="J9" s="330" t="str">
        <f>"Fully Diluted Shares O/S (MM) - Dec. 31, "&amp;G8-1</f>
        <v>Fully Diluted Shares O/S (MM) - Dec. 31, 2022</v>
      </c>
      <c r="N9" s="496">
        <v>14.8</v>
      </c>
    </row>
    <row r="10" spans="2:17" ht="14.15" customHeight="1">
      <c r="C10" s="326"/>
      <c r="D10" s="327" t="s">
        <v>117</v>
      </c>
      <c r="E10" s="328"/>
      <c r="F10" s="328"/>
      <c r="G10" s="328"/>
      <c r="H10" s="329"/>
      <c r="J10" s="331" t="s">
        <v>110</v>
      </c>
      <c r="K10" s="328"/>
      <c r="L10" s="328"/>
      <c r="M10" s="332"/>
      <c r="N10" s="497">
        <v>0.2</v>
      </c>
    </row>
    <row r="11" spans="2:17" ht="14.15" customHeight="1">
      <c r="M11" s="8"/>
      <c r="N11" s="323"/>
    </row>
    <row r="12" spans="2:17" ht="6" customHeight="1">
      <c r="M12" s="8"/>
      <c r="N12" s="323"/>
    </row>
    <row r="13" spans="2:17" s="13" customFormat="1" ht="16" customHeight="1">
      <c r="C13" s="372" t="s">
        <v>75</v>
      </c>
      <c r="D13" s="373"/>
      <c r="E13" s="373"/>
      <c r="F13" s="373"/>
      <c r="G13" s="373"/>
      <c r="H13" s="374"/>
      <c r="J13" s="372" t="s">
        <v>76</v>
      </c>
      <c r="K13" s="373"/>
      <c r="L13" s="373"/>
      <c r="M13" s="373"/>
      <c r="N13" s="374"/>
    </row>
    <row r="14" spans="2:17" s="13" customFormat="1" ht="3" customHeight="1">
      <c r="C14" s="382"/>
      <c r="D14" s="383"/>
      <c r="E14" s="383"/>
      <c r="F14" s="383"/>
      <c r="G14" s="383"/>
      <c r="H14" s="384"/>
      <c r="J14" s="382"/>
      <c r="K14" s="383"/>
      <c r="L14" s="383"/>
      <c r="M14" s="383"/>
      <c r="N14" s="384"/>
    </row>
    <row r="15" spans="2:17" s="13" customFormat="1" ht="3" customHeight="1">
      <c r="C15" s="390"/>
      <c r="D15" s="391"/>
      <c r="E15" s="391"/>
      <c r="F15" s="391"/>
      <c r="G15" s="391"/>
      <c r="H15" s="392"/>
      <c r="J15" s="390"/>
      <c r="K15" s="391"/>
      <c r="L15" s="391"/>
      <c r="M15" s="391"/>
      <c r="N15" s="392"/>
    </row>
    <row r="16" spans="2:17" ht="14.15" customHeight="1">
      <c r="C16" s="324" t="s">
        <v>73</v>
      </c>
      <c r="D16" s="10" t="s">
        <v>72</v>
      </c>
      <c r="H16" s="325"/>
      <c r="J16" s="330"/>
      <c r="N16" s="325"/>
    </row>
    <row r="17" spans="3:14" ht="14.15" customHeight="1">
      <c r="C17" s="334" t="s">
        <v>0</v>
      </c>
      <c r="D17" s="14"/>
      <c r="E17" s="15" t="str">
        <f>Scenarios!G6&amp;" - "&amp;Scenarios!K6</f>
        <v>2023 - 2027</v>
      </c>
      <c r="F17" s="16"/>
      <c r="G17" s="15"/>
      <c r="H17" s="335"/>
      <c r="J17" s="333" t="s">
        <v>162</v>
      </c>
      <c r="N17" s="500">
        <v>420</v>
      </c>
    </row>
    <row r="18" spans="3:14" s="17" customFormat="1" ht="15.5">
      <c r="C18" s="336" t="s">
        <v>56</v>
      </c>
      <c r="D18"/>
      <c r="E18" s="3" t="s">
        <v>125</v>
      </c>
      <c r="F18" s="3"/>
      <c r="G18" s="3"/>
      <c r="H18" s="337"/>
      <c r="I18" s="18"/>
      <c r="J18" s="330"/>
      <c r="K18"/>
      <c r="L18"/>
      <c r="M18"/>
      <c r="N18" s="501"/>
    </row>
    <row r="19" spans="3:14" ht="14.15" customHeight="1">
      <c r="C19" s="336" t="s">
        <v>57</v>
      </c>
      <c r="F19" s="520">
        <v>0.04</v>
      </c>
      <c r="G19" s="3"/>
      <c r="H19" s="515" t="s">
        <v>126</v>
      </c>
      <c r="I19" s="19"/>
      <c r="J19" s="330"/>
      <c r="N19" s="325"/>
    </row>
    <row r="20" spans="3:14" ht="15.65" customHeight="1">
      <c r="C20" s="338" t="s">
        <v>58</v>
      </c>
      <c r="D20" s="328"/>
      <c r="E20" s="514"/>
      <c r="F20" s="521">
        <v>-0.04</v>
      </c>
      <c r="G20" s="516"/>
      <c r="H20" s="517" t="s">
        <v>126</v>
      </c>
      <c r="I20" s="19"/>
      <c r="J20" s="331"/>
      <c r="K20" s="328"/>
      <c r="L20" s="328"/>
      <c r="M20" s="328"/>
      <c r="N20" s="329"/>
    </row>
    <row r="21" spans="3:14" ht="14.15" customHeight="1">
      <c r="I21" s="19"/>
    </row>
    <row r="22" spans="3:14" ht="6" customHeight="1">
      <c r="I22" s="19"/>
    </row>
    <row r="23" spans="3:14" s="13" customFormat="1" ht="16" customHeight="1">
      <c r="C23" s="372" t="s">
        <v>78</v>
      </c>
      <c r="D23" s="373"/>
      <c r="E23" s="373"/>
      <c r="F23" s="373"/>
      <c r="G23" s="373"/>
      <c r="H23" s="374"/>
      <c r="J23" s="372" t="s">
        <v>159</v>
      </c>
      <c r="K23" s="373"/>
      <c r="L23" s="373"/>
      <c r="M23" s="373"/>
      <c r="N23" s="374"/>
    </row>
    <row r="24" spans="3:14" ht="3" customHeight="1">
      <c r="C24" s="382"/>
      <c r="D24" s="383"/>
      <c r="E24" s="383"/>
      <c r="F24" s="383"/>
      <c r="G24" s="383"/>
      <c r="H24" s="384"/>
      <c r="J24" s="382"/>
      <c r="K24" s="383"/>
      <c r="L24" s="383"/>
      <c r="M24" s="383"/>
      <c r="N24" s="384"/>
    </row>
    <row r="25" spans="3:14" ht="3" customHeight="1">
      <c r="C25" s="390"/>
      <c r="D25" s="391"/>
      <c r="E25" s="391"/>
      <c r="F25" s="391"/>
      <c r="G25" s="391"/>
      <c r="H25" s="392"/>
      <c r="J25" s="390"/>
      <c r="K25" s="391"/>
      <c r="L25" s="391"/>
      <c r="M25" s="391"/>
      <c r="N25" s="392"/>
    </row>
    <row r="26" spans="3:14" ht="15.65" customHeight="1">
      <c r="C26" s="334" t="s">
        <v>79</v>
      </c>
      <c r="D26" s="10"/>
      <c r="E26" s="499">
        <f>G8</f>
        <v>2023</v>
      </c>
      <c r="F26" s="3"/>
      <c r="G26" s="21" t="s">
        <v>80</v>
      </c>
      <c r="H26" s="325"/>
      <c r="J26" s="341"/>
      <c r="N26" s="325"/>
    </row>
    <row r="27" spans="3:14" ht="14.15" customHeight="1">
      <c r="C27" s="339" t="s">
        <v>171</v>
      </c>
      <c r="D27" s="10"/>
      <c r="E27" s="466">
        <v>226</v>
      </c>
      <c r="F27" t="s">
        <v>130</v>
      </c>
      <c r="G27" t="s">
        <v>81</v>
      </c>
      <c r="H27" s="325"/>
      <c r="J27" s="342" t="s">
        <v>176</v>
      </c>
      <c r="M27" s="23"/>
      <c r="N27" s="473">
        <v>0.01</v>
      </c>
    </row>
    <row r="28" spans="3:14" ht="14.15" customHeight="1">
      <c r="C28" s="339" t="s">
        <v>172</v>
      </c>
      <c r="D28" s="10"/>
      <c r="E28" s="466">
        <v>66.2</v>
      </c>
      <c r="F28" t="s">
        <v>130</v>
      </c>
      <c r="G28" t="s">
        <v>81</v>
      </c>
      <c r="H28" s="325"/>
      <c r="J28" s="342" t="s">
        <v>177</v>
      </c>
      <c r="N28" s="473">
        <v>0.06</v>
      </c>
    </row>
    <row r="29" spans="3:14" ht="14.15" customHeight="1">
      <c r="C29" s="339" t="s">
        <v>173</v>
      </c>
      <c r="D29" s="19"/>
      <c r="E29" s="466">
        <v>23.5</v>
      </c>
      <c r="F29" t="s">
        <v>131</v>
      </c>
      <c r="G29" t="s">
        <v>163</v>
      </c>
      <c r="H29" s="325"/>
      <c r="J29" s="342" t="s">
        <v>178</v>
      </c>
      <c r="N29" s="473">
        <v>0.06</v>
      </c>
    </row>
    <row r="30" spans="3:14" ht="15.65" customHeight="1">
      <c r="C30" s="339" t="s">
        <v>174</v>
      </c>
      <c r="D30" s="19"/>
      <c r="E30" s="466">
        <v>43.5</v>
      </c>
      <c r="F30" t="s">
        <v>131</v>
      </c>
      <c r="G30" t="s">
        <v>163</v>
      </c>
      <c r="H30" s="325"/>
      <c r="J30" s="330"/>
      <c r="N30" s="325"/>
    </row>
    <row r="31" spans="3:14" ht="14.15" customHeight="1">
      <c r="C31" s="339" t="s">
        <v>10</v>
      </c>
      <c r="D31" s="19"/>
      <c r="E31" s="466">
        <v>2</v>
      </c>
      <c r="F31" t="s">
        <v>131</v>
      </c>
      <c r="G31" t="s">
        <v>163</v>
      </c>
      <c r="H31" s="325"/>
      <c r="J31" s="330"/>
      <c r="N31" s="325"/>
    </row>
    <row r="32" spans="3:14" ht="15.65" customHeight="1">
      <c r="C32" s="340" t="s">
        <v>175</v>
      </c>
      <c r="D32" s="327"/>
      <c r="E32" s="467">
        <v>3.9</v>
      </c>
      <c r="F32" s="328" t="s">
        <v>131</v>
      </c>
      <c r="G32" s="328" t="s">
        <v>163</v>
      </c>
      <c r="H32" s="329"/>
      <c r="J32" s="331"/>
      <c r="K32" s="328"/>
      <c r="L32" s="328"/>
      <c r="M32" s="328"/>
      <c r="N32" s="329"/>
    </row>
    <row r="33" spans="2:17" ht="14.15" customHeight="1"/>
    <row r="34" spans="2:17" ht="6" customHeight="1"/>
    <row r="35" spans="2:17" s="13" customFormat="1" ht="16" customHeight="1">
      <c r="C35" s="372" t="s">
        <v>82</v>
      </c>
      <c r="D35" s="375"/>
      <c r="E35" s="375"/>
      <c r="F35" s="375"/>
      <c r="G35" s="375"/>
      <c r="H35" s="376"/>
      <c r="J35" s="372" t="s">
        <v>77</v>
      </c>
      <c r="K35" s="375"/>
      <c r="L35" s="375"/>
      <c r="M35" s="375"/>
      <c r="N35" s="376"/>
    </row>
    <row r="36" spans="2:17" ht="3" customHeight="1">
      <c r="C36" s="382"/>
      <c r="D36" s="383"/>
      <c r="E36" s="383"/>
      <c r="F36" s="383"/>
      <c r="G36" s="383"/>
      <c r="H36" s="384"/>
      <c r="J36" s="382"/>
      <c r="K36" s="383"/>
      <c r="L36" s="383"/>
      <c r="M36" s="383"/>
      <c r="N36" s="384"/>
    </row>
    <row r="37" spans="2:17" ht="3" customHeight="1">
      <c r="C37" s="390"/>
      <c r="D37" s="391"/>
      <c r="E37" s="391"/>
      <c r="F37" s="391"/>
      <c r="G37" s="391"/>
      <c r="H37" s="392"/>
      <c r="J37" s="390"/>
      <c r="K37" s="391"/>
      <c r="L37" s="391"/>
      <c r="M37" s="391"/>
      <c r="N37" s="392"/>
    </row>
    <row r="38" spans="2:17" ht="14.15" customHeight="1">
      <c r="C38" s="503" t="s">
        <v>73</v>
      </c>
      <c r="D38" s="510" t="s">
        <v>179</v>
      </c>
      <c r="H38" s="470" t="s">
        <v>182</v>
      </c>
      <c r="J38" s="504"/>
      <c r="K38" s="505"/>
      <c r="L38" s="505"/>
      <c r="M38" s="505"/>
      <c r="N38" s="506"/>
    </row>
    <row r="39" spans="2:17" ht="14.15" customHeight="1">
      <c r="C39" s="503" t="s">
        <v>73</v>
      </c>
      <c r="D39" s="511" t="s">
        <v>180</v>
      </c>
      <c r="H39" s="471">
        <v>25</v>
      </c>
      <c r="J39" s="330" t="s">
        <v>183</v>
      </c>
      <c r="N39" s="502">
        <v>0.35</v>
      </c>
    </row>
    <row r="40" spans="2:17" ht="14.15" customHeight="1">
      <c r="C40" s="513" t="s">
        <v>73</v>
      </c>
      <c r="D40" s="512" t="s">
        <v>181</v>
      </c>
      <c r="E40" s="328"/>
      <c r="F40" s="328"/>
      <c r="G40" s="328"/>
      <c r="H40" s="472">
        <v>30</v>
      </c>
      <c r="J40" s="509" t="s">
        <v>184</v>
      </c>
      <c r="K40" s="507"/>
      <c r="L40" s="507"/>
      <c r="M40" s="507"/>
      <c r="N40" s="508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5" customHeight="1">
      <c r="C42" s="26"/>
      <c r="D42" s="24"/>
      <c r="H42" s="27"/>
    </row>
    <row r="43" spans="2:17" ht="14.15" customHeight="1">
      <c r="C43" s="26"/>
      <c r="J43" s="28"/>
    </row>
    <row r="44" spans="2:17" ht="22.5" customHeight="1">
      <c r="B44" s="1" t="str">
        <f>Summary!B1</f>
        <v>Blu Containers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98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63"/>
      <c r="C46" s="363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</row>
    <row r="47" spans="2:17" ht="12" customHeight="1">
      <c r="C47" s="26"/>
      <c r="J47" s="28"/>
    </row>
    <row r="48" spans="2:17" s="13" customFormat="1" ht="16" customHeight="1">
      <c r="C48" s="372" t="s">
        <v>138</v>
      </c>
      <c r="D48" s="375"/>
      <c r="E48" s="375"/>
      <c r="F48" s="375"/>
      <c r="G48" s="375"/>
      <c r="H48" s="375"/>
      <c r="I48" s="375"/>
      <c r="J48" s="385">
        <f>G8</f>
        <v>2023</v>
      </c>
      <c r="K48" s="385">
        <f>J48+1</f>
        <v>2024</v>
      </c>
      <c r="L48" s="385">
        <f>K48+1</f>
        <v>2025</v>
      </c>
      <c r="M48" s="385">
        <f>L48+1</f>
        <v>2026</v>
      </c>
      <c r="N48" s="377">
        <f>M48+1</f>
        <v>2027</v>
      </c>
      <c r="Q48" s="343"/>
    </row>
    <row r="49" spans="3:17" s="13" customFormat="1" ht="3" customHeight="1">
      <c r="C49" s="382"/>
      <c r="D49" s="383"/>
      <c r="E49" s="383"/>
      <c r="F49" s="383"/>
      <c r="G49" s="383"/>
      <c r="H49" s="384"/>
      <c r="I49" s="384"/>
      <c r="J49" s="384"/>
      <c r="K49" s="384"/>
      <c r="L49" s="384"/>
      <c r="M49" s="384"/>
      <c r="N49" s="384"/>
      <c r="Q49" s="343"/>
    </row>
    <row r="50" spans="3:17" s="13" customFormat="1" ht="3" customHeight="1">
      <c r="C50" s="390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2"/>
      <c r="Q50" s="343"/>
    </row>
    <row r="51" spans="3:17" ht="8.15" customHeight="1">
      <c r="C51" s="330"/>
      <c r="L51" s="28"/>
      <c r="N51" s="325"/>
    </row>
    <row r="52" spans="3:17" ht="14.15" customHeight="1">
      <c r="C52" s="344" t="s">
        <v>36</v>
      </c>
      <c r="J52" s="31"/>
      <c r="K52" s="31"/>
      <c r="L52" s="31"/>
      <c r="M52" s="31"/>
      <c r="N52" s="560"/>
      <c r="Q52" s="29"/>
    </row>
    <row r="53" spans="3:17" ht="14.15" customHeight="1">
      <c r="C53" s="344"/>
      <c r="D53" t="s">
        <v>141</v>
      </c>
      <c r="G53" t="s">
        <v>131</v>
      </c>
      <c r="J53" s="31">
        <v>0</v>
      </c>
      <c r="K53" s="31">
        <v>0</v>
      </c>
      <c r="L53" s="31">
        <v>0</v>
      </c>
      <c r="M53" s="31">
        <v>0</v>
      </c>
      <c r="N53" s="561">
        <v>0</v>
      </c>
    </row>
    <row r="54" spans="3:17" ht="6" customHeight="1">
      <c r="C54" s="330"/>
      <c r="L54" s="28"/>
      <c r="N54" s="325"/>
    </row>
    <row r="55" spans="3:17" ht="14.15" customHeight="1">
      <c r="C55" s="344" t="s">
        <v>46</v>
      </c>
      <c r="J55" s="31"/>
      <c r="K55" s="31"/>
      <c r="L55" s="31"/>
      <c r="M55" s="31"/>
      <c r="N55" s="345"/>
      <c r="Q55" s="29"/>
    </row>
    <row r="56" spans="3:17" ht="14.15" customHeight="1">
      <c r="C56" s="344"/>
      <c r="D56" t="s">
        <v>142</v>
      </c>
      <c r="G56" t="s">
        <v>131</v>
      </c>
      <c r="J56" s="31">
        <v>0</v>
      </c>
      <c r="K56" s="31">
        <v>0</v>
      </c>
      <c r="L56" s="31">
        <v>0</v>
      </c>
      <c r="M56" s="31">
        <v>0</v>
      </c>
      <c r="N56" s="560">
        <v>0</v>
      </c>
    </row>
    <row r="57" spans="3:17" ht="6" customHeight="1">
      <c r="C57" s="330"/>
      <c r="L57" s="28"/>
      <c r="N57" s="325"/>
      <c r="O57" s="559"/>
    </row>
    <row r="58" spans="3:17" ht="14.15" customHeight="1">
      <c r="C58" s="344" t="s">
        <v>92</v>
      </c>
      <c r="G58" t="s">
        <v>131</v>
      </c>
      <c r="J58" s="31">
        <v>16</v>
      </c>
      <c r="K58" s="31">
        <v>17</v>
      </c>
      <c r="L58" s="31">
        <v>17.3</v>
      </c>
      <c r="M58" s="31">
        <v>17.5</v>
      </c>
      <c r="N58" s="345">
        <v>18</v>
      </c>
      <c r="Q58" s="29"/>
    </row>
    <row r="59" spans="3:17" ht="6" customHeight="1">
      <c r="C59" s="330"/>
      <c r="L59" s="28"/>
      <c r="N59" s="325"/>
    </row>
    <row r="60" spans="3:17" ht="14.25" customHeight="1">
      <c r="C60" s="344" t="s">
        <v>149</v>
      </c>
      <c r="L60" s="28"/>
      <c r="N60" s="325"/>
    </row>
    <row r="61" spans="3:17" ht="14.25" customHeight="1">
      <c r="C61" s="330"/>
      <c r="D61" t="s">
        <v>153</v>
      </c>
      <c r="G61" t="s">
        <v>131</v>
      </c>
      <c r="J61" s="31">
        <v>5</v>
      </c>
      <c r="K61" s="31">
        <v>5</v>
      </c>
      <c r="L61" s="31">
        <v>5</v>
      </c>
      <c r="M61" s="31">
        <v>5</v>
      </c>
      <c r="N61" s="560">
        <v>5</v>
      </c>
    </row>
    <row r="62" spans="3:17" ht="6" customHeight="1">
      <c r="C62" s="330"/>
      <c r="L62" s="28"/>
      <c r="N62" s="325"/>
    </row>
    <row r="63" spans="3:17" ht="14.25" customHeight="1">
      <c r="C63" s="344" t="s">
        <v>139</v>
      </c>
      <c r="L63" s="28"/>
      <c r="N63" s="325"/>
    </row>
    <row r="64" spans="3:17" ht="14.15" customHeight="1">
      <c r="C64" s="330"/>
      <c r="D64" t="s">
        <v>14</v>
      </c>
      <c r="J64" s="468">
        <v>48</v>
      </c>
      <c r="K64" s="468">
        <v>44</v>
      </c>
      <c r="L64" s="468">
        <v>40</v>
      </c>
      <c r="M64" s="468">
        <v>40</v>
      </c>
      <c r="N64" s="469">
        <v>40</v>
      </c>
    </row>
    <row r="65" spans="2:15" ht="14.15" customHeight="1">
      <c r="C65" s="341"/>
      <c r="D65" t="s">
        <v>15</v>
      </c>
      <c r="J65" s="468">
        <v>70</v>
      </c>
      <c r="K65" s="468">
        <v>65</v>
      </c>
      <c r="L65" s="468">
        <v>60</v>
      </c>
      <c r="M65" s="468">
        <v>60</v>
      </c>
      <c r="N65" s="469">
        <v>55</v>
      </c>
    </row>
    <row r="66" spans="2:15" ht="14.15" customHeight="1">
      <c r="C66" s="341"/>
      <c r="D66" t="s">
        <v>143</v>
      </c>
      <c r="J66" s="468">
        <v>30</v>
      </c>
      <c r="K66" s="468">
        <v>30</v>
      </c>
      <c r="L66" s="468">
        <v>30</v>
      </c>
      <c r="M66" s="468">
        <v>30</v>
      </c>
      <c r="N66" s="563">
        <v>30</v>
      </c>
    </row>
    <row r="67" spans="2:15" ht="14.15" customHeight="1">
      <c r="C67" s="341"/>
      <c r="D67" s="19" t="s">
        <v>10</v>
      </c>
      <c r="J67" s="468">
        <v>3</v>
      </c>
      <c r="K67" s="468">
        <v>3</v>
      </c>
      <c r="L67" s="468">
        <v>3</v>
      </c>
      <c r="M67" s="468">
        <v>3</v>
      </c>
      <c r="N67" s="563">
        <v>3</v>
      </c>
    </row>
    <row r="68" spans="2:15" ht="14.15" customHeight="1">
      <c r="C68" s="324"/>
      <c r="D68" s="19" t="s">
        <v>20</v>
      </c>
      <c r="J68" s="468">
        <v>40</v>
      </c>
      <c r="K68" s="468">
        <v>40</v>
      </c>
      <c r="L68" s="468">
        <v>40</v>
      </c>
      <c r="M68" s="468">
        <v>40</v>
      </c>
      <c r="N68" s="563">
        <v>40</v>
      </c>
    </row>
    <row r="69" spans="2:15" ht="14.15" customHeight="1">
      <c r="C69" s="324"/>
      <c r="D69" s="19" t="s">
        <v>10</v>
      </c>
      <c r="J69" s="468">
        <v>10</v>
      </c>
      <c r="K69" s="468">
        <v>10</v>
      </c>
      <c r="L69" s="468">
        <v>10</v>
      </c>
      <c r="M69" s="468">
        <v>10</v>
      </c>
      <c r="N69" s="563">
        <v>10</v>
      </c>
    </row>
    <row r="70" spans="2:15" ht="6" customHeight="1">
      <c r="C70" s="324"/>
      <c r="N70" s="325"/>
    </row>
    <row r="71" spans="2:15" ht="14.15" customHeight="1">
      <c r="C71" s="346" t="s">
        <v>140</v>
      </c>
      <c r="N71" s="325"/>
    </row>
    <row r="72" spans="2:15" ht="14.15" customHeight="1">
      <c r="C72" s="339"/>
      <c r="D72" t="s">
        <v>161</v>
      </c>
      <c r="G72" t="s">
        <v>131</v>
      </c>
      <c r="J72" s="31">
        <v>-25</v>
      </c>
      <c r="K72" s="31">
        <v>-25</v>
      </c>
      <c r="L72" s="31">
        <v>-25</v>
      </c>
      <c r="M72" s="31">
        <v>-25</v>
      </c>
      <c r="N72" s="345">
        <v>-25</v>
      </c>
    </row>
    <row r="73" spans="2:15" ht="14.15" customHeight="1">
      <c r="C73" s="324"/>
      <c r="D73" t="s">
        <v>111</v>
      </c>
      <c r="G73" t="s">
        <v>131</v>
      </c>
      <c r="J73" s="31">
        <v>0</v>
      </c>
      <c r="K73" s="31">
        <v>0</v>
      </c>
      <c r="L73" s="31">
        <v>0</v>
      </c>
      <c r="M73" s="31">
        <v>0</v>
      </c>
      <c r="N73" s="560">
        <v>0</v>
      </c>
    </row>
    <row r="74" spans="2:15" ht="12" customHeight="1">
      <c r="C74" s="326"/>
      <c r="D74" s="328"/>
      <c r="E74" s="328"/>
      <c r="F74" s="328"/>
      <c r="G74" s="328"/>
      <c r="H74" s="328"/>
      <c r="I74" s="328"/>
      <c r="J74" s="347"/>
      <c r="K74" s="347"/>
      <c r="L74" s="347"/>
      <c r="M74" s="347"/>
      <c r="N74" s="348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3622047244094491" right="0.23622047244094491" top="0.35433070866141736" bottom="0.51181102362204722" header="0.23622047244094491" footer="0.23622047244094491"/>
  <pageSetup scale="95" orientation="landscape" r:id="rId1"/>
  <headerFooter alignWithMargins="0">
    <oddFooter>&amp;L&amp;F&amp;CPage &amp;P Of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42"/>
  <sheetViews>
    <sheetView showGridLines="0" zoomScale="85" zoomScaleNormal="85" zoomScaleSheetLayoutView="100" workbookViewId="0">
      <selection activeCell="H12" sqref="H12"/>
    </sheetView>
  </sheetViews>
  <sheetFormatPr defaultColWidth="10.54296875" defaultRowHeight="12.5"/>
  <cols>
    <col min="1" max="1" width="7.26953125" style="36" bestFit="1" customWidth="1"/>
    <col min="2" max="2" width="1.54296875" style="36" customWidth="1"/>
    <col min="3" max="3" width="18.54296875" style="36" customWidth="1"/>
    <col min="4" max="4" width="11.54296875" style="58" customWidth="1"/>
    <col min="5" max="5" width="1.54296875" style="58" customWidth="1"/>
    <col min="6" max="6" width="6.7265625" style="36" customWidth="1"/>
    <col min="7" max="11" width="12.7265625" style="36" customWidth="1"/>
    <col min="12" max="12" width="13.54296875" style="36" customWidth="1"/>
    <col min="13" max="13" width="10.453125" style="36" customWidth="1"/>
    <col min="14" max="17" width="13.54296875" style="36" customWidth="1"/>
    <col min="18" max="16384" width="10.54296875" style="36"/>
  </cols>
  <sheetData>
    <row r="1" spans="1:11" s="33" customFormat="1" ht="22.75" customHeight="1">
      <c r="B1" s="34" t="str">
        <f>Assumptions!B1</f>
        <v>Blu Containers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8">
      <c r="B2" s="37" t="s">
        <v>164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61"/>
      <c r="C3" s="361"/>
      <c r="D3" s="362"/>
      <c r="E3" s="362"/>
      <c r="F3" s="361"/>
      <c r="G3" s="361"/>
      <c r="H3" s="361"/>
      <c r="I3" s="361"/>
      <c r="J3" s="361"/>
      <c r="K3" s="361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149999999999999" customHeight="1">
      <c r="B6" s="45" t="s">
        <v>90</v>
      </c>
      <c r="C6" s="46"/>
      <c r="D6" s="47">
        <v>3</v>
      </c>
      <c r="E6" s="48"/>
      <c r="F6" s="46"/>
      <c r="G6" s="354">
        <f>Assumptions!G8</f>
        <v>2023</v>
      </c>
      <c r="H6" s="354">
        <f>G6+1</f>
        <v>2024</v>
      </c>
      <c r="I6" s="354">
        <f>H6+1</f>
        <v>2025</v>
      </c>
      <c r="J6" s="354">
        <f>I6+1</f>
        <v>2026</v>
      </c>
      <c r="K6" s="354">
        <f>J6+1</f>
        <v>2027</v>
      </c>
    </row>
    <row r="7" spans="1:11" ht="6" customHeight="1">
      <c r="B7" s="50"/>
      <c r="C7" s="51"/>
      <c r="D7" s="52"/>
      <c r="E7" s="53"/>
      <c r="F7" s="46"/>
      <c r="G7" s="49"/>
      <c r="H7" s="49"/>
      <c r="I7" s="54"/>
      <c r="J7" s="54"/>
      <c r="K7" s="49"/>
    </row>
    <row r="8" spans="1:11" ht="13">
      <c r="B8" s="46"/>
      <c r="C8" s="46"/>
      <c r="D8" s="55"/>
      <c r="E8" s="55"/>
      <c r="F8" s="46"/>
      <c r="G8" s="49"/>
      <c r="H8" s="49"/>
      <c r="I8" s="54"/>
      <c r="J8" s="54"/>
      <c r="K8" s="49"/>
    </row>
    <row r="9" spans="1:11" ht="13">
      <c r="B9" s="46"/>
      <c r="C9" s="46"/>
      <c r="D9" s="55"/>
      <c r="E9" s="55"/>
      <c r="F9" s="46"/>
      <c r="G9" s="49"/>
      <c r="H9" s="49"/>
      <c r="I9" s="54"/>
      <c r="J9" s="54"/>
      <c r="K9" s="49"/>
    </row>
    <row r="10" spans="1:11" ht="15.5">
      <c r="A10" s="56"/>
      <c r="B10" s="57" t="s">
        <v>83</v>
      </c>
    </row>
    <row r="11" spans="1:11" ht="12.75" customHeight="1"/>
    <row r="12" spans="1:11" ht="16.149999999999999" customHeight="1">
      <c r="B12" s="59" t="s">
        <v>89</v>
      </c>
      <c r="D12" s="55"/>
      <c r="E12" s="60"/>
      <c r="G12" s="456">
        <f>IF($D$6=1,G14,IF($D$6=2,G15,G16))</f>
        <v>2.5000000000000001E-2</v>
      </c>
      <c r="H12" s="456">
        <f>CHOOSE($D$6,H14,H15,H16)</f>
        <v>2.5999999999999999E-2</v>
      </c>
      <c r="I12" s="456">
        <f ca="1">OFFSET(I13,$D$6,0)</f>
        <v>2.7E-2</v>
      </c>
      <c r="J12" s="456">
        <f>INDEX(J14:J16,$D$6)</f>
        <v>2.8000000000000001E-2</v>
      </c>
      <c r="K12" s="527">
        <f>CHOOSE($D$6,K14,K15,K16)</f>
        <v>2.9000000000000001E-2</v>
      </c>
    </row>
    <row r="13" spans="1:11" ht="4.4000000000000004" customHeight="1">
      <c r="B13" s="61"/>
      <c r="D13" s="60"/>
      <c r="E13" s="60"/>
      <c r="G13" s="62"/>
      <c r="H13" s="63"/>
      <c r="I13" s="63"/>
      <c r="J13" s="63"/>
      <c r="K13" s="63"/>
    </row>
    <row r="14" spans="1:11" ht="13">
      <c r="B14" s="61"/>
      <c r="C14" s="36" t="str">
        <f>Assumptions!C18</f>
        <v>Base Case</v>
      </c>
      <c r="D14" s="60"/>
      <c r="E14" s="60"/>
      <c r="G14" s="64">
        <v>0.02</v>
      </c>
      <c r="H14" s="65">
        <v>0.02</v>
      </c>
      <c r="I14" s="65">
        <v>0.02</v>
      </c>
      <c r="J14" s="65">
        <v>2.5000000000000001E-2</v>
      </c>
      <c r="K14" s="66">
        <v>2.5000000000000001E-2</v>
      </c>
    </row>
    <row r="15" spans="1:11" ht="13">
      <c r="B15" s="61"/>
      <c r="C15" s="36" t="str">
        <f>Assumptions!C19</f>
        <v>Best Case</v>
      </c>
      <c r="D15" s="60"/>
      <c r="E15" s="60"/>
      <c r="G15" s="67">
        <v>1.7999999999999999E-2</v>
      </c>
      <c r="H15" s="519">
        <v>1.9E-2</v>
      </c>
      <c r="I15" s="519">
        <v>0.02</v>
      </c>
      <c r="J15" s="519">
        <v>2.1000000000000001E-2</v>
      </c>
      <c r="K15" s="68">
        <v>2.1999999999999999E-2</v>
      </c>
    </row>
    <row r="16" spans="1:11" ht="13">
      <c r="B16" s="61"/>
      <c r="C16" s="36" t="str">
        <f>Assumptions!C20</f>
        <v>Worst Case</v>
      </c>
      <c r="D16" s="60"/>
      <c r="E16" s="60"/>
      <c r="G16" s="69">
        <v>2.5000000000000001E-2</v>
      </c>
      <c r="H16" s="70">
        <v>2.5999999999999999E-2</v>
      </c>
      <c r="I16" s="70">
        <v>2.7E-2</v>
      </c>
      <c r="J16" s="70">
        <v>2.8000000000000001E-2</v>
      </c>
      <c r="K16" s="71">
        <v>2.9000000000000001E-2</v>
      </c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7" t="s">
        <v>99</v>
      </c>
    </row>
    <row r="22" spans="1:13" ht="12.75" customHeight="1"/>
    <row r="23" spans="1:13" s="78" customFormat="1" ht="16.149999999999999" customHeight="1">
      <c r="B23" s="59" t="s">
        <v>146</v>
      </c>
      <c r="D23" s="55"/>
      <c r="E23" s="47"/>
      <c r="G23" s="526">
        <f>IF($D$6=1,G25,IF($D$6=2,G26,G27))</f>
        <v>768</v>
      </c>
      <c r="H23" s="526">
        <f t="shared" ref="H23:K23" si="0">CHOOSE($D$6,H25,H26,H27)</f>
        <v>696</v>
      </c>
      <c r="I23" s="526">
        <f ca="1">OFFSET(I24,$D$6,0)</f>
        <v>792</v>
      </c>
      <c r="J23" s="526">
        <f>INDEX(J25:J27,$D$6)</f>
        <v>768</v>
      </c>
      <c r="K23" s="528">
        <f t="shared" si="0"/>
        <v>720</v>
      </c>
    </row>
    <row r="24" spans="1:13" ht="4.4000000000000004" customHeight="1">
      <c r="B24" s="79"/>
      <c r="D24" s="60"/>
      <c r="E24" s="60"/>
      <c r="G24" s="80"/>
      <c r="H24" s="80"/>
      <c r="I24" s="80"/>
      <c r="J24" s="80"/>
      <c r="K24" s="80"/>
    </row>
    <row r="25" spans="1:13">
      <c r="C25" s="72" t="str">
        <f>C14</f>
        <v>Base Case</v>
      </c>
      <c r="D25" s="73"/>
      <c r="E25" s="73"/>
      <c r="G25" s="457">
        <v>800</v>
      </c>
      <c r="H25" s="458">
        <v>725</v>
      </c>
      <c r="I25" s="458">
        <v>825</v>
      </c>
      <c r="J25" s="458">
        <v>800</v>
      </c>
      <c r="K25" s="459">
        <v>750</v>
      </c>
      <c r="L25" s="81"/>
      <c r="M25" s="82"/>
    </row>
    <row r="26" spans="1:13">
      <c r="A26" s="522">
        <f>Assumptions!F19</f>
        <v>0.04</v>
      </c>
      <c r="C26" s="518" t="s">
        <v>185</v>
      </c>
      <c r="D26" s="73"/>
      <c r="E26" s="73"/>
      <c r="G26" s="460">
        <f>G25*(1+$A$26)</f>
        <v>832</v>
      </c>
      <c r="H26" s="461">
        <f t="shared" ref="H26:K26" si="1">H25*(1+$A$26)</f>
        <v>754</v>
      </c>
      <c r="I26" s="461">
        <f t="shared" si="1"/>
        <v>858</v>
      </c>
      <c r="J26" s="461">
        <f t="shared" si="1"/>
        <v>832</v>
      </c>
      <c r="K26" s="462">
        <f t="shared" si="1"/>
        <v>780</v>
      </c>
      <c r="L26" s="81"/>
      <c r="M26" s="82"/>
    </row>
    <row r="27" spans="1:13">
      <c r="A27" s="523">
        <f>Assumptions!F20</f>
        <v>-0.04</v>
      </c>
      <c r="C27" s="518" t="s">
        <v>186</v>
      </c>
      <c r="D27" s="73"/>
      <c r="E27" s="73"/>
      <c r="G27" s="463">
        <f>G25*(1+$A$27)</f>
        <v>768</v>
      </c>
      <c r="H27" s="464">
        <f t="shared" ref="H27:K27" si="2">H25*(1+$A$27)</f>
        <v>696</v>
      </c>
      <c r="I27" s="464">
        <f t="shared" si="2"/>
        <v>792</v>
      </c>
      <c r="J27" s="464">
        <f t="shared" si="2"/>
        <v>768</v>
      </c>
      <c r="K27" s="465">
        <f t="shared" si="2"/>
        <v>720</v>
      </c>
      <c r="L27" s="81"/>
      <c r="M27" s="82"/>
    </row>
    <row r="28" spans="1:13">
      <c r="C28" s="83"/>
      <c r="D28" s="73"/>
      <c r="E28" s="73"/>
      <c r="G28" s="84"/>
      <c r="H28" s="84"/>
      <c r="I28" s="84"/>
      <c r="J28" s="84"/>
      <c r="K28" s="85"/>
      <c r="L28" s="81"/>
    </row>
    <row r="29" spans="1:13">
      <c r="C29" s="83"/>
      <c r="D29" s="73"/>
      <c r="E29" s="73"/>
      <c r="G29" s="84"/>
      <c r="H29" s="84"/>
      <c r="I29" s="84"/>
      <c r="J29" s="84"/>
      <c r="K29" s="85"/>
      <c r="L29" s="81"/>
    </row>
    <row r="30" spans="1:13" ht="16.149999999999999" customHeight="1">
      <c r="B30" s="59" t="s">
        <v>100</v>
      </c>
      <c r="D30" s="55"/>
      <c r="E30" s="60"/>
      <c r="G30" s="456">
        <f>IF($D$6=1,G32,IF($D$6=2,G33,G34))</f>
        <v>0.04</v>
      </c>
      <c r="H30" s="456">
        <f t="shared" ref="H30:K30" si="3">CHOOSE($D$6,H32,H33,H34)</f>
        <v>3.5000000000000003E-2</v>
      </c>
      <c r="I30" s="456">
        <f ca="1">OFFSET(I31,$D$6,0)</f>
        <v>0.03</v>
      </c>
      <c r="J30" s="456">
        <f>INDEX(J32:J34,$D$6)</f>
        <v>2.5000000000000001E-2</v>
      </c>
      <c r="K30" s="527">
        <f t="shared" si="3"/>
        <v>0.02</v>
      </c>
    </row>
    <row r="31" spans="1:13" ht="4.4000000000000004" customHeight="1">
      <c r="B31" s="61"/>
      <c r="D31" s="60"/>
      <c r="E31" s="60"/>
      <c r="G31" s="525"/>
      <c r="H31" s="63"/>
      <c r="I31" s="63"/>
      <c r="J31" s="63"/>
      <c r="K31" s="63"/>
    </row>
    <row r="32" spans="1:13" ht="13">
      <c r="B32" s="61"/>
      <c r="C32" s="36" t="str">
        <f>C14</f>
        <v>Base Case</v>
      </c>
      <c r="D32" s="60"/>
      <c r="E32" s="60"/>
      <c r="G32" s="67">
        <v>0.05</v>
      </c>
      <c r="H32" s="65">
        <v>0.04</v>
      </c>
      <c r="I32" s="65">
        <v>0.04</v>
      </c>
      <c r="J32" s="65">
        <v>0.04</v>
      </c>
      <c r="K32" s="66">
        <v>0.04</v>
      </c>
    </row>
    <row r="33" spans="2:12" ht="13">
      <c r="B33" s="61"/>
      <c r="C33" s="36" t="str">
        <f>C15</f>
        <v>Best Case</v>
      </c>
      <c r="D33" s="60"/>
      <c r="E33" s="60"/>
      <c r="G33" s="67">
        <v>0.05</v>
      </c>
      <c r="H33" s="519">
        <v>5.0999999999999997E-2</v>
      </c>
      <c r="I33" s="519">
        <v>5.1999999999999998E-2</v>
      </c>
      <c r="J33" s="519">
        <v>5.2999999999999999E-2</v>
      </c>
      <c r="K33" s="68">
        <v>5.3999999999999999E-2</v>
      </c>
    </row>
    <row r="34" spans="2:12" ht="13">
      <c r="B34" s="61"/>
      <c r="C34" s="36" t="str">
        <f>C16</f>
        <v>Worst Case</v>
      </c>
      <c r="D34" s="60"/>
      <c r="E34" s="60"/>
      <c r="F34" s="524"/>
      <c r="G34" s="70">
        <v>0.04</v>
      </c>
      <c r="H34" s="70">
        <v>3.5000000000000003E-2</v>
      </c>
      <c r="I34" s="70">
        <v>0.03</v>
      </c>
      <c r="J34" s="70">
        <v>2.5000000000000001E-2</v>
      </c>
      <c r="K34" s="71">
        <v>0.02</v>
      </c>
    </row>
    <row r="35" spans="2:12">
      <c r="C35" s="83"/>
      <c r="D35" s="73"/>
      <c r="E35" s="73"/>
      <c r="G35" s="84"/>
      <c r="H35" s="84"/>
      <c r="I35" s="84"/>
      <c r="J35" s="84"/>
      <c r="K35" s="85"/>
      <c r="L35" s="81"/>
    </row>
    <row r="36" spans="2:12">
      <c r="B36" s="86"/>
      <c r="C36" s="86"/>
      <c r="D36" s="87"/>
      <c r="E36" s="87"/>
      <c r="F36" s="86"/>
      <c r="G36" s="86"/>
      <c r="H36" s="86"/>
      <c r="I36" s="86"/>
      <c r="J36" s="86"/>
      <c r="K36" s="86"/>
    </row>
    <row r="39" spans="2:12" ht="13">
      <c r="C39" s="46"/>
      <c r="D39" s="60"/>
      <c r="E39" s="60"/>
      <c r="G39" s="88"/>
    </row>
    <row r="40" spans="2:12">
      <c r="D40" s="73"/>
      <c r="E40" s="73"/>
      <c r="H40" s="82"/>
    </row>
    <row r="41" spans="2:12">
      <c r="D41" s="73"/>
      <c r="E41" s="73"/>
    </row>
    <row r="42" spans="2:12">
      <c r="G42" s="88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3622047244094491" right="0.23622047244094491" top="0.35433070866141736" bottom="0.51181102362204722" header="0.23622047244094491" footer="0.23622047244094491"/>
  <pageSetup scale="95" orientation="landscape" r:id="rId1"/>
  <headerFooter alignWithMargins="0">
    <oddFooter>&amp;L&amp;F&amp;CPage &amp;P Of &amp;N&amp;R&amp;D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1238250</xdr:colOff>
                    <xdr:row>4</xdr:row>
                    <xdr:rowOff>63500</xdr:rowOff>
                  </from>
                  <to>
                    <xdr:col>4</xdr:col>
                    <xdr:colOff>25400</xdr:colOff>
                    <xdr:row>5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II343"/>
  <sheetViews>
    <sheetView showGridLines="0" tabSelected="1" topLeftCell="A135" zoomScaleNormal="100" zoomScaleSheetLayoutView="90" workbookViewId="0">
      <selection activeCell="Q140" sqref="Q140"/>
    </sheetView>
  </sheetViews>
  <sheetFormatPr defaultColWidth="9.453125" defaultRowHeight="12.5"/>
  <cols>
    <col min="1" max="1" width="3.54296875" customWidth="1"/>
    <col min="2" max="2" width="1.81640625" customWidth="1"/>
    <col min="3" max="3" width="2.453125" customWidth="1"/>
    <col min="4" max="4" width="11.453125" customWidth="1"/>
    <col min="5" max="5" width="12.54296875" customWidth="1"/>
    <col min="6" max="6" width="10.453125" style="96" customWidth="1"/>
    <col min="7" max="7" width="1.81640625" customWidth="1"/>
    <col min="8" max="15" width="10.7265625" customWidth="1"/>
  </cols>
  <sheetData>
    <row r="2" spans="1:15" ht="12.75" customHeight="1">
      <c r="A2" s="89"/>
      <c r="B2" s="2"/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586" t="str">
        <f>UPPER("Currently Running: "&amp;CHOOSE(Scenarios!$D$6,Scenarios!$C$14,Scenarios!$C$15,Scenarios!$C$16)&amp;" Scenario")</f>
        <v>CURRENTLY RUNNING: WORST CASE SCENARIO</v>
      </c>
    </row>
    <row r="3" spans="1:15" ht="23">
      <c r="A3" s="91"/>
      <c r="B3" s="1" t="str">
        <f>Scenarios!B1</f>
        <v>Blu Containers</v>
      </c>
      <c r="C3" s="3"/>
      <c r="D3" s="3"/>
      <c r="E3" s="3"/>
      <c r="F3" s="90"/>
      <c r="G3" s="3"/>
      <c r="H3" s="3"/>
      <c r="I3" s="3"/>
      <c r="J3" s="3"/>
      <c r="K3" s="3"/>
      <c r="L3" s="3"/>
      <c r="M3" s="3"/>
      <c r="N3" s="3"/>
      <c r="O3" s="3"/>
    </row>
    <row r="4" spans="1:15" ht="18">
      <c r="A4" s="92"/>
      <c r="B4" s="93" t="s">
        <v>91</v>
      </c>
      <c r="C4" s="94"/>
      <c r="D4" s="94"/>
      <c r="E4" s="94"/>
      <c r="F4" s="95"/>
      <c r="G4" s="94"/>
      <c r="H4" s="94"/>
      <c r="I4" s="94"/>
      <c r="J4" s="94"/>
      <c r="K4" s="94"/>
      <c r="L4" s="94"/>
      <c r="M4" s="94"/>
      <c r="N4" s="94"/>
      <c r="O4" s="94"/>
    </row>
    <row r="5" spans="1:15" ht="3" customHeight="1" thickBot="1">
      <c r="A5" s="92"/>
      <c r="B5" s="358"/>
      <c r="C5" s="359"/>
      <c r="D5" s="359"/>
      <c r="E5" s="359"/>
      <c r="F5" s="360"/>
      <c r="G5" s="359"/>
      <c r="H5" s="359"/>
      <c r="I5" s="359"/>
      <c r="J5" s="359"/>
      <c r="K5" s="359"/>
      <c r="L5" s="359"/>
      <c r="M5" s="359"/>
      <c r="N5" s="359"/>
      <c r="O5" s="359"/>
    </row>
    <row r="6" spans="1:15" ht="12.75" customHeight="1">
      <c r="A6" s="93"/>
      <c r="B6" s="94"/>
      <c r="C6" s="94"/>
      <c r="D6" s="94"/>
      <c r="E6" s="94"/>
      <c r="F6" s="95"/>
      <c r="G6" s="94"/>
      <c r="H6" s="94"/>
      <c r="I6" s="94"/>
      <c r="J6" s="94"/>
      <c r="K6" s="94"/>
      <c r="L6" s="94"/>
      <c r="M6" s="94"/>
      <c r="N6" s="94"/>
      <c r="O6" s="94"/>
    </row>
    <row r="7" spans="1:15" ht="13">
      <c r="G7" s="97"/>
      <c r="K7" s="98" t="s">
        <v>2</v>
      </c>
      <c r="L7" s="20"/>
      <c r="M7" s="20"/>
      <c r="N7" s="20"/>
      <c r="O7" s="20"/>
    </row>
    <row r="8" spans="1:15" ht="13">
      <c r="G8" s="21"/>
      <c r="H8" s="349">
        <f>I8-1</f>
        <v>2020</v>
      </c>
      <c r="I8" s="349">
        <f>J8-1</f>
        <v>2021</v>
      </c>
      <c r="J8" s="349">
        <f>K8-1</f>
        <v>2022</v>
      </c>
      <c r="K8" s="120">
        <f>Scenarios!G6</f>
        <v>2023</v>
      </c>
      <c r="L8" s="120">
        <f>Scenarios!H6</f>
        <v>2024</v>
      </c>
      <c r="M8" s="120">
        <f>Scenarios!I6</f>
        <v>2025</v>
      </c>
      <c r="N8" s="120">
        <f>Scenarios!J6</f>
        <v>2026</v>
      </c>
      <c r="O8" s="120">
        <f>Scenarios!K6</f>
        <v>2027</v>
      </c>
    </row>
    <row r="9" spans="1:15" ht="12.75" customHeight="1">
      <c r="H9" s="99"/>
      <c r="I9" s="99"/>
      <c r="J9" s="99"/>
    </row>
    <row r="10" spans="1:15" ht="13">
      <c r="B10" s="100" t="s">
        <v>1</v>
      </c>
      <c r="F10" s="101"/>
      <c r="H10" s="99"/>
      <c r="I10" s="99"/>
      <c r="J10" s="99"/>
      <c r="K10" s="162"/>
    </row>
    <row r="11" spans="1:15">
      <c r="C11" s="10" t="s">
        <v>60</v>
      </c>
      <c r="F11" s="102" t="s">
        <v>147</v>
      </c>
      <c r="H11" s="103"/>
      <c r="I11" s="103"/>
      <c r="J11" s="104">
        <v>694.4</v>
      </c>
      <c r="K11" s="454">
        <f>Scenarios!G$23</f>
        <v>768</v>
      </c>
      <c r="L11" s="454">
        <f>Scenarios!H$23</f>
        <v>696</v>
      </c>
      <c r="M11" s="454">
        <f ca="1">Scenarios!I$23</f>
        <v>792</v>
      </c>
      <c r="N11" s="454">
        <f>Scenarios!J$23</f>
        <v>768</v>
      </c>
      <c r="O11" s="454">
        <f>Scenarios!K$23</f>
        <v>720</v>
      </c>
    </row>
    <row r="12" spans="1:15" ht="13">
      <c r="C12" t="s">
        <v>89</v>
      </c>
      <c r="F12" s="101" t="s">
        <v>101</v>
      </c>
      <c r="H12" s="105"/>
      <c r="I12" s="106"/>
      <c r="J12" s="106"/>
      <c r="K12" s="548">
        <f>Scenarios!G$12</f>
        <v>2.5000000000000001E-2</v>
      </c>
      <c r="L12" s="548">
        <f>Scenarios!H$12</f>
        <v>2.5999999999999999E-2</v>
      </c>
      <c r="M12" s="548">
        <f ca="1">Scenarios!I$12</f>
        <v>2.7E-2</v>
      </c>
      <c r="N12" s="548">
        <f>Scenarios!J$12</f>
        <v>2.8000000000000001E-2</v>
      </c>
      <c r="O12" s="548">
        <f>Scenarios!K$12</f>
        <v>2.9000000000000001E-2</v>
      </c>
    </row>
    <row r="13" spans="1:15">
      <c r="C13" s="19" t="s">
        <v>50</v>
      </c>
      <c r="F13" s="102" t="s">
        <v>147</v>
      </c>
      <c r="H13" s="107"/>
      <c r="I13" s="107"/>
      <c r="J13" s="108">
        <v>100</v>
      </c>
      <c r="K13" s="11">
        <f>J$13*(1+K$12)</f>
        <v>102.49999999999999</v>
      </c>
      <c r="L13" s="11">
        <f t="shared" ref="L13:O13" si="0">K$13*(1+L$12)</f>
        <v>105.16499999999999</v>
      </c>
      <c r="M13" s="579">
        <f t="shared" ca="1" si="0"/>
        <v>108.00445499999998</v>
      </c>
      <c r="N13" s="579">
        <f t="shared" ca="1" si="0"/>
        <v>111.02857973999998</v>
      </c>
      <c r="O13" s="579">
        <f t="shared" ca="1" si="0"/>
        <v>114.24840855245998</v>
      </c>
    </row>
    <row r="14" spans="1:15" ht="13">
      <c r="C14" s="109" t="s">
        <v>62</v>
      </c>
      <c r="F14" s="110" t="s">
        <v>147</v>
      </c>
      <c r="H14" s="111"/>
      <c r="I14" s="111"/>
      <c r="J14" s="112">
        <f t="shared" ref="J14" si="1">J11-J13</f>
        <v>594.4</v>
      </c>
      <c r="K14" s="111">
        <f>K11-K13</f>
        <v>665.5</v>
      </c>
      <c r="L14" s="111">
        <f>L11-L13</f>
        <v>590.83500000000004</v>
      </c>
      <c r="M14" s="111">
        <f ca="1">M11-M13</f>
        <v>683.99554499999999</v>
      </c>
      <c r="N14" s="111">
        <f ca="1">N11-N13</f>
        <v>656.97142026000006</v>
      </c>
      <c r="O14" s="111">
        <f ca="1">O11-O13</f>
        <v>605.75159144754002</v>
      </c>
    </row>
    <row r="15" spans="1:15" ht="13">
      <c r="B15" s="113"/>
      <c r="C15" s="114"/>
      <c r="D15" s="113"/>
      <c r="E15" s="113"/>
      <c r="F15" s="115"/>
      <c r="G15" s="113"/>
      <c r="H15" s="116"/>
      <c r="I15" s="116"/>
      <c r="J15" s="116"/>
      <c r="K15" s="117"/>
      <c r="L15" s="117"/>
      <c r="M15" s="117"/>
      <c r="N15" s="117"/>
      <c r="O15" s="117"/>
    </row>
    <row r="16" spans="1:15" ht="13">
      <c r="C16" s="100"/>
      <c r="F16" s="110"/>
      <c r="H16" s="118"/>
      <c r="I16" s="118"/>
      <c r="J16" s="118"/>
      <c r="K16" s="119"/>
      <c r="L16" s="119"/>
      <c r="M16" s="119"/>
      <c r="N16" s="119"/>
      <c r="O16" s="119"/>
    </row>
    <row r="17" spans="1:16" ht="13">
      <c r="B17" s="109" t="s">
        <v>102</v>
      </c>
      <c r="F17" s="101"/>
      <c r="I17" s="532"/>
    </row>
    <row r="18" spans="1:16" ht="13">
      <c r="B18" s="109"/>
      <c r="C18" t="s">
        <v>187</v>
      </c>
      <c r="F18" s="101" t="s">
        <v>70</v>
      </c>
      <c r="H18" s="104"/>
      <c r="I18" s="104"/>
      <c r="K18" s="530">
        <f>Assumptions!$N$17</f>
        <v>420</v>
      </c>
      <c r="L18" s="530">
        <f>Assumptions!$N$17</f>
        <v>420</v>
      </c>
      <c r="M18" s="530">
        <f>Assumptions!$N$17</f>
        <v>420</v>
      </c>
      <c r="N18" s="530">
        <f>Assumptions!$N$17</f>
        <v>420</v>
      </c>
      <c r="O18" s="530">
        <f>Assumptions!$N$17</f>
        <v>420</v>
      </c>
      <c r="P18" s="530"/>
    </row>
    <row r="19" spans="1:16" ht="13">
      <c r="B19" s="109"/>
      <c r="F19" s="101"/>
    </row>
    <row r="20" spans="1:16" ht="13">
      <c r="C20" s="59" t="s">
        <v>100</v>
      </c>
      <c r="F20" s="101" t="s">
        <v>101</v>
      </c>
      <c r="H20" s="105"/>
      <c r="I20" s="106"/>
      <c r="J20" s="580"/>
      <c r="K20" s="581">
        <f>Scenarios!G$30</f>
        <v>0.04</v>
      </c>
      <c r="L20" s="581">
        <f>Scenarios!H$30</f>
        <v>3.5000000000000003E-2</v>
      </c>
      <c r="M20" s="581">
        <f ca="1">Scenarios!I$30</f>
        <v>0.03</v>
      </c>
      <c r="N20" s="581">
        <f>Scenarios!J$30</f>
        <v>2.5000000000000001E-2</v>
      </c>
      <c r="O20" s="581">
        <f>Scenarios!K$30</f>
        <v>0.02</v>
      </c>
    </row>
    <row r="21" spans="1:16" ht="13">
      <c r="C21" s="120" t="s">
        <v>103</v>
      </c>
      <c r="F21" s="144" t="s">
        <v>70</v>
      </c>
      <c r="H21" s="122"/>
      <c r="I21" s="122"/>
      <c r="J21" s="532">
        <f>J29*1000/J14</f>
        <v>344.54912516823686</v>
      </c>
      <c r="K21" s="529">
        <f>MIN(J21*(1+K20),K18)</f>
        <v>358.33109017496633</v>
      </c>
      <c r="L21" s="529">
        <f>MIN(K21*(1+L20),L18)</f>
        <v>370.87267833109013</v>
      </c>
      <c r="M21" s="529">
        <f ca="1">MIN(L21*(1+M20),M18)</f>
        <v>381.99885868102285</v>
      </c>
      <c r="N21" s="529">
        <f t="shared" ref="N21:O21" ca="1" si="2">MIN(M21*(1+N20),N18)</f>
        <v>391.54883014804841</v>
      </c>
      <c r="O21" s="529">
        <f t="shared" ca="1" si="2"/>
        <v>399.37980675100937</v>
      </c>
      <c r="P21" s="531"/>
    </row>
    <row r="22" spans="1:16" ht="6" customHeight="1">
      <c r="C22" s="120"/>
      <c r="F22" s="121"/>
      <c r="H22" s="119"/>
      <c r="I22" s="119"/>
      <c r="J22" s="119"/>
      <c r="K22" s="455"/>
      <c r="L22" s="455"/>
      <c r="M22" s="455"/>
      <c r="N22" s="455"/>
      <c r="O22" s="455"/>
    </row>
    <row r="23" spans="1:16">
      <c r="C23" t="s">
        <v>51</v>
      </c>
      <c r="F23" s="121"/>
      <c r="H23" s="123"/>
      <c r="I23" s="123"/>
      <c r="J23" s="123"/>
      <c r="K23" s="9">
        <f>K21/K18</f>
        <v>0.85316926232134838</v>
      </c>
      <c r="L23" s="9">
        <f t="shared" ref="L23:O23" si="3">L21/L18</f>
        <v>0.88303018650259557</v>
      </c>
      <c r="M23" s="9">
        <f t="shared" ca="1" si="3"/>
        <v>0.90952109209767351</v>
      </c>
      <c r="N23" s="9">
        <f t="shared" ca="1" si="3"/>
        <v>0.9322591194001153</v>
      </c>
      <c r="O23" s="9">
        <f t="shared" ca="1" si="3"/>
        <v>0.95090430178811758</v>
      </c>
    </row>
    <row r="24" spans="1:16" ht="12.75" customHeight="1">
      <c r="B24" s="113"/>
      <c r="C24" s="113"/>
      <c r="D24" s="113"/>
      <c r="E24" s="113"/>
      <c r="F24" s="124"/>
      <c r="G24" s="113"/>
      <c r="H24" s="113"/>
      <c r="I24" s="113"/>
      <c r="J24" s="113"/>
      <c r="K24" s="113"/>
      <c r="L24" s="113"/>
      <c r="M24" s="113"/>
      <c r="N24" s="113"/>
      <c r="O24" s="113"/>
    </row>
    <row r="25" spans="1:16" ht="12.75" customHeight="1">
      <c r="F25" s="101"/>
    </row>
    <row r="26" spans="1:16" ht="13">
      <c r="B26" s="120" t="s">
        <v>42</v>
      </c>
      <c r="F26" s="101"/>
    </row>
    <row r="27" spans="1:16">
      <c r="A27" s="125"/>
      <c r="C27" t="s">
        <v>43</v>
      </c>
      <c r="F27" s="101" t="s">
        <v>188</v>
      </c>
      <c r="H27" s="126"/>
      <c r="I27" s="126"/>
      <c r="J27" s="126">
        <f>J84</f>
        <v>239.2</v>
      </c>
      <c r="K27" s="544">
        <f>K21*K11/1000</f>
        <v>275.19827725437409</v>
      </c>
      <c r="L27" s="544">
        <f t="shared" ref="L27:O27" si="4">L21*L11/1000</f>
        <v>258.12738411843873</v>
      </c>
      <c r="M27" s="544">
        <f t="shared" ca="1" si="4"/>
        <v>302.5430960753701</v>
      </c>
      <c r="N27" s="544">
        <f t="shared" ca="1" si="4"/>
        <v>300.70950155370116</v>
      </c>
      <c r="O27" s="544">
        <f t="shared" ca="1" si="4"/>
        <v>287.55346086072677</v>
      </c>
    </row>
    <row r="28" spans="1:16">
      <c r="C28" s="19" t="s">
        <v>50</v>
      </c>
      <c r="F28" s="101" t="s">
        <v>188</v>
      </c>
      <c r="H28" s="126"/>
      <c r="I28" s="126"/>
      <c r="J28" s="582">
        <f>J85</f>
        <v>34.4</v>
      </c>
      <c r="K28" s="583">
        <f>K13*K21/1000</f>
        <v>36.728936742934039</v>
      </c>
      <c r="L28" s="583">
        <f t="shared" ref="L28:O28" si="5">L13*L21/1000</f>
        <v>39.002825216689089</v>
      </c>
      <c r="M28" s="583">
        <f t="shared" ca="1" si="5"/>
        <v>41.257578542465879</v>
      </c>
      <c r="N28" s="583">
        <f t="shared" ca="1" si="5"/>
        <v>43.473110510196307</v>
      </c>
      <c r="O28" s="583">
        <f t="shared" ca="1" si="5"/>
        <v>45.628507329291828</v>
      </c>
    </row>
    <row r="29" spans="1:16" ht="13">
      <c r="C29" s="120" t="s">
        <v>3</v>
      </c>
      <c r="F29" s="121" t="s">
        <v>188</v>
      </c>
      <c r="H29" s="128"/>
      <c r="I29" s="128"/>
      <c r="J29" s="128">
        <f>J27-J28</f>
        <v>204.79999999999998</v>
      </c>
      <c r="K29" s="545">
        <f>K27-K28</f>
        <v>238.46934051144007</v>
      </c>
      <c r="L29" s="545">
        <f t="shared" ref="L29:O29" si="6">L27-L28</f>
        <v>219.12455890174965</v>
      </c>
      <c r="M29" s="545">
        <f t="shared" ca="1" si="6"/>
        <v>261.28551753290424</v>
      </c>
      <c r="N29" s="545">
        <f t="shared" ca="1" si="6"/>
        <v>257.23639104350485</v>
      </c>
      <c r="O29" s="545">
        <f t="shared" ca="1" si="6"/>
        <v>241.92495353143494</v>
      </c>
    </row>
    <row r="30" spans="1:16" ht="12.75" customHeight="1">
      <c r="B30" s="11"/>
      <c r="C30" s="11"/>
      <c r="D30" s="11"/>
      <c r="E30" s="11"/>
      <c r="F30" s="129"/>
      <c r="G30" s="11"/>
      <c r="H30" s="11"/>
      <c r="I30" s="11"/>
      <c r="J30" s="11"/>
      <c r="K30" s="11"/>
      <c r="L30" s="11"/>
      <c r="M30" s="11"/>
      <c r="N30" s="11"/>
      <c r="O30" s="11"/>
    </row>
    <row r="31" spans="1:16" ht="12.75" customHeight="1"/>
    <row r="32" spans="1:16" ht="12.75" customHeight="1">
      <c r="A32" s="91"/>
      <c r="B32" s="1"/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130" t="str">
        <f>$O$2</f>
        <v>CURRENTLY RUNNING: WORST CASE SCENARIO</v>
      </c>
    </row>
    <row r="33" spans="1:16" ht="23">
      <c r="A33" s="91"/>
      <c r="B33" s="1" t="str">
        <f>B$3</f>
        <v>Blu Containers</v>
      </c>
      <c r="C33" s="3"/>
      <c r="D33" s="3"/>
      <c r="E33" s="3"/>
      <c r="F33" s="90"/>
      <c r="G33" s="3"/>
      <c r="H33" s="3"/>
      <c r="I33" s="3"/>
      <c r="J33" s="3"/>
      <c r="K33" s="3"/>
      <c r="L33" s="3"/>
      <c r="M33" s="3"/>
      <c r="N33" s="3"/>
      <c r="O33" s="3"/>
    </row>
    <row r="34" spans="1:16" ht="18">
      <c r="A34" s="92"/>
      <c r="B34" s="93" t="s">
        <v>157</v>
      </c>
      <c r="C34" s="94"/>
      <c r="D34" s="94"/>
      <c r="E34" s="94"/>
      <c r="F34" s="95"/>
      <c r="G34" s="94"/>
      <c r="H34" s="94"/>
      <c r="I34" s="94"/>
      <c r="J34" s="94"/>
      <c r="K34" s="94"/>
      <c r="L34" s="94"/>
      <c r="M34" s="94"/>
      <c r="N34" s="94"/>
      <c r="O34" s="94"/>
    </row>
    <row r="35" spans="1:16" ht="3" customHeight="1" thickBot="1">
      <c r="A35" s="92"/>
      <c r="B35" s="358"/>
      <c r="C35" s="359"/>
      <c r="D35" s="359"/>
      <c r="E35" s="359"/>
      <c r="F35" s="360"/>
      <c r="G35" s="359"/>
      <c r="H35" s="359"/>
      <c r="I35" s="359"/>
      <c r="J35" s="359"/>
      <c r="K35" s="359"/>
      <c r="L35" s="359"/>
      <c r="M35" s="359"/>
      <c r="N35" s="359"/>
      <c r="O35" s="359"/>
    </row>
    <row r="36" spans="1:16" ht="12.75" customHeight="1">
      <c r="A36" s="93"/>
      <c r="B36" s="94"/>
      <c r="C36" s="94"/>
      <c r="D36" s="94"/>
      <c r="E36" s="94"/>
      <c r="F36" s="95"/>
      <c r="G36" s="94"/>
      <c r="H36" s="94"/>
      <c r="I36" s="94"/>
      <c r="J36" s="94"/>
      <c r="K36" s="94"/>
      <c r="L36" s="94"/>
      <c r="M36" s="94"/>
      <c r="N36" s="94"/>
      <c r="O36" s="94"/>
    </row>
    <row r="37" spans="1:16" ht="13">
      <c r="G37" s="97"/>
      <c r="K37" s="98" t="s">
        <v>2</v>
      </c>
      <c r="L37" s="20"/>
      <c r="M37" s="20"/>
      <c r="N37" s="20"/>
      <c r="O37" s="20"/>
    </row>
    <row r="38" spans="1:16" ht="13">
      <c r="G38" s="21"/>
      <c r="H38" s="349">
        <f t="shared" ref="H38:J38" si="7">H$8</f>
        <v>2020</v>
      </c>
      <c r="I38" s="349">
        <f t="shared" si="7"/>
        <v>2021</v>
      </c>
      <c r="J38" s="349">
        <f t="shared" si="7"/>
        <v>2022</v>
      </c>
      <c r="K38" s="350">
        <f>K$8</f>
        <v>2023</v>
      </c>
      <c r="L38" s="350">
        <f>L$8</f>
        <v>2024</v>
      </c>
      <c r="M38" s="350">
        <f>M$8</f>
        <v>2025</v>
      </c>
      <c r="N38" s="350">
        <f>N$8</f>
        <v>2026</v>
      </c>
      <c r="O38" s="350">
        <f>O$8</f>
        <v>2027</v>
      </c>
    </row>
    <row r="39" spans="1:16" ht="13" customHeight="1">
      <c r="G39" s="21"/>
      <c r="H39" s="21"/>
      <c r="I39" s="21"/>
      <c r="J39" s="21"/>
      <c r="K39" s="21"/>
      <c r="L39" s="21"/>
      <c r="M39" s="21"/>
      <c r="N39" s="21"/>
      <c r="O39" s="21"/>
    </row>
    <row r="40" spans="1:16" ht="13" customHeight="1">
      <c r="B40" s="132" t="s">
        <v>103</v>
      </c>
      <c r="C40" s="133"/>
      <c r="D40" s="133"/>
      <c r="E40" s="133"/>
      <c r="F40" s="134" t="s">
        <v>70</v>
      </c>
      <c r="G40" s="135"/>
      <c r="H40" s="136"/>
      <c r="I40" s="136"/>
      <c r="J40" s="533">
        <f>J21</f>
        <v>344.54912516823686</v>
      </c>
      <c r="K40" s="533">
        <f t="shared" ref="K40:O40" si="8">K21</f>
        <v>358.33109017496633</v>
      </c>
      <c r="L40" s="533">
        <f t="shared" si="8"/>
        <v>370.87267833109013</v>
      </c>
      <c r="M40" s="533">
        <f t="shared" ca="1" si="8"/>
        <v>381.99885868102285</v>
      </c>
      <c r="N40" s="533">
        <f t="shared" ca="1" si="8"/>
        <v>391.54883014804841</v>
      </c>
      <c r="O40" s="533">
        <f t="shared" ca="1" si="8"/>
        <v>399.37980675100937</v>
      </c>
    </row>
    <row r="41" spans="1:16" ht="13">
      <c r="B41" s="137" t="s">
        <v>89</v>
      </c>
      <c r="C41" s="113"/>
      <c r="D41" s="113"/>
      <c r="E41" s="113"/>
      <c r="F41" s="124" t="s">
        <v>101</v>
      </c>
      <c r="G41" s="138"/>
      <c r="H41" s="139"/>
      <c r="I41" s="139"/>
      <c r="J41" s="534"/>
      <c r="K41" s="534"/>
      <c r="L41" s="534">
        <f>L12</f>
        <v>2.5999999999999999E-2</v>
      </c>
      <c r="M41" s="534">
        <f t="shared" ref="M41:O41" ca="1" si="9">M12</f>
        <v>2.7E-2</v>
      </c>
      <c r="N41" s="534">
        <f t="shared" si="9"/>
        <v>2.8000000000000001E-2</v>
      </c>
      <c r="O41" s="534">
        <f t="shared" si="9"/>
        <v>2.9000000000000001E-2</v>
      </c>
    </row>
    <row r="42" spans="1:16" ht="13" customHeight="1">
      <c r="B42" s="140"/>
      <c r="G42" s="21"/>
      <c r="H42" s="21"/>
      <c r="I42" s="21"/>
      <c r="J42" s="21"/>
      <c r="K42" s="21"/>
      <c r="L42" s="21"/>
      <c r="M42" s="21"/>
      <c r="N42" s="21"/>
      <c r="O42" s="21"/>
    </row>
    <row r="43" spans="1:16" ht="12.75" customHeight="1">
      <c r="B43" s="141" t="s">
        <v>71</v>
      </c>
      <c r="G43" s="21"/>
      <c r="H43" s="21"/>
      <c r="I43" s="21"/>
      <c r="J43" s="21"/>
      <c r="K43" s="21"/>
      <c r="M43" s="21"/>
      <c r="N43" s="21"/>
      <c r="O43" s="21"/>
    </row>
    <row r="44" spans="1:16" ht="13">
      <c r="A44" s="125"/>
      <c r="C44" s="120" t="s">
        <v>32</v>
      </c>
      <c r="P44" t="s">
        <v>126</v>
      </c>
    </row>
    <row r="45" spans="1:16">
      <c r="D45" s="339" t="s">
        <v>171</v>
      </c>
      <c r="F45" t="s">
        <v>189</v>
      </c>
      <c r="H45" s="142"/>
      <c r="I45" s="142"/>
      <c r="J45" s="142"/>
      <c r="K45" s="535">
        <f>Assumptions!E27</f>
        <v>226</v>
      </c>
      <c r="L45" s="424">
        <f>K45*(1+L41)</f>
        <v>231.876</v>
      </c>
      <c r="M45" s="424">
        <f t="shared" ref="M45:O45" ca="1" si="10">L45*(1+M41)</f>
        <v>238.136652</v>
      </c>
      <c r="N45" s="424">
        <f t="shared" ca="1" si="10"/>
        <v>244.80447825600001</v>
      </c>
      <c r="O45" s="424">
        <f t="shared" ca="1" si="10"/>
        <v>251.90380812542398</v>
      </c>
    </row>
    <row r="46" spans="1:16" ht="13" thickBot="1">
      <c r="D46" s="339" t="s">
        <v>172</v>
      </c>
      <c r="F46" t="s">
        <v>189</v>
      </c>
      <c r="H46" s="142"/>
      <c r="I46" s="142"/>
      <c r="J46" s="142"/>
      <c r="K46" s="539">
        <f>Assumptions!E28</f>
        <v>66.2</v>
      </c>
      <c r="L46" s="537">
        <f>K46*(1+L41)</f>
        <v>67.921199999999999</v>
      </c>
      <c r="M46" s="537">
        <f t="shared" ref="M46:O46" ca="1" si="11">L46*(1+M41)</f>
        <v>69.755072399999989</v>
      </c>
      <c r="N46" s="537">
        <f t="shared" ca="1" si="11"/>
        <v>71.708214427199991</v>
      </c>
      <c r="O46" s="537">
        <f t="shared" ca="1" si="11"/>
        <v>73.787752645588782</v>
      </c>
    </row>
    <row r="47" spans="1:16" ht="13">
      <c r="D47" s="120" t="s">
        <v>33</v>
      </c>
      <c r="F47" s="120" t="s">
        <v>189</v>
      </c>
      <c r="H47" s="145"/>
      <c r="I47" s="145"/>
      <c r="J47" s="145"/>
      <c r="K47" s="540">
        <f>K45+K46</f>
        <v>292.2</v>
      </c>
      <c r="L47" s="540">
        <f t="shared" ref="L47:O47" si="12">L45+L46</f>
        <v>299.79719999999998</v>
      </c>
      <c r="M47" s="540">
        <f t="shared" ca="1" si="12"/>
        <v>307.89172439999999</v>
      </c>
      <c r="N47" s="540">
        <f t="shared" ca="1" si="12"/>
        <v>316.51269268319999</v>
      </c>
      <c r="O47" s="540">
        <f t="shared" ca="1" si="12"/>
        <v>325.69156077101275</v>
      </c>
    </row>
    <row r="48" spans="1:16" ht="6" customHeight="1">
      <c r="D48" s="19"/>
      <c r="H48" s="146"/>
      <c r="I48" s="146"/>
      <c r="J48" s="146"/>
      <c r="K48" s="234"/>
      <c r="L48" s="234"/>
      <c r="M48" s="234"/>
      <c r="N48" s="234"/>
      <c r="O48" s="234"/>
    </row>
    <row r="49" spans="2:16" ht="12.75" customHeight="1">
      <c r="C49" s="109" t="s">
        <v>34</v>
      </c>
      <c r="D49" s="19"/>
      <c r="H49" s="147"/>
      <c r="I49" s="147"/>
      <c r="J49" s="147"/>
      <c r="K49" s="451"/>
      <c r="L49" s="452"/>
      <c r="M49" s="452"/>
      <c r="N49" s="452"/>
      <c r="O49" s="452"/>
    </row>
    <row r="50" spans="2:16" ht="12.75" customHeight="1">
      <c r="D50" s="339" t="s">
        <v>173</v>
      </c>
      <c r="F50" t="s">
        <v>189</v>
      </c>
      <c r="H50" s="143"/>
      <c r="I50" s="143"/>
      <c r="J50" s="143"/>
      <c r="K50" s="424">
        <f>(K65*1000)/K40</f>
        <v>65.58180588942308</v>
      </c>
      <c r="L50" s="424">
        <f>(L65*1000)/L40</f>
        <v>65.011529316471581</v>
      </c>
      <c r="M50" s="424">
        <f t="shared" ref="M50:O50" ca="1" si="13">(M65*1000)/M40</f>
        <v>64.82217534758864</v>
      </c>
      <c r="N50" s="424">
        <f t="shared" ca="1" si="13"/>
        <v>65.011898787630358</v>
      </c>
      <c r="O50" s="424">
        <f t="shared" ca="1" si="13"/>
        <v>65.585533188697681</v>
      </c>
    </row>
    <row r="51" spans="2:16">
      <c r="D51" s="339" t="s">
        <v>174</v>
      </c>
      <c r="F51" t="s">
        <v>189</v>
      </c>
      <c r="H51" s="143"/>
      <c r="I51" s="143"/>
      <c r="J51" s="143"/>
      <c r="K51" s="424">
        <f>K66*1000/K40</f>
        <v>121.39610877403847</v>
      </c>
      <c r="L51" s="424">
        <f t="shared" ref="L51:O51" si="14">L66*1000/L40</f>
        <v>120.34049043687293</v>
      </c>
      <c r="M51" s="424">
        <f t="shared" ca="1" si="14"/>
        <v>119.98998415404706</v>
      </c>
      <c r="N51" s="424">
        <f t="shared" ca="1" si="14"/>
        <v>120.34117435157113</v>
      </c>
      <c r="O51" s="424">
        <f t="shared" ca="1" si="14"/>
        <v>121.4030082429085</v>
      </c>
    </row>
    <row r="52" spans="2:16" ht="12.75" customHeight="1" thickBot="1">
      <c r="D52" s="339" t="s">
        <v>10</v>
      </c>
      <c r="F52" t="s">
        <v>189</v>
      </c>
      <c r="H52" s="143"/>
      <c r="I52" s="143"/>
      <c r="J52" s="143"/>
      <c r="K52" s="537">
        <f>K67*1000/K40</f>
        <v>5.5814302884615383</v>
      </c>
      <c r="L52" s="537">
        <f>L67*1000/L40</f>
        <v>5.5328961120401345</v>
      </c>
      <c r="M52" s="537">
        <f t="shared" ref="M52:O52" ca="1" si="15">M67*1000/M40</f>
        <v>5.5167808806458423</v>
      </c>
      <c r="N52" s="537">
        <f t="shared" ca="1" si="15"/>
        <v>5.5329275563940739</v>
      </c>
      <c r="O52" s="537">
        <f t="shared" ca="1" si="15"/>
        <v>5.5817475054210801</v>
      </c>
    </row>
    <row r="53" spans="2:16" ht="13">
      <c r="D53" s="100" t="s">
        <v>49</v>
      </c>
      <c r="F53" s="120" t="s">
        <v>189</v>
      </c>
      <c r="H53" s="145"/>
      <c r="I53" s="145"/>
      <c r="J53" s="145"/>
      <c r="K53" s="175">
        <f>K50+K51+K52</f>
        <v>192.55934495192309</v>
      </c>
      <c r="L53" s="175">
        <f t="shared" ref="L53:O53" si="16">L50+L51+L52</f>
        <v>190.88491586538464</v>
      </c>
      <c r="M53" s="175">
        <f t="shared" ca="1" si="16"/>
        <v>190.32894038228156</v>
      </c>
      <c r="N53" s="175">
        <f t="shared" ca="1" si="16"/>
        <v>190.88600069559556</v>
      </c>
      <c r="O53" s="175">
        <f t="shared" ca="1" si="16"/>
        <v>192.57028893702724</v>
      </c>
      <c r="P53" s="148"/>
    </row>
    <row r="54" spans="2:16" ht="6" customHeight="1" thickBot="1">
      <c r="C54" s="120"/>
      <c r="F54" s="144"/>
      <c r="H54" s="149"/>
      <c r="I54" s="149"/>
      <c r="J54" s="149"/>
      <c r="K54" s="541"/>
      <c r="L54" s="541"/>
      <c r="M54" s="541"/>
      <c r="N54" s="541"/>
      <c r="O54" s="541"/>
      <c r="P54" s="148"/>
    </row>
    <row r="55" spans="2:16" ht="14" thickTop="1" thickBot="1">
      <c r="C55" s="100" t="s">
        <v>44</v>
      </c>
      <c r="F55" s="144"/>
      <c r="H55" s="150"/>
      <c r="I55" s="150"/>
      <c r="J55" s="150"/>
      <c r="K55" s="543">
        <f>K53+K47</f>
        <v>484.75934495192308</v>
      </c>
      <c r="L55" s="543">
        <f>L53+L47</f>
        <v>490.68211586538462</v>
      </c>
      <c r="M55" s="543">
        <f ca="1">M53+M47</f>
        <v>498.22066478228157</v>
      </c>
      <c r="N55" s="543">
        <f t="shared" ref="N55:O55" ca="1" si="17">N53+N47</f>
        <v>507.39869337879554</v>
      </c>
      <c r="O55" s="543">
        <f t="shared" ca="1" si="17"/>
        <v>518.26184970804002</v>
      </c>
    </row>
    <row r="56" spans="2:16" ht="13" customHeight="1" thickTop="1">
      <c r="B56" s="114"/>
      <c r="C56" s="152"/>
      <c r="D56" s="113"/>
      <c r="E56" s="113"/>
      <c r="F56" s="153"/>
      <c r="G56" s="154"/>
      <c r="H56" s="154"/>
      <c r="I56" s="154"/>
      <c r="J56" s="154"/>
      <c r="K56" s="453"/>
      <c r="L56" s="453"/>
      <c r="M56" s="453"/>
      <c r="N56" s="453"/>
      <c r="O56" s="453"/>
    </row>
    <row r="57" spans="2:16" ht="13" customHeight="1">
      <c r="B57" s="100"/>
      <c r="C57" s="120"/>
      <c r="F57" s="144"/>
      <c r="H57" s="149"/>
      <c r="I57" s="149"/>
      <c r="J57" s="149"/>
      <c r="K57" s="444"/>
      <c r="L57" s="444"/>
      <c r="M57" s="444"/>
      <c r="N57" s="444"/>
      <c r="O57" s="444"/>
    </row>
    <row r="58" spans="2:16" ht="13">
      <c r="B58" s="141" t="s">
        <v>158</v>
      </c>
      <c r="C58" s="120"/>
      <c r="F58" s="144"/>
      <c r="H58" s="149"/>
      <c r="I58" s="149"/>
      <c r="J58" s="149"/>
      <c r="K58" s="444"/>
      <c r="L58" s="444"/>
      <c r="M58" s="444"/>
      <c r="N58" s="444"/>
      <c r="O58" s="444"/>
    </row>
    <row r="59" spans="2:16" ht="13">
      <c r="C59" s="120" t="s">
        <v>32</v>
      </c>
      <c r="F59" s="144"/>
      <c r="H59" s="149"/>
      <c r="I59" s="149"/>
      <c r="J59" s="149"/>
      <c r="K59" s="444"/>
      <c r="L59" s="444"/>
      <c r="M59" s="444"/>
      <c r="N59" s="444"/>
      <c r="O59" s="444"/>
    </row>
    <row r="60" spans="2:16">
      <c r="D60" s="339" t="s">
        <v>171</v>
      </c>
      <c r="F60" s="536" t="s">
        <v>188</v>
      </c>
      <c r="H60" s="143"/>
      <c r="I60" s="143"/>
      <c r="J60" s="143"/>
      <c r="K60" s="424">
        <f>(K40*K45)/1000</f>
        <v>80.982826379542388</v>
      </c>
      <c r="L60" s="424">
        <f t="shared" ref="L60:O60" si="18">(L40*L45)/1000</f>
        <v>85.99647316069985</v>
      </c>
      <c r="M60" s="424">
        <f t="shared" ca="1" si="18"/>
        <v>90.967929274119911</v>
      </c>
      <c r="N60" s="424">
        <f t="shared" ca="1" si="18"/>
        <v>95.852907076140156</v>
      </c>
      <c r="O60" s="424">
        <f t="shared" ca="1" si="18"/>
        <v>100.60529420897518</v>
      </c>
    </row>
    <row r="61" spans="2:16" ht="13" thickBot="1">
      <c r="D61" s="339" t="s">
        <v>172</v>
      </c>
      <c r="F61" s="536" t="s">
        <v>188</v>
      </c>
      <c r="H61" s="143"/>
      <c r="I61" s="143"/>
      <c r="J61" s="143"/>
      <c r="K61" s="537">
        <f>K46*K40/1000</f>
        <v>23.721518169582772</v>
      </c>
      <c r="L61" s="537">
        <f t="shared" ref="L61:O61" si="19">L46*L40/1000</f>
        <v>25.190117359461638</v>
      </c>
      <c r="M61" s="537">
        <f t="shared" ca="1" si="19"/>
        <v>26.646358044012114</v>
      </c>
      <c r="N61" s="537">
        <f t="shared" ca="1" si="19"/>
        <v>28.077267470975563</v>
      </c>
      <c r="O61" s="537">
        <f t="shared" ca="1" si="19"/>
        <v>29.469338392186529</v>
      </c>
    </row>
    <row r="62" spans="2:16" ht="12.75" customHeight="1">
      <c r="D62" s="120" t="s">
        <v>33</v>
      </c>
      <c r="F62" s="120" t="s">
        <v>188</v>
      </c>
      <c r="H62" s="145"/>
      <c r="I62" s="145"/>
      <c r="J62" s="145"/>
      <c r="K62" s="175">
        <f>K60+K61</f>
        <v>104.70434454912515</v>
      </c>
      <c r="L62" s="175">
        <f t="shared" ref="L62:O62" si="20">L60+L61</f>
        <v>111.18659052016149</v>
      </c>
      <c r="M62" s="175">
        <f t="shared" ca="1" si="20"/>
        <v>117.61428731813203</v>
      </c>
      <c r="N62" s="175">
        <f t="shared" ca="1" si="20"/>
        <v>123.93017454711571</v>
      </c>
      <c r="O62" s="175">
        <f t="shared" ca="1" si="20"/>
        <v>130.07463260116171</v>
      </c>
    </row>
    <row r="63" spans="2:16" ht="6" customHeight="1">
      <c r="D63" s="19"/>
      <c r="F63" s="144"/>
      <c r="H63" s="149"/>
      <c r="I63" s="149"/>
      <c r="J63" s="149"/>
      <c r="K63" s="444"/>
      <c r="L63" s="444"/>
      <c r="M63" s="444"/>
      <c r="N63" s="444"/>
      <c r="O63" s="444"/>
    </row>
    <row r="64" spans="2:16" ht="12.75" customHeight="1">
      <c r="C64" s="109" t="s">
        <v>34</v>
      </c>
      <c r="D64" s="19"/>
      <c r="F64" s="144"/>
      <c r="H64" s="149"/>
      <c r="I64" s="149"/>
      <c r="J64" s="149"/>
      <c r="K64" s="444"/>
      <c r="L64" s="444"/>
      <c r="M64" s="444"/>
      <c r="N64" s="444"/>
      <c r="O64" s="444"/>
    </row>
    <row r="65" spans="1:15" ht="12.75" customHeight="1">
      <c r="A65" s="23"/>
      <c r="D65" s="339" t="s">
        <v>173</v>
      </c>
      <c r="F65" s="536" t="s">
        <v>188</v>
      </c>
      <c r="H65" s="142"/>
      <c r="I65" s="142"/>
      <c r="J65" s="142"/>
      <c r="K65" s="439">
        <f>Assumptions!E29</f>
        <v>23.5</v>
      </c>
      <c r="L65" s="424">
        <f>K65*(1+L41)</f>
        <v>24.111000000000001</v>
      </c>
      <c r="M65" s="424">
        <f t="shared" ref="M65:O65" ca="1" si="21">L65*(1+M41)</f>
        <v>24.761996999999997</v>
      </c>
      <c r="N65" s="424">
        <f t="shared" ca="1" si="21"/>
        <v>25.455332915999996</v>
      </c>
      <c r="O65" s="424">
        <f t="shared" ca="1" si="21"/>
        <v>26.193537570563993</v>
      </c>
    </row>
    <row r="66" spans="1:15" ht="12.75" customHeight="1">
      <c r="D66" s="339" t="s">
        <v>174</v>
      </c>
      <c r="F66" s="536" t="s">
        <v>188</v>
      </c>
      <c r="H66" s="142"/>
      <c r="I66" s="142"/>
      <c r="J66" s="142"/>
      <c r="K66" s="439">
        <f>Assumptions!E30</f>
        <v>43.5</v>
      </c>
      <c r="L66" s="424">
        <f>K66*(1+L41)</f>
        <v>44.631</v>
      </c>
      <c r="M66" s="424">
        <f t="shared" ref="M66:O66" ca="1" si="22">L66*(1+M41)</f>
        <v>45.836036999999997</v>
      </c>
      <c r="N66" s="424">
        <f t="shared" ca="1" si="22"/>
        <v>47.119446035999999</v>
      </c>
      <c r="O66" s="424">
        <f t="shared" ca="1" si="22"/>
        <v>48.485909971043995</v>
      </c>
    </row>
    <row r="67" spans="1:15" ht="13" customHeight="1" thickBot="1">
      <c r="D67" s="339" t="s">
        <v>10</v>
      </c>
      <c r="F67" s="536" t="s">
        <v>188</v>
      </c>
      <c r="H67" s="142"/>
      <c r="I67" s="142"/>
      <c r="J67" s="142"/>
      <c r="K67" s="538">
        <f>Assumptions!E31</f>
        <v>2</v>
      </c>
      <c r="L67" s="537">
        <f>K67*(1+L41)</f>
        <v>2.052</v>
      </c>
      <c r="M67" s="537">
        <f t="shared" ref="M67:O67" ca="1" si="23">L67*(1+M41)</f>
        <v>2.1074039999999998</v>
      </c>
      <c r="N67" s="537">
        <f t="shared" ca="1" si="23"/>
        <v>2.1664113119999997</v>
      </c>
      <c r="O67" s="537">
        <f t="shared" ca="1" si="23"/>
        <v>2.2292372400479996</v>
      </c>
    </row>
    <row r="68" spans="1:15" ht="13" customHeight="1">
      <c r="D68" s="100" t="s">
        <v>49</v>
      </c>
      <c r="F68" s="120" t="s">
        <v>188</v>
      </c>
      <c r="H68" s="145"/>
      <c r="I68" s="145"/>
      <c r="J68" s="145"/>
      <c r="K68" s="175">
        <f>K65+K66+K67</f>
        <v>69</v>
      </c>
      <c r="L68" s="175">
        <f t="shared" ref="L68:O68" si="24">L65+L66+L67</f>
        <v>70.794000000000011</v>
      </c>
      <c r="M68" s="175">
        <f t="shared" ca="1" si="24"/>
        <v>72.705438000000001</v>
      </c>
      <c r="N68" s="175">
        <f t="shared" ca="1" si="24"/>
        <v>74.741190263999997</v>
      </c>
      <c r="O68" s="175">
        <f t="shared" ca="1" si="24"/>
        <v>76.908684781655978</v>
      </c>
    </row>
    <row r="69" spans="1:15" ht="6" customHeight="1" thickBot="1">
      <c r="C69" s="120"/>
      <c r="H69" s="146"/>
      <c r="I69" s="146"/>
      <c r="J69" s="146"/>
      <c r="K69" s="542"/>
      <c r="L69" s="542"/>
      <c r="M69" s="542"/>
      <c r="N69" s="542"/>
      <c r="O69" s="542"/>
    </row>
    <row r="70" spans="1:15" ht="14" thickTop="1" thickBot="1">
      <c r="C70" s="100" t="s">
        <v>44</v>
      </c>
      <c r="F70" s="120" t="s">
        <v>188</v>
      </c>
      <c r="H70" s="150"/>
      <c r="I70" s="150"/>
      <c r="J70" s="150"/>
      <c r="K70" s="543">
        <f>K68+K62</f>
        <v>173.70434454912515</v>
      </c>
      <c r="L70" s="543">
        <f t="shared" ref="L70:O70" si="25">L68+L62</f>
        <v>181.98059052016151</v>
      </c>
      <c r="M70" s="543">
        <f t="shared" ca="1" si="25"/>
        <v>190.31972531813204</v>
      </c>
      <c r="N70" s="543">
        <f t="shared" ca="1" si="25"/>
        <v>198.67136481111572</v>
      </c>
      <c r="O70" s="543">
        <f t="shared" ca="1" si="25"/>
        <v>206.98331738281769</v>
      </c>
    </row>
    <row r="71" spans="1:15" ht="12.75" customHeight="1" thickTop="1">
      <c r="B71" s="155"/>
      <c r="C71" s="156"/>
      <c r="D71" s="11"/>
      <c r="E71" s="11"/>
      <c r="F71" s="157"/>
      <c r="G71" s="158"/>
      <c r="H71" s="158"/>
      <c r="I71" s="158"/>
      <c r="J71" s="158"/>
      <c r="K71" s="158"/>
      <c r="L71" s="158"/>
      <c r="M71" s="158"/>
      <c r="N71" s="158"/>
      <c r="O71" s="158"/>
    </row>
    <row r="72" spans="1:15">
      <c r="H72" s="159"/>
      <c r="I72" s="159"/>
      <c r="J72" s="159"/>
      <c r="K72" s="159"/>
      <c r="L72" s="159"/>
      <c r="M72" s="159"/>
      <c r="N72" s="159"/>
      <c r="O72" s="159"/>
    </row>
    <row r="73" spans="1:15" ht="12.75" customHeight="1">
      <c r="A73" s="91"/>
      <c r="B73" s="1"/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130" t="str">
        <f>$O$2</f>
        <v>CURRENTLY RUNNING: WORST CASE SCENARIO</v>
      </c>
    </row>
    <row r="74" spans="1:15" ht="23">
      <c r="A74" s="91"/>
      <c r="B74" s="1" t="str">
        <f>B$3</f>
        <v>Blu Containers</v>
      </c>
      <c r="C74" s="3"/>
      <c r="D74" s="3"/>
      <c r="E74" s="3"/>
      <c r="F74" s="90"/>
      <c r="G74" s="3"/>
      <c r="H74" s="3"/>
      <c r="I74" s="3"/>
      <c r="J74" s="3"/>
      <c r="K74" s="3"/>
      <c r="L74" s="3"/>
      <c r="M74" s="3"/>
      <c r="N74" s="3"/>
      <c r="O74" s="3"/>
    </row>
    <row r="75" spans="1:15" ht="18">
      <c r="A75" s="92"/>
      <c r="B75" s="93" t="s">
        <v>36</v>
      </c>
      <c r="C75" s="94"/>
      <c r="D75" s="94"/>
      <c r="E75" s="94"/>
      <c r="F75" s="95"/>
      <c r="G75" s="94"/>
      <c r="H75" s="94"/>
      <c r="I75" s="94"/>
      <c r="J75" s="94"/>
      <c r="K75" s="94"/>
      <c r="L75" s="94"/>
      <c r="M75" s="94"/>
      <c r="N75" s="94"/>
      <c r="O75" s="94"/>
    </row>
    <row r="76" spans="1:15" ht="3" customHeight="1" thickBot="1">
      <c r="A76" s="92"/>
      <c r="B76" s="358"/>
      <c r="C76" s="359"/>
      <c r="D76" s="359"/>
      <c r="E76" s="359"/>
      <c r="F76" s="360"/>
      <c r="G76" s="359"/>
      <c r="H76" s="359"/>
      <c r="I76" s="359"/>
      <c r="J76" s="359"/>
      <c r="K76" s="359"/>
      <c r="L76" s="359"/>
      <c r="M76" s="359"/>
      <c r="N76" s="359"/>
      <c r="O76" s="359"/>
    </row>
    <row r="77" spans="1:15" ht="15" customHeight="1">
      <c r="A77" s="93"/>
      <c r="B77" s="160" t="s">
        <v>148</v>
      </c>
      <c r="C77" s="94"/>
      <c r="D77" s="94"/>
      <c r="E77" s="94"/>
      <c r="F77" s="95"/>
      <c r="G77" s="94"/>
      <c r="H77" s="94"/>
      <c r="I77" s="94"/>
      <c r="J77" s="94"/>
      <c r="K77" s="94"/>
      <c r="L77" s="94"/>
      <c r="M77" s="94"/>
      <c r="N77" s="94"/>
      <c r="O77" s="94"/>
    </row>
    <row r="78" spans="1:15" ht="13">
      <c r="G78" s="97"/>
      <c r="K78" s="98" t="s">
        <v>2</v>
      </c>
      <c r="L78" s="20"/>
      <c r="M78" s="20"/>
      <c r="N78" s="20"/>
      <c r="O78" s="20"/>
    </row>
    <row r="79" spans="1:15" ht="13">
      <c r="G79" s="21"/>
      <c r="H79" s="349">
        <f t="shared" ref="H79:J79" si="26">H$8</f>
        <v>2020</v>
      </c>
      <c r="I79" s="349">
        <f t="shared" si="26"/>
        <v>2021</v>
      </c>
      <c r="J79" s="349">
        <f t="shared" si="26"/>
        <v>2022</v>
      </c>
      <c r="K79" s="350">
        <f>K$8</f>
        <v>2023</v>
      </c>
      <c r="L79" s="350">
        <f>L$8</f>
        <v>2024</v>
      </c>
      <c r="M79" s="350">
        <f>M$8</f>
        <v>2025</v>
      </c>
      <c r="N79" s="350">
        <f>N$8</f>
        <v>2026</v>
      </c>
      <c r="O79" s="350">
        <f>O$8</f>
        <v>2027</v>
      </c>
    </row>
    <row r="80" spans="1:15" ht="6" customHeight="1">
      <c r="G80" s="21"/>
      <c r="H80" s="21"/>
      <c r="I80" s="21"/>
      <c r="J80" s="21"/>
      <c r="K80" s="161"/>
      <c r="L80" s="161"/>
      <c r="M80" s="161"/>
      <c r="N80" s="62"/>
      <c r="O80" s="162"/>
    </row>
    <row r="81" spans="1:15" ht="13">
      <c r="B81" s="163" t="s">
        <v>102</v>
      </c>
      <c r="C81" s="164"/>
      <c r="D81" s="164"/>
      <c r="E81" s="164"/>
      <c r="F81" s="164" t="s">
        <v>70</v>
      </c>
      <c r="G81" s="165"/>
      <c r="H81" s="166"/>
      <c r="I81" s="166"/>
      <c r="J81" s="166">
        <f>J21</f>
        <v>344.54912516823686</v>
      </c>
      <c r="K81" s="166">
        <f t="shared" ref="K81:O81" si="27">K21</f>
        <v>358.33109017496633</v>
      </c>
      <c r="L81" s="166">
        <f t="shared" si="27"/>
        <v>370.87267833109013</v>
      </c>
      <c r="M81" s="166">
        <f t="shared" ca="1" si="27"/>
        <v>381.99885868102285</v>
      </c>
      <c r="N81" s="166">
        <f t="shared" ca="1" si="27"/>
        <v>391.54883014804841</v>
      </c>
      <c r="O81" s="166">
        <f t="shared" ca="1" si="27"/>
        <v>399.37980675100937</v>
      </c>
    </row>
    <row r="82" spans="1:15" ht="6" customHeight="1">
      <c r="F82" s="101"/>
      <c r="G82" s="21"/>
      <c r="H82" s="21"/>
      <c r="I82" s="21"/>
      <c r="J82" s="21"/>
      <c r="K82" s="161"/>
      <c r="L82" s="161"/>
      <c r="M82" s="161"/>
      <c r="N82" s="62"/>
      <c r="O82" s="162"/>
    </row>
    <row r="83" spans="1:15" ht="13">
      <c r="B83" s="120" t="s">
        <v>42</v>
      </c>
      <c r="F83" s="101"/>
      <c r="G83" s="21"/>
      <c r="H83" s="21"/>
      <c r="I83" s="21"/>
      <c r="J83" s="21"/>
      <c r="K83" s="161"/>
      <c r="L83" s="161"/>
      <c r="M83" s="161"/>
      <c r="N83" s="62"/>
      <c r="O83" s="162"/>
    </row>
    <row r="84" spans="1:15" ht="13">
      <c r="C84" t="s">
        <v>43</v>
      </c>
      <c r="F84" s="101"/>
      <c r="G84" s="21"/>
      <c r="H84" s="142">
        <v>244.79999999999998</v>
      </c>
      <c r="I84" s="142">
        <v>269.3</v>
      </c>
      <c r="J84" s="142">
        <v>239.2</v>
      </c>
      <c r="K84" s="440">
        <f>K27</f>
        <v>275.19827725437409</v>
      </c>
      <c r="L84" s="440">
        <f t="shared" ref="L84:O84" si="28">L27</f>
        <v>258.12738411843873</v>
      </c>
      <c r="M84" s="440">
        <f t="shared" ca="1" si="28"/>
        <v>302.5430960753701</v>
      </c>
      <c r="N84" s="440">
        <f t="shared" ca="1" si="28"/>
        <v>300.70950155370116</v>
      </c>
      <c r="O84" s="440">
        <f t="shared" ca="1" si="28"/>
        <v>287.55346086072677</v>
      </c>
    </row>
    <row r="85" spans="1:15" ht="13">
      <c r="C85" s="19" t="s">
        <v>50</v>
      </c>
      <c r="F85" s="101"/>
      <c r="G85" s="21"/>
      <c r="H85" s="167">
        <v>31.3</v>
      </c>
      <c r="I85" s="167">
        <v>32.700000000000003</v>
      </c>
      <c r="J85" s="167">
        <v>34.4</v>
      </c>
      <c r="K85" s="546">
        <f>K28</f>
        <v>36.728936742934039</v>
      </c>
      <c r="L85" s="546">
        <f t="shared" ref="L85:O85" si="29">L28</f>
        <v>39.002825216689089</v>
      </c>
      <c r="M85" s="546">
        <f t="shared" ca="1" si="29"/>
        <v>41.257578542465879</v>
      </c>
      <c r="N85" s="546">
        <f t="shared" ca="1" si="29"/>
        <v>43.473110510196307</v>
      </c>
      <c r="O85" s="546">
        <f t="shared" ca="1" si="29"/>
        <v>45.628507329291828</v>
      </c>
    </row>
    <row r="86" spans="1:15" ht="13">
      <c r="C86" s="120" t="s">
        <v>3</v>
      </c>
      <c r="F86" s="121"/>
      <c r="G86" s="21"/>
      <c r="H86" s="168">
        <f t="shared" ref="H86:J86" si="30">+H84-H85</f>
        <v>213.49999999999997</v>
      </c>
      <c r="I86" s="168">
        <f t="shared" si="30"/>
        <v>236.60000000000002</v>
      </c>
      <c r="J86" s="168">
        <f t="shared" si="30"/>
        <v>204.79999999999998</v>
      </c>
      <c r="K86" s="441">
        <f>K84-K85</f>
        <v>238.46934051144007</v>
      </c>
      <c r="L86" s="441">
        <f t="shared" ref="L86:O86" si="31">L84-L85</f>
        <v>219.12455890174965</v>
      </c>
      <c r="M86" s="441">
        <f t="shared" ca="1" si="31"/>
        <v>261.28551753290424</v>
      </c>
      <c r="N86" s="441">
        <f t="shared" ca="1" si="31"/>
        <v>257.23639104350485</v>
      </c>
      <c r="O86" s="441">
        <f t="shared" ca="1" si="31"/>
        <v>241.92495353143494</v>
      </c>
    </row>
    <row r="87" spans="1:15" ht="13">
      <c r="F87" s="101"/>
      <c r="G87" s="21"/>
      <c r="H87" s="169"/>
      <c r="I87" s="169"/>
      <c r="J87" s="169"/>
      <c r="K87" s="170"/>
      <c r="L87" s="170"/>
      <c r="M87" s="170"/>
      <c r="N87" s="170"/>
      <c r="O87" s="148"/>
    </row>
    <row r="88" spans="1:15" ht="13">
      <c r="C88" t="s">
        <v>4</v>
      </c>
      <c r="F88" s="101"/>
      <c r="G88" s="21"/>
      <c r="H88" s="171">
        <v>159.9</v>
      </c>
      <c r="I88" s="171">
        <v>164.6</v>
      </c>
      <c r="J88" s="171">
        <v>167.9</v>
      </c>
      <c r="K88" s="440">
        <f>K70</f>
        <v>173.70434454912515</v>
      </c>
      <c r="L88" s="440">
        <f t="shared" ref="L88:O88" si="32">L70</f>
        <v>181.98059052016151</v>
      </c>
      <c r="M88" s="440">
        <f t="shared" ca="1" si="32"/>
        <v>190.31972531813204</v>
      </c>
      <c r="N88" s="440">
        <f t="shared" ca="1" si="32"/>
        <v>198.67136481111572</v>
      </c>
      <c r="O88" s="440">
        <f t="shared" ca="1" si="32"/>
        <v>206.98331738281769</v>
      </c>
    </row>
    <row r="89" spans="1:15" ht="13">
      <c r="A89" s="125"/>
      <c r="C89" s="10" t="s">
        <v>35</v>
      </c>
      <c r="F89" s="101"/>
      <c r="G89" s="21"/>
      <c r="H89" s="172">
        <v>3.4</v>
      </c>
      <c r="I89" s="172">
        <v>3.6</v>
      </c>
      <c r="J89" s="172">
        <v>3.8</v>
      </c>
      <c r="K89" s="547">
        <f>Assumptions!E32</f>
        <v>3.9</v>
      </c>
      <c r="L89" s="546">
        <f>K89*(1+L41)</f>
        <v>4.0014000000000003</v>
      </c>
      <c r="M89" s="546">
        <f t="shared" ref="M89:O89" ca="1" si="33">L89*(1+M41)</f>
        <v>4.1094378000000003</v>
      </c>
      <c r="N89" s="546">
        <f t="shared" ca="1" si="33"/>
        <v>4.2245020584000006</v>
      </c>
      <c r="O89" s="546">
        <f t="shared" ca="1" si="33"/>
        <v>4.3470126180936006</v>
      </c>
    </row>
    <row r="90" spans="1:15" ht="13">
      <c r="C90" s="100" t="s">
        <v>44</v>
      </c>
      <c r="F90" s="121"/>
      <c r="G90" s="21"/>
      <c r="H90" s="168">
        <f t="shared" ref="H90:J90" si="34">SUM(H88:H89)</f>
        <v>163.30000000000001</v>
      </c>
      <c r="I90" s="168">
        <f t="shared" si="34"/>
        <v>168.2</v>
      </c>
      <c r="J90" s="168">
        <f t="shared" si="34"/>
        <v>171.70000000000002</v>
      </c>
      <c r="K90" s="441">
        <f>K88+K89</f>
        <v>177.60434454912516</v>
      </c>
      <c r="L90" s="441">
        <f t="shared" ref="L90:O90" si="35">L88+L89</f>
        <v>185.9819905201615</v>
      </c>
      <c r="M90" s="441">
        <f t="shared" ca="1" si="35"/>
        <v>194.42916311813204</v>
      </c>
      <c r="N90" s="441">
        <f t="shared" ca="1" si="35"/>
        <v>202.89586686951571</v>
      </c>
      <c r="O90" s="441">
        <f t="shared" ca="1" si="35"/>
        <v>211.33033000091129</v>
      </c>
    </row>
    <row r="91" spans="1:15" ht="13">
      <c r="C91" s="100"/>
      <c r="F91" s="121"/>
      <c r="G91" s="21"/>
      <c r="H91" s="173"/>
      <c r="I91" s="173"/>
      <c r="J91" s="173"/>
      <c r="K91" s="442"/>
      <c r="L91" s="442"/>
      <c r="M91" s="442"/>
      <c r="N91" s="442"/>
      <c r="O91" s="442"/>
    </row>
    <row r="92" spans="1:15" ht="13">
      <c r="A92" s="125"/>
      <c r="C92" s="10" t="s">
        <v>141</v>
      </c>
      <c r="F92" s="101"/>
      <c r="G92" s="21"/>
      <c r="H92" s="174">
        <v>0</v>
      </c>
      <c r="I92" s="174">
        <v>0</v>
      </c>
      <c r="J92" s="174">
        <v>0</v>
      </c>
      <c r="K92" s="549">
        <f>Assumptions!J53</f>
        <v>0</v>
      </c>
      <c r="L92" s="547">
        <f>Assumptions!K53</f>
        <v>0</v>
      </c>
      <c r="M92" s="547">
        <f>Assumptions!L53</f>
        <v>0</v>
      </c>
      <c r="N92" s="547">
        <f>Assumptions!M53</f>
        <v>0</v>
      </c>
      <c r="O92" s="547">
        <f>Assumptions!N53</f>
        <v>0</v>
      </c>
    </row>
    <row r="93" spans="1:15" ht="13">
      <c r="B93" s="120"/>
      <c r="C93" s="120" t="s">
        <v>5</v>
      </c>
      <c r="F93" s="121"/>
      <c r="H93" s="175">
        <f t="shared" ref="H93:O93" si="36">H86-H90+H92</f>
        <v>50.19999999999996</v>
      </c>
      <c r="I93" s="175">
        <f t="shared" si="36"/>
        <v>68.400000000000034</v>
      </c>
      <c r="J93" s="175">
        <f t="shared" si="36"/>
        <v>33.099999999999966</v>
      </c>
      <c r="K93" s="175">
        <f t="shared" si="36"/>
        <v>60.864995962314907</v>
      </c>
      <c r="L93" s="175">
        <f t="shared" si="36"/>
        <v>33.142568381588148</v>
      </c>
      <c r="M93" s="175">
        <f t="shared" ca="1" si="36"/>
        <v>66.856354414772198</v>
      </c>
      <c r="N93" s="175">
        <f t="shared" ca="1" si="36"/>
        <v>54.340524173989138</v>
      </c>
      <c r="O93" s="175">
        <f t="shared" ca="1" si="36"/>
        <v>30.594623530523648</v>
      </c>
    </row>
    <row r="94" spans="1:15">
      <c r="F94" s="101"/>
      <c r="H94" s="146"/>
      <c r="I94" s="146"/>
      <c r="J94" s="176"/>
      <c r="K94" s="443"/>
      <c r="L94" s="443"/>
      <c r="M94" s="443"/>
      <c r="N94" s="443"/>
      <c r="O94" s="443"/>
    </row>
    <row r="95" spans="1:15">
      <c r="C95" t="s">
        <v>45</v>
      </c>
      <c r="F95" s="101"/>
      <c r="H95" s="177">
        <v>15.4</v>
      </c>
      <c r="I95" s="177">
        <v>15.5</v>
      </c>
      <c r="J95" s="177">
        <v>15.8</v>
      </c>
      <c r="K95" s="557">
        <f>K212</f>
        <v>16.174666666666667</v>
      </c>
      <c r="L95" s="557">
        <f t="shared" ref="L95:O95" si="37">L212</f>
        <v>16.724666666666668</v>
      </c>
      <c r="M95" s="557">
        <f t="shared" si="37"/>
        <v>17.296333333333333</v>
      </c>
      <c r="N95" s="557">
        <f t="shared" si="37"/>
        <v>17.876333333333335</v>
      </c>
      <c r="O95" s="557">
        <f t="shared" si="37"/>
        <v>18.468</v>
      </c>
    </row>
    <row r="96" spans="1:15" ht="13">
      <c r="C96" s="100" t="s">
        <v>7</v>
      </c>
      <c r="F96" s="121"/>
      <c r="H96" s="145">
        <f t="shared" ref="H96:O96" si="38">H93-H95</f>
        <v>34.799999999999962</v>
      </c>
      <c r="I96" s="145">
        <f t="shared" si="38"/>
        <v>52.900000000000034</v>
      </c>
      <c r="J96" s="145">
        <f t="shared" si="38"/>
        <v>17.299999999999965</v>
      </c>
      <c r="K96" s="145">
        <f t="shared" si="38"/>
        <v>44.69032929564824</v>
      </c>
      <c r="L96" s="145">
        <f t="shared" si="38"/>
        <v>16.417901714921481</v>
      </c>
      <c r="M96" s="145">
        <f t="shared" ca="1" si="38"/>
        <v>49.560021081438862</v>
      </c>
      <c r="N96" s="145">
        <f t="shared" ca="1" si="38"/>
        <v>36.464190840655803</v>
      </c>
      <c r="O96" s="145">
        <f t="shared" ca="1" si="38"/>
        <v>12.126623530523648</v>
      </c>
    </row>
    <row r="97" spans="2:16" ht="6" customHeight="1">
      <c r="C97" s="100"/>
      <c r="F97" s="121"/>
      <c r="H97" s="149"/>
      <c r="I97" s="149"/>
      <c r="J97" s="149"/>
      <c r="K97" s="444"/>
      <c r="L97" s="444"/>
      <c r="M97" s="444"/>
      <c r="N97" s="444"/>
      <c r="O97" s="444"/>
    </row>
    <row r="98" spans="2:16">
      <c r="C98" s="19" t="s">
        <v>67</v>
      </c>
      <c r="F98" s="101"/>
      <c r="H98" s="178">
        <v>15</v>
      </c>
      <c r="I98" s="178">
        <v>15</v>
      </c>
      <c r="J98" s="178">
        <v>14</v>
      </c>
      <c r="K98" s="557">
        <f>K317</f>
        <v>11.997</v>
      </c>
      <c r="L98" s="557">
        <f t="shared" ref="L98:O98" si="39">L317</f>
        <v>10.851478581699514</v>
      </c>
      <c r="M98" s="557">
        <f t="shared" si="39"/>
        <v>10.206884730226584</v>
      </c>
      <c r="N98" s="557">
        <f t="shared" ca="1" si="39"/>
        <v>8.9250533040333462</v>
      </c>
      <c r="O98" s="557">
        <f t="shared" ca="1" si="39"/>
        <v>7.9706613260889156</v>
      </c>
    </row>
    <row r="99" spans="2:16" ht="13">
      <c r="C99" s="109" t="s">
        <v>69</v>
      </c>
      <c r="F99" s="121"/>
      <c r="H99" s="143">
        <f t="shared" ref="H99:O99" si="40">H96-H98</f>
        <v>19.799999999999962</v>
      </c>
      <c r="I99" s="143">
        <f t="shared" si="40"/>
        <v>37.900000000000034</v>
      </c>
      <c r="J99" s="143">
        <f t="shared" si="40"/>
        <v>3.2999999999999652</v>
      </c>
      <c r="K99" s="143">
        <f t="shared" si="40"/>
        <v>32.69332929564824</v>
      </c>
      <c r="L99" s="143">
        <f t="shared" si="40"/>
        <v>5.5664231332219671</v>
      </c>
      <c r="M99" s="143">
        <f t="shared" ca="1" si="40"/>
        <v>39.353136351212278</v>
      </c>
      <c r="N99" s="143">
        <f t="shared" ca="1" si="40"/>
        <v>27.539137536622455</v>
      </c>
      <c r="O99" s="143">
        <f t="shared" ca="1" si="40"/>
        <v>4.1559622044347329</v>
      </c>
    </row>
    <row r="100" spans="2:16" ht="6" customHeight="1">
      <c r="C100" s="100"/>
      <c r="F100" s="121"/>
      <c r="H100" s="179"/>
      <c r="I100" s="179"/>
      <c r="J100" s="179"/>
      <c r="K100" s="445"/>
      <c r="L100" s="444"/>
      <c r="M100" s="175"/>
      <c r="N100" s="175"/>
      <c r="O100" s="444"/>
    </row>
    <row r="101" spans="2:16">
      <c r="C101" t="s">
        <v>84</v>
      </c>
      <c r="F101" s="101"/>
      <c r="H101" s="142">
        <v>3</v>
      </c>
      <c r="I101" s="142">
        <v>8</v>
      </c>
      <c r="J101" s="142">
        <v>0</v>
      </c>
      <c r="K101" s="424">
        <f>K232</f>
        <v>9.6926652534768838</v>
      </c>
      <c r="L101" s="424">
        <f t="shared" ref="L101:O101" si="41">L232</f>
        <v>0.1982480966276885</v>
      </c>
      <c r="M101" s="424">
        <f t="shared" ca="1" si="41"/>
        <v>12.023597722924297</v>
      </c>
      <c r="N101" s="424">
        <f t="shared" ca="1" si="41"/>
        <v>7.8886981378178591</v>
      </c>
      <c r="O101" s="424">
        <f t="shared" ca="1" si="41"/>
        <v>-0.29541322844784346</v>
      </c>
    </row>
    <row r="102" spans="2:16">
      <c r="C102" t="s">
        <v>132</v>
      </c>
      <c r="F102" s="101"/>
      <c r="H102" s="167">
        <v>2.7</v>
      </c>
      <c r="I102" s="167">
        <v>6.2</v>
      </c>
      <c r="J102" s="167">
        <v>1.1000000000000001</v>
      </c>
      <c r="K102" s="557">
        <f>K233</f>
        <v>1.75</v>
      </c>
      <c r="L102" s="557">
        <f t="shared" ref="L102:O102" si="42">L233</f>
        <v>1.7499999999999998</v>
      </c>
      <c r="M102" s="557">
        <f t="shared" ca="1" si="42"/>
        <v>1.75</v>
      </c>
      <c r="N102" s="557">
        <f t="shared" ca="1" si="42"/>
        <v>1.7499999999999991</v>
      </c>
      <c r="O102" s="557">
        <f t="shared" ca="1" si="42"/>
        <v>1.7499999999999998</v>
      </c>
    </row>
    <row r="103" spans="2:16" ht="13">
      <c r="C103" s="120" t="s">
        <v>85</v>
      </c>
      <c r="F103" s="121"/>
      <c r="H103" s="180">
        <f t="shared" ref="H103:O103" si="43">SUM(H101:H102)</f>
        <v>5.7</v>
      </c>
      <c r="I103" s="180">
        <f t="shared" si="43"/>
        <v>14.2</v>
      </c>
      <c r="J103" s="180">
        <f t="shared" si="43"/>
        <v>1.1000000000000001</v>
      </c>
      <c r="K103" s="180">
        <f>SUM(K101:K102)</f>
        <v>11.442665253476884</v>
      </c>
      <c r="L103" s="180">
        <f t="shared" si="43"/>
        <v>1.9482480966276883</v>
      </c>
      <c r="M103" s="180">
        <f t="shared" ca="1" si="43"/>
        <v>13.773597722924297</v>
      </c>
      <c r="N103" s="180">
        <f t="shared" ca="1" si="43"/>
        <v>9.6386981378178582</v>
      </c>
      <c r="O103" s="180">
        <f t="shared" ca="1" si="43"/>
        <v>1.4545867715521563</v>
      </c>
    </row>
    <row r="104" spans="2:16">
      <c r="F104" s="101"/>
      <c r="K104" s="11"/>
      <c r="L104" s="11"/>
      <c r="M104" s="11"/>
      <c r="N104" s="11"/>
      <c r="O104" s="11"/>
    </row>
    <row r="105" spans="2:16" ht="13.5" thickBot="1">
      <c r="C105" s="181" t="s">
        <v>8</v>
      </c>
      <c r="D105" s="120"/>
      <c r="E105" s="120"/>
      <c r="F105" s="121"/>
      <c r="H105" s="182">
        <f t="shared" ref="H105:O105" si="44">H99-H103</f>
        <v>14.099999999999962</v>
      </c>
      <c r="I105" s="182">
        <f t="shared" si="44"/>
        <v>23.700000000000035</v>
      </c>
      <c r="J105" s="182">
        <f t="shared" si="44"/>
        <v>2.1999999999999651</v>
      </c>
      <c r="K105" s="182">
        <f t="shared" si="44"/>
        <v>21.250664042171358</v>
      </c>
      <c r="L105" s="182">
        <f t="shared" si="44"/>
        <v>3.6181750365942786</v>
      </c>
      <c r="M105" s="182">
        <f t="shared" ca="1" si="44"/>
        <v>25.579538628287981</v>
      </c>
      <c r="N105" s="182">
        <f t="shared" ca="1" si="44"/>
        <v>17.900439398804597</v>
      </c>
      <c r="O105" s="182">
        <f t="shared" ca="1" si="44"/>
        <v>2.7013754328825765</v>
      </c>
    </row>
    <row r="106" spans="2:16" ht="13.5" thickTop="1">
      <c r="C106" s="183"/>
      <c r="F106"/>
      <c r="H106" s="184"/>
      <c r="I106" s="184"/>
      <c r="J106" s="184"/>
      <c r="K106" s="184"/>
      <c r="L106" s="184"/>
      <c r="M106" s="184"/>
      <c r="N106" s="184"/>
      <c r="O106" s="184"/>
    </row>
    <row r="107" spans="2:16">
      <c r="H107" s="159"/>
      <c r="I107" s="159"/>
      <c r="J107" s="159"/>
      <c r="K107" s="446"/>
      <c r="L107" s="446"/>
      <c r="M107" s="446"/>
      <c r="N107" s="446"/>
      <c r="O107" s="446"/>
    </row>
    <row r="108" spans="2:16" ht="13">
      <c r="B108" s="185" t="s">
        <v>37</v>
      </c>
      <c r="C108" s="5"/>
      <c r="D108" s="5"/>
      <c r="E108" s="5"/>
      <c r="F108" s="186"/>
      <c r="G108" s="5"/>
      <c r="H108" s="187"/>
      <c r="I108" s="187"/>
      <c r="J108" s="187"/>
      <c r="K108" s="447"/>
      <c r="L108" s="447"/>
      <c r="M108" s="447"/>
      <c r="N108" s="447"/>
      <c r="O108" s="448"/>
    </row>
    <row r="109" spans="2:16" ht="13">
      <c r="B109" s="6"/>
      <c r="C109" t="s">
        <v>38</v>
      </c>
      <c r="H109" s="188">
        <f t="shared" ref="H109:O109" si="45">H93/H86</f>
        <v>0.23512880562060876</v>
      </c>
      <c r="I109" s="188">
        <f t="shared" si="45"/>
        <v>0.28909551986475074</v>
      </c>
      <c r="J109" s="188">
        <f t="shared" si="45"/>
        <v>0.16162109374999983</v>
      </c>
      <c r="K109" s="188">
        <f t="shared" si="45"/>
        <v>0.25523195489943934</v>
      </c>
      <c r="L109" s="188">
        <f t="shared" si="45"/>
        <v>0.15124990346905162</v>
      </c>
      <c r="M109" s="188">
        <f t="shared" ca="1" si="45"/>
        <v>0.2558747038337203</v>
      </c>
      <c r="N109" s="188">
        <f t="shared" ca="1" si="45"/>
        <v>0.21124742091720161</v>
      </c>
      <c r="O109" s="449">
        <f t="shared" ca="1" si="45"/>
        <v>0.12646328162484605</v>
      </c>
      <c r="P109" s="189"/>
    </row>
    <row r="110" spans="2:16" ht="13">
      <c r="B110" s="6"/>
      <c r="C110" t="s">
        <v>39</v>
      </c>
      <c r="F110" s="190"/>
      <c r="H110" s="188">
        <f t="shared" ref="H110:O110" si="46">H96/H86</f>
        <v>0.16299765807962513</v>
      </c>
      <c r="I110" s="188">
        <f t="shared" si="46"/>
        <v>0.22358410819949293</v>
      </c>
      <c r="J110" s="188">
        <f t="shared" si="46"/>
        <v>8.4472656249999833E-2</v>
      </c>
      <c r="K110" s="188">
        <f t="shared" si="46"/>
        <v>0.18740492677088741</v>
      </c>
      <c r="L110" s="188">
        <f t="shared" si="46"/>
        <v>7.4924973253604518E-2</v>
      </c>
      <c r="M110" s="188">
        <f t="shared" ca="1" si="46"/>
        <v>0.18967764286896485</v>
      </c>
      <c r="N110" s="188">
        <f t="shared" ca="1" si="46"/>
        <v>0.14175362472135147</v>
      </c>
      <c r="O110" s="449">
        <f t="shared" ca="1" si="46"/>
        <v>5.0125558994673754E-2</v>
      </c>
    </row>
    <row r="111" spans="2:16" ht="13">
      <c r="B111" s="12"/>
      <c r="C111" s="11" t="s">
        <v>114</v>
      </c>
      <c r="D111" s="11"/>
      <c r="E111" s="11"/>
      <c r="F111" s="191"/>
      <c r="G111" s="11"/>
      <c r="H111" s="192"/>
      <c r="I111" s="192"/>
      <c r="J111" s="193">
        <f>J105/J185</f>
        <v>8.5106382978722053E-3</v>
      </c>
      <c r="K111" s="193">
        <f>K105/K185</f>
        <v>7.7134747969477072E-2</v>
      </c>
      <c r="L111" s="193">
        <f t="shared" ref="L111:O111" si="47">L105/L185</f>
        <v>1.2996548466822617E-2</v>
      </c>
      <c r="M111" s="193">
        <f t="shared" ca="1" si="47"/>
        <v>8.5590743862999433E-2</v>
      </c>
      <c r="N111" s="193">
        <f t="shared" ca="1" si="47"/>
        <v>5.7157205081879547E-2</v>
      </c>
      <c r="O111" s="450">
        <f t="shared" ca="1" si="47"/>
        <v>8.5665444072088471E-3</v>
      </c>
    </row>
    <row r="112" spans="2:16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3">
      <c r="C113" s="194"/>
      <c r="F113" s="190"/>
      <c r="H113" s="195"/>
      <c r="I113" s="195"/>
      <c r="J113" s="195"/>
      <c r="K113" s="195"/>
      <c r="L113" s="195"/>
      <c r="M113" s="195"/>
      <c r="N113" s="195"/>
      <c r="O113" s="195"/>
    </row>
    <row r="114" spans="1:15" ht="12.75" customHeight="1">
      <c r="A114" s="91"/>
      <c r="B114" s="1"/>
      <c r="C114" s="3"/>
      <c r="D114" s="3"/>
      <c r="E114" s="3"/>
      <c r="F114" s="90"/>
      <c r="G114" s="3"/>
      <c r="H114" s="3"/>
      <c r="I114" s="3"/>
      <c r="J114" s="3"/>
      <c r="K114" s="3"/>
      <c r="L114" s="3"/>
      <c r="M114" s="3"/>
      <c r="N114" s="3"/>
      <c r="O114" s="130" t="str">
        <f>$O$2</f>
        <v>CURRENTLY RUNNING: WORST CASE SCENARIO</v>
      </c>
    </row>
    <row r="115" spans="1:15" ht="23">
      <c r="B115" s="1" t="str">
        <f>B$3</f>
        <v>Blu Containers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8">
      <c r="B116" s="93" t="s">
        <v>46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3" customHeight="1" thickBot="1">
      <c r="A117" s="92"/>
      <c r="B117" s="358"/>
      <c r="C117" s="359"/>
      <c r="D117" s="359"/>
      <c r="E117" s="359"/>
      <c r="F117" s="360"/>
      <c r="G117" s="359"/>
      <c r="H117" s="359"/>
      <c r="I117" s="359"/>
      <c r="J117" s="359"/>
      <c r="K117" s="359"/>
      <c r="L117" s="359"/>
      <c r="M117" s="359"/>
      <c r="N117" s="359"/>
      <c r="O117" s="359"/>
    </row>
    <row r="118" spans="1:15" ht="13">
      <c r="B118" s="160" t="s">
        <v>148</v>
      </c>
      <c r="F118"/>
    </row>
    <row r="119" spans="1:15" ht="13">
      <c r="F119"/>
      <c r="K119" s="98" t="s">
        <v>2</v>
      </c>
      <c r="L119" s="20"/>
      <c r="M119" s="20"/>
      <c r="N119" s="20"/>
      <c r="O119" s="20"/>
    </row>
    <row r="120" spans="1:15" ht="13">
      <c r="B120" s="196"/>
      <c r="F120" s="197"/>
      <c r="G120" s="198"/>
      <c r="H120" s="349">
        <f t="shared" ref="H120:J120" si="48">H$8</f>
        <v>2020</v>
      </c>
      <c r="I120" s="349">
        <f t="shared" si="48"/>
        <v>2021</v>
      </c>
      <c r="J120" s="349">
        <f t="shared" si="48"/>
        <v>2022</v>
      </c>
      <c r="K120" s="351">
        <f>K$8</f>
        <v>2023</v>
      </c>
      <c r="L120" s="351">
        <f>L$8</f>
        <v>2024</v>
      </c>
      <c r="M120" s="351">
        <f>M$8</f>
        <v>2025</v>
      </c>
      <c r="N120" s="351">
        <f>N$8</f>
        <v>2026</v>
      </c>
      <c r="O120" s="351">
        <f>O$8</f>
        <v>2027</v>
      </c>
    </row>
    <row r="121" spans="1:15" ht="13">
      <c r="B121" s="120" t="s">
        <v>9</v>
      </c>
      <c r="F121"/>
    </row>
    <row r="122" spans="1:15">
      <c r="C122" t="s">
        <v>8</v>
      </c>
      <c r="F122"/>
      <c r="G122" s="200"/>
      <c r="H122" s="201">
        <v>14.099999999999962</v>
      </c>
      <c r="I122" s="201">
        <v>23.700000000000035</v>
      </c>
      <c r="J122" s="201">
        <v>2.2000000000000002</v>
      </c>
      <c r="K122" s="204">
        <f>K105</f>
        <v>21.250664042171358</v>
      </c>
      <c r="L122" s="204">
        <f t="shared" ref="L122:O122" si="49">L105</f>
        <v>3.6181750365942786</v>
      </c>
      <c r="M122" s="204">
        <f t="shared" ca="1" si="49"/>
        <v>25.579538628287981</v>
      </c>
      <c r="N122" s="204">
        <f t="shared" ca="1" si="49"/>
        <v>17.900439398804597</v>
      </c>
      <c r="O122" s="204">
        <f t="shared" ca="1" si="49"/>
        <v>2.7013754328825765</v>
      </c>
    </row>
    <row r="123" spans="1:15">
      <c r="C123" t="s">
        <v>6</v>
      </c>
      <c r="F123"/>
      <c r="G123" s="200"/>
      <c r="H123" s="201">
        <v>15.4</v>
      </c>
      <c r="I123" s="201">
        <v>15.5</v>
      </c>
      <c r="J123" s="201">
        <v>15.8</v>
      </c>
      <c r="K123" s="204">
        <f>K95</f>
        <v>16.174666666666667</v>
      </c>
      <c r="L123" s="204">
        <f t="shared" ref="L123:O123" si="50">L95</f>
        <v>16.724666666666668</v>
      </c>
      <c r="M123" s="204">
        <f t="shared" si="50"/>
        <v>17.296333333333333</v>
      </c>
      <c r="N123" s="204">
        <f t="shared" si="50"/>
        <v>17.876333333333335</v>
      </c>
      <c r="O123" s="204">
        <f t="shared" si="50"/>
        <v>18.468</v>
      </c>
    </row>
    <row r="124" spans="1:15">
      <c r="C124" t="s">
        <v>132</v>
      </c>
      <c r="F124"/>
      <c r="G124" s="203"/>
      <c r="H124" s="201">
        <v>2.7</v>
      </c>
      <c r="I124" s="201">
        <v>6.2</v>
      </c>
      <c r="J124" s="201">
        <v>1.1000000000000001</v>
      </c>
      <c r="K124" s="204">
        <f>K102</f>
        <v>1.75</v>
      </c>
      <c r="L124" s="204">
        <f t="shared" ref="L124:O124" si="51">L102</f>
        <v>1.7499999999999998</v>
      </c>
      <c r="M124" s="204">
        <f t="shared" ca="1" si="51"/>
        <v>1.75</v>
      </c>
      <c r="N124" s="204">
        <f t="shared" ca="1" si="51"/>
        <v>1.7499999999999991</v>
      </c>
      <c r="O124" s="204">
        <f t="shared" ca="1" si="51"/>
        <v>1.7499999999999998</v>
      </c>
    </row>
    <row r="125" spans="1:15">
      <c r="C125" t="s">
        <v>115</v>
      </c>
      <c r="F125"/>
      <c r="G125" s="205"/>
      <c r="H125" s="206">
        <v>0</v>
      </c>
      <c r="I125" s="206">
        <v>0</v>
      </c>
      <c r="J125" s="207">
        <v>0</v>
      </c>
      <c r="K125" s="557">
        <f>K270</f>
        <v>-8.3174262062328808E-2</v>
      </c>
      <c r="L125" s="557">
        <f t="shared" ref="L125:O125" si="52">L270</f>
        <v>6.374024161940099</v>
      </c>
      <c r="M125" s="557">
        <f t="shared" ca="1" si="52"/>
        <v>-0.8461071327430858</v>
      </c>
      <c r="N125" s="557">
        <f t="shared" ca="1" si="52"/>
        <v>-0.54015188663650804</v>
      </c>
      <c r="O125" s="557">
        <f t="shared" ca="1" si="52"/>
        <v>3.5341373337361617</v>
      </c>
    </row>
    <row r="126" spans="1:15" ht="13">
      <c r="C126" s="100" t="s">
        <v>11</v>
      </c>
      <c r="F126"/>
      <c r="G126" s="149"/>
      <c r="H126" s="208">
        <f>SUM(H122:H125)</f>
        <v>32.199999999999967</v>
      </c>
      <c r="I126" s="208">
        <f>SUM(I122:I125)</f>
        <v>45.400000000000034</v>
      </c>
      <c r="J126" s="208">
        <f>SUM(J122:J125)</f>
        <v>19.100000000000001</v>
      </c>
      <c r="K126" s="208">
        <f t="shared" ref="K126:O126" si="53">SUM(K122:K125)</f>
        <v>39.092156446775697</v>
      </c>
      <c r="L126" s="208">
        <f t="shared" si="53"/>
        <v>28.466865865201044</v>
      </c>
      <c r="M126" s="208">
        <f t="shared" ca="1" si="53"/>
        <v>43.779764828878228</v>
      </c>
      <c r="N126" s="208">
        <f t="shared" ca="1" si="53"/>
        <v>36.98662084550142</v>
      </c>
      <c r="O126" s="208">
        <f t="shared" ca="1" si="53"/>
        <v>26.453512766618736</v>
      </c>
    </row>
    <row r="127" spans="1:15">
      <c r="B127" s="10"/>
      <c r="F127"/>
      <c r="G127" s="159"/>
      <c r="H127" s="209"/>
      <c r="I127" s="209"/>
      <c r="J127" s="209"/>
      <c r="K127" s="159"/>
      <c r="L127" s="159"/>
      <c r="M127" s="159"/>
      <c r="N127" s="159"/>
      <c r="O127" s="159"/>
    </row>
    <row r="128" spans="1:15">
      <c r="B128" s="10"/>
      <c r="F128"/>
      <c r="G128" s="159"/>
      <c r="H128" s="209"/>
      <c r="I128" s="209"/>
      <c r="J128" s="209"/>
      <c r="K128" s="159"/>
      <c r="L128" s="159"/>
      <c r="M128" s="159"/>
      <c r="N128" s="159"/>
      <c r="O128" s="159"/>
    </row>
    <row r="129" spans="1:15" ht="13">
      <c r="B129" s="120" t="s">
        <v>93</v>
      </c>
      <c r="F129"/>
      <c r="G129" s="210"/>
      <c r="H129" s="211"/>
      <c r="I129" s="211"/>
      <c r="J129" s="211"/>
      <c r="K129" s="234"/>
      <c r="L129" s="234"/>
      <c r="M129" s="234"/>
      <c r="N129" s="234"/>
      <c r="O129" s="234"/>
    </row>
    <row r="130" spans="1:15">
      <c r="C130" t="s">
        <v>52</v>
      </c>
      <c r="H130" s="212">
        <v>-14.1</v>
      </c>
      <c r="I130" s="212">
        <v>-15</v>
      </c>
      <c r="J130" s="212">
        <v>-15.5</v>
      </c>
      <c r="K130" s="439">
        <f>-Assumptions!J58</f>
        <v>-16</v>
      </c>
      <c r="L130" s="439">
        <f>-Assumptions!K58</f>
        <v>-17</v>
      </c>
      <c r="M130" s="439">
        <f>-Assumptions!L58</f>
        <v>-17.3</v>
      </c>
      <c r="N130" s="439">
        <f>-Assumptions!M58</f>
        <v>-17.5</v>
      </c>
      <c r="O130" s="439">
        <f>-Assumptions!N58</f>
        <v>-18</v>
      </c>
    </row>
    <row r="131" spans="1:15">
      <c r="C131" t="s">
        <v>10</v>
      </c>
      <c r="H131" s="177">
        <v>-5</v>
      </c>
      <c r="I131" s="177">
        <v>4</v>
      </c>
      <c r="J131" s="177">
        <v>3</v>
      </c>
      <c r="K131" s="547">
        <f>Assumptions!J56</f>
        <v>0</v>
      </c>
      <c r="L131" s="547">
        <f>Assumptions!K56</f>
        <v>0</v>
      </c>
      <c r="M131" s="547">
        <f>Assumptions!L56</f>
        <v>0</v>
      </c>
      <c r="N131" s="547">
        <f>Assumptions!M56</f>
        <v>0</v>
      </c>
      <c r="O131" s="547">
        <f>Assumptions!N56</f>
        <v>0</v>
      </c>
    </row>
    <row r="132" spans="1:15" ht="13">
      <c r="A132" s="120"/>
      <c r="C132" s="120" t="s">
        <v>94</v>
      </c>
      <c r="F132"/>
      <c r="G132" s="149"/>
      <c r="H132" s="213">
        <f t="shared" ref="H132:O132" si="54">SUM(H130:H131)</f>
        <v>-19.100000000000001</v>
      </c>
      <c r="I132" s="213">
        <f t="shared" si="54"/>
        <v>-11</v>
      </c>
      <c r="J132" s="213">
        <f t="shared" si="54"/>
        <v>-12.5</v>
      </c>
      <c r="K132" s="213">
        <f t="shared" si="54"/>
        <v>-16</v>
      </c>
      <c r="L132" s="213">
        <f t="shared" si="54"/>
        <v>-17</v>
      </c>
      <c r="M132" s="213">
        <f t="shared" si="54"/>
        <v>-17.3</v>
      </c>
      <c r="N132" s="213">
        <f t="shared" si="54"/>
        <v>-17.5</v>
      </c>
      <c r="O132" s="213">
        <f t="shared" si="54"/>
        <v>-18</v>
      </c>
    </row>
    <row r="133" spans="1:15" ht="13">
      <c r="A133" s="120"/>
      <c r="B133" s="109"/>
      <c r="F133"/>
      <c r="G133" s="149"/>
      <c r="H133" s="214"/>
      <c r="I133" s="214"/>
      <c r="J133" s="215"/>
      <c r="K133" s="216"/>
      <c r="L133" s="216"/>
      <c r="M133" s="216"/>
      <c r="N133" s="216"/>
      <c r="O133" s="216"/>
    </row>
    <row r="134" spans="1:15" ht="13">
      <c r="A134" s="120"/>
      <c r="B134" s="109"/>
      <c r="F134"/>
      <c r="G134" s="149"/>
      <c r="H134" s="214"/>
      <c r="I134" s="214"/>
      <c r="J134" s="214"/>
      <c r="K134" s="216"/>
      <c r="L134" s="216"/>
      <c r="M134" s="216"/>
      <c r="N134" s="216"/>
      <c r="O134" s="216"/>
    </row>
    <row r="135" spans="1:15" ht="13">
      <c r="A135" s="120"/>
      <c r="B135" s="109" t="s">
        <v>66</v>
      </c>
      <c r="F135"/>
      <c r="G135" s="149"/>
      <c r="H135" s="217"/>
      <c r="I135" s="217"/>
      <c r="J135" s="217"/>
      <c r="K135" s="218"/>
      <c r="L135" s="218"/>
      <c r="M135" s="218"/>
      <c r="N135" s="218"/>
      <c r="O135" s="218"/>
    </row>
    <row r="136" spans="1:15" ht="13">
      <c r="A136" s="120"/>
      <c r="B136" s="109"/>
      <c r="C136" t="s">
        <v>120</v>
      </c>
      <c r="F136"/>
      <c r="G136" s="149"/>
      <c r="H136" s="212">
        <v>0</v>
      </c>
      <c r="I136" s="212">
        <v>0</v>
      </c>
      <c r="J136" s="212">
        <v>0</v>
      </c>
      <c r="K136" s="204">
        <f>K301</f>
        <v>5.8579763616585758</v>
      </c>
      <c r="L136" s="204">
        <f t="shared" ref="L136:N136" si="55">L301</f>
        <v>14.256769142117816</v>
      </c>
      <c r="M136" s="204">
        <f t="shared" ca="1" si="55"/>
        <v>3.636142896779373</v>
      </c>
      <c r="N136" s="204">
        <f t="shared" ca="1" si="55"/>
        <v>9.0934670342595023</v>
      </c>
      <c r="O136" s="204">
        <f ca="1">O301</f>
        <v>17.086762319957781</v>
      </c>
    </row>
    <row r="137" spans="1:15" ht="13">
      <c r="A137" s="120"/>
      <c r="B137" s="109"/>
      <c r="C137" t="s">
        <v>121</v>
      </c>
      <c r="F137"/>
      <c r="G137" s="149"/>
      <c r="H137" s="212">
        <v>-25</v>
      </c>
      <c r="I137" s="212">
        <v>-25</v>
      </c>
      <c r="J137" s="212">
        <v>-25</v>
      </c>
      <c r="K137" s="204">
        <f>K310</f>
        <v>-25</v>
      </c>
      <c r="L137" s="204">
        <f t="shared" ref="L137:O137" si="56">L310</f>
        <v>-25</v>
      </c>
      <c r="M137" s="204">
        <f t="shared" si="56"/>
        <v>-25</v>
      </c>
      <c r="N137" s="204">
        <f t="shared" si="56"/>
        <v>-25</v>
      </c>
      <c r="O137" s="204">
        <f t="shared" si="56"/>
        <v>-25</v>
      </c>
    </row>
    <row r="138" spans="1:15" ht="13">
      <c r="A138" s="120"/>
      <c r="B138" s="109"/>
      <c r="C138" t="s">
        <v>112</v>
      </c>
      <c r="F138"/>
      <c r="G138" s="149"/>
      <c r="H138" s="212">
        <v>0</v>
      </c>
      <c r="I138" s="212">
        <v>0</v>
      </c>
      <c r="J138" s="212">
        <v>0</v>
      </c>
      <c r="K138" s="204">
        <f>K330</f>
        <v>0</v>
      </c>
      <c r="L138" s="204">
        <f t="shared" ref="L138:O138" si="57">L330</f>
        <v>0</v>
      </c>
      <c r="M138" s="204">
        <f t="shared" si="57"/>
        <v>0</v>
      </c>
      <c r="N138" s="204">
        <f t="shared" si="57"/>
        <v>0</v>
      </c>
      <c r="O138" s="204">
        <f t="shared" si="57"/>
        <v>0</v>
      </c>
    </row>
    <row r="139" spans="1:15" ht="13">
      <c r="A139" s="120"/>
      <c r="B139" s="109"/>
      <c r="C139" t="s">
        <v>113</v>
      </c>
      <c r="F139"/>
      <c r="G139" s="149"/>
      <c r="H139" s="177">
        <v>-2.8</v>
      </c>
      <c r="I139" s="177">
        <v>-4.7</v>
      </c>
      <c r="J139" s="177">
        <v>-2.4</v>
      </c>
      <c r="K139" s="557">
        <f>-K335</f>
        <v>-4.2501328084342722</v>
      </c>
      <c r="L139" s="557">
        <f t="shared" ref="L139:O139" si="58">-L335</f>
        <v>-0.72363500731885577</v>
      </c>
      <c r="M139" s="557">
        <f t="shared" ca="1" si="58"/>
        <v>-5.1159077256575962</v>
      </c>
      <c r="N139" s="557">
        <f t="shared" ca="1" si="58"/>
        <v>-3.5800878797609195</v>
      </c>
      <c r="O139" s="557">
        <f t="shared" ca="1" si="58"/>
        <v>-0.54027508657651535</v>
      </c>
    </row>
    <row r="140" spans="1:15" ht="13">
      <c r="A140" s="120"/>
      <c r="B140" s="109"/>
      <c r="C140" s="120" t="s">
        <v>95</v>
      </c>
      <c r="F140"/>
      <c r="G140" s="149"/>
      <c r="H140" s="213">
        <f t="shared" ref="H140:O140" si="59">SUM(H136:H139)</f>
        <v>-27.8</v>
      </c>
      <c r="I140" s="213">
        <f t="shared" si="59"/>
        <v>-29.7</v>
      </c>
      <c r="J140" s="213">
        <f t="shared" si="59"/>
        <v>-27.4</v>
      </c>
      <c r="K140" s="213">
        <f t="shared" si="59"/>
        <v>-23.392156446775697</v>
      </c>
      <c r="L140" s="213">
        <f t="shared" si="59"/>
        <v>-11.46686586520104</v>
      </c>
      <c r="M140" s="213">
        <f t="shared" ca="1" si="59"/>
        <v>-26.479764828878224</v>
      </c>
      <c r="N140" s="213">
        <f t="shared" ca="1" si="59"/>
        <v>-19.486620845501417</v>
      </c>
      <c r="O140" s="213">
        <f t="shared" ca="1" si="59"/>
        <v>-8.4535127666187346</v>
      </c>
    </row>
    <row r="141" spans="1:15" ht="13">
      <c r="A141" s="120"/>
      <c r="B141" s="109"/>
      <c r="F141"/>
      <c r="G141" s="149"/>
      <c r="H141" s="217"/>
      <c r="I141" s="217"/>
      <c r="J141" s="217"/>
      <c r="K141" s="217"/>
      <c r="L141" s="217"/>
      <c r="M141" s="217"/>
      <c r="N141" s="217"/>
      <c r="O141" s="217"/>
    </row>
    <row r="142" spans="1:15" ht="13">
      <c r="A142" s="120"/>
      <c r="C142" s="100"/>
      <c r="F142"/>
      <c r="G142" s="149"/>
      <c r="H142" s="217"/>
      <c r="I142" s="217"/>
      <c r="J142" s="217"/>
      <c r="K142" s="217"/>
      <c r="L142" s="217"/>
      <c r="M142" s="217"/>
      <c r="N142" s="217"/>
      <c r="O142" s="217"/>
    </row>
    <row r="143" spans="1:15" ht="13">
      <c r="A143" s="120"/>
      <c r="B143" s="30" t="s">
        <v>53</v>
      </c>
      <c r="C143" s="219"/>
      <c r="D143" s="5"/>
      <c r="E143" s="5"/>
      <c r="F143" s="5"/>
      <c r="G143" s="220"/>
      <c r="H143" s="221">
        <f t="shared" ref="H143:J143" si="60">H140+H132+H126</f>
        <v>-14.700000000000038</v>
      </c>
      <c r="I143" s="221">
        <f t="shared" si="60"/>
        <v>4.7000000000000313</v>
      </c>
      <c r="J143" s="221">
        <f t="shared" si="60"/>
        <v>-20.799999999999997</v>
      </c>
      <c r="K143" s="221">
        <f t="shared" ref="K143:O143" si="61">K140+K132+K126</f>
        <v>-0.30000000000000426</v>
      </c>
      <c r="L143" s="221">
        <f>L140+L132+L126</f>
        <v>0</v>
      </c>
      <c r="M143" s="221">
        <f t="shared" ca="1" si="61"/>
        <v>0</v>
      </c>
      <c r="N143" s="221">
        <f t="shared" ca="1" si="61"/>
        <v>0</v>
      </c>
      <c r="O143" s="588">
        <f t="shared" ca="1" si="61"/>
        <v>0</v>
      </c>
    </row>
    <row r="144" spans="1:15" ht="13">
      <c r="A144" s="120"/>
      <c r="B144" s="6" t="s">
        <v>54</v>
      </c>
      <c r="C144" s="100"/>
      <c r="F144"/>
      <c r="G144" s="149"/>
      <c r="H144" s="222">
        <v>31.1</v>
      </c>
      <c r="I144" s="223">
        <f t="shared" ref="I144" si="62">+H145</f>
        <v>16.399999999999963</v>
      </c>
      <c r="J144" s="223">
        <f>+I145</f>
        <v>21.099999999999994</v>
      </c>
      <c r="K144" s="223">
        <f t="shared" ref="K144" si="63">+J145</f>
        <v>0.29999999999999716</v>
      </c>
      <c r="L144" s="223">
        <f>+K145</f>
        <v>-7.1054273576010019E-15</v>
      </c>
      <c r="M144" s="223">
        <f t="shared" ref="M144" si="64">+L145</f>
        <v>-7.1054273576010019E-15</v>
      </c>
      <c r="N144" s="223">
        <f t="shared" ref="N144" ca="1" si="65">+M145</f>
        <v>-7.1054273576010019E-15</v>
      </c>
      <c r="O144" s="589">
        <f t="shared" ref="O144" ca="1" si="66">+N145</f>
        <v>-7.1054273576010019E-15</v>
      </c>
    </row>
    <row r="145" spans="1:19" ht="13">
      <c r="A145" s="120"/>
      <c r="B145" s="224" t="s">
        <v>55</v>
      </c>
      <c r="C145" s="155"/>
      <c r="D145" s="11"/>
      <c r="E145" s="11"/>
      <c r="F145" s="11"/>
      <c r="G145" s="158"/>
      <c r="H145" s="225">
        <f>H144+H143</f>
        <v>16.399999999999963</v>
      </c>
      <c r="I145" s="225">
        <f t="shared" ref="I145:J145" si="67">I144+I143</f>
        <v>21.099999999999994</v>
      </c>
      <c r="J145" s="225">
        <f t="shared" si="67"/>
        <v>0.29999999999999716</v>
      </c>
      <c r="K145" s="225">
        <f t="shared" ref="K145:O145" si="68">K144+K143</f>
        <v>-7.1054273576010019E-15</v>
      </c>
      <c r="L145" s="225">
        <f t="shared" si="68"/>
        <v>-7.1054273576010019E-15</v>
      </c>
      <c r="M145" s="225">
        <f t="shared" ca="1" si="68"/>
        <v>-7.1054273576010019E-15</v>
      </c>
      <c r="N145" s="225">
        <f t="shared" ca="1" si="68"/>
        <v>-7.1054273576010019E-15</v>
      </c>
      <c r="O145" s="591">
        <f t="shared" ca="1" si="68"/>
        <v>-7.1054273576010019E-15</v>
      </c>
    </row>
    <row r="146" spans="1:19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9">
      <c r="F147"/>
    </row>
    <row r="148" spans="1:19" ht="12.75" customHeight="1">
      <c r="A148" s="91"/>
      <c r="B148" s="1"/>
      <c r="C148" s="3"/>
      <c r="D148" s="3"/>
      <c r="E148" s="3"/>
      <c r="F148" s="90"/>
      <c r="G148" s="3"/>
      <c r="H148" s="3"/>
      <c r="I148" s="3"/>
      <c r="J148" s="3"/>
      <c r="K148" s="3"/>
      <c r="L148" s="3"/>
      <c r="M148" s="3"/>
      <c r="N148" s="3"/>
      <c r="O148" s="130" t="str">
        <f>$O$2</f>
        <v>CURRENTLY RUNNING: WORST CASE SCENARIO</v>
      </c>
    </row>
    <row r="149" spans="1:19" ht="23">
      <c r="B149" s="1" t="str">
        <f>B$3</f>
        <v>Blu Containers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18">
      <c r="B150" s="93" t="s">
        <v>96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9" ht="3" customHeight="1" thickBot="1">
      <c r="A151" s="92"/>
      <c r="B151" s="358"/>
      <c r="C151" s="359"/>
      <c r="D151" s="359"/>
      <c r="E151" s="359"/>
      <c r="F151" s="360"/>
      <c r="G151" s="359"/>
      <c r="H151" s="359"/>
      <c r="I151" s="359"/>
      <c r="J151" s="359"/>
      <c r="K151" s="359"/>
      <c r="L151" s="359"/>
      <c r="M151" s="359"/>
      <c r="N151" s="359"/>
      <c r="O151" s="359"/>
    </row>
    <row r="152" spans="1:19" ht="13">
      <c r="B152" s="160" t="s">
        <v>148</v>
      </c>
      <c r="F152"/>
      <c r="O152" s="19"/>
    </row>
    <row r="153" spans="1:19" ht="13">
      <c r="F153"/>
      <c r="H153" s="226"/>
      <c r="I153" s="226"/>
      <c r="J153" s="226"/>
      <c r="K153" s="98" t="s">
        <v>2</v>
      </c>
      <c r="L153" s="20"/>
      <c r="M153" s="20"/>
      <c r="N153" s="20"/>
      <c r="O153" s="20"/>
    </row>
    <row r="154" spans="1:19" ht="13">
      <c r="B154" s="227"/>
      <c r="F154" s="199"/>
      <c r="G154" s="198"/>
      <c r="H154" s="349">
        <f t="shared" ref="H154:J154" si="69">H$8</f>
        <v>2020</v>
      </c>
      <c r="I154" s="349">
        <f t="shared" si="69"/>
        <v>2021</v>
      </c>
      <c r="J154" s="349">
        <f t="shared" si="69"/>
        <v>2022</v>
      </c>
      <c r="K154" s="351">
        <f>K$8</f>
        <v>2023</v>
      </c>
      <c r="L154" s="351">
        <f>L$8</f>
        <v>2024</v>
      </c>
      <c r="M154" s="351">
        <f>M$8</f>
        <v>2025</v>
      </c>
      <c r="N154" s="351">
        <f>N$8</f>
        <v>2026</v>
      </c>
      <c r="O154" s="351">
        <f>O$8</f>
        <v>2027</v>
      </c>
    </row>
    <row r="155" spans="1:19" ht="13">
      <c r="B155" s="227"/>
      <c r="F155"/>
      <c r="G155" s="198"/>
      <c r="H155" s="199"/>
      <c r="I155" s="199"/>
      <c r="J155" s="199"/>
      <c r="K155" s="199"/>
      <c r="L155" s="199"/>
      <c r="M155" s="199"/>
      <c r="N155" s="199"/>
      <c r="O155" s="199"/>
    </row>
    <row r="156" spans="1:19" ht="13">
      <c r="B156" s="120" t="s">
        <v>12</v>
      </c>
      <c r="F156"/>
    </row>
    <row r="157" spans="1:19">
      <c r="C157" t="s">
        <v>13</v>
      </c>
      <c r="F157" s="101"/>
      <c r="G157" s="205"/>
      <c r="H157" s="212">
        <v>16.399999999999963</v>
      </c>
      <c r="I157" s="212">
        <v>21.099999999999994</v>
      </c>
      <c r="J157" s="212">
        <v>0.3</v>
      </c>
      <c r="K157" s="437">
        <f>K145</f>
        <v>-7.1054273576010019E-15</v>
      </c>
      <c r="L157" s="437">
        <f t="shared" ref="L157:O157" si="70">L145</f>
        <v>-7.1054273576010019E-15</v>
      </c>
      <c r="M157" s="437">
        <f t="shared" ca="1" si="70"/>
        <v>-7.1054273576010019E-15</v>
      </c>
      <c r="N157" s="437">
        <f t="shared" ca="1" si="70"/>
        <v>-7.1054273576010019E-15</v>
      </c>
      <c r="O157" s="437">
        <f t="shared" ca="1" si="70"/>
        <v>-7.1054273576010019E-15</v>
      </c>
      <c r="R157" s="180"/>
      <c r="S157" s="180"/>
    </row>
    <row r="158" spans="1:19">
      <c r="C158" t="s">
        <v>14</v>
      </c>
      <c r="F158" s="101"/>
      <c r="G158" s="205"/>
      <c r="H158" s="212">
        <v>27</v>
      </c>
      <c r="I158" s="212">
        <v>27.8</v>
      </c>
      <c r="J158" s="212">
        <v>28.3</v>
      </c>
      <c r="K158" s="204">
        <f>K262</f>
        <v>31.360351628901707</v>
      </c>
      <c r="L158" s="204">
        <f t="shared" ref="L158:O158" si="71">L262</f>
        <v>26.342843146658431</v>
      </c>
      <c r="M158" s="204">
        <f t="shared" ca="1" si="71"/>
        <v>28.63402931867444</v>
      </c>
      <c r="N158" s="204">
        <f t="shared" ca="1" si="71"/>
        <v>28.190289429425192</v>
      </c>
      <c r="O158" s="204">
        <f t="shared" ca="1" si="71"/>
        <v>26.512323674677802</v>
      </c>
    </row>
    <row r="159" spans="1:19">
      <c r="C159" t="s">
        <v>15</v>
      </c>
      <c r="F159" s="101"/>
      <c r="G159" s="205"/>
      <c r="H159" s="212">
        <v>36.5</v>
      </c>
      <c r="I159" s="212">
        <v>36.1</v>
      </c>
      <c r="J159" s="212">
        <v>35.1</v>
      </c>
      <c r="K159" s="204">
        <f t="shared" ref="K159:O161" si="72">K263</f>
        <v>33.313161968325367</v>
      </c>
      <c r="L159" s="204">
        <f t="shared" si="72"/>
        <v>32.318957332815572</v>
      </c>
      <c r="M159" s="204">
        <f t="shared" ca="1" si="72"/>
        <v>31.285434298871017</v>
      </c>
      <c r="N159" s="204">
        <f t="shared" ca="1" si="72"/>
        <v>32.658306544292998</v>
      </c>
      <c r="O159" s="204">
        <f t="shared" ca="1" si="72"/>
        <v>31.18926700289034</v>
      </c>
    </row>
    <row r="160" spans="1:19">
      <c r="C160" t="s">
        <v>143</v>
      </c>
      <c r="F160" s="101"/>
      <c r="G160" s="228"/>
      <c r="H160" s="212">
        <v>14.6</v>
      </c>
      <c r="I160" s="212">
        <v>14.4</v>
      </c>
      <c r="J160" s="212">
        <v>14.9</v>
      </c>
      <c r="K160" s="204">
        <f t="shared" si="72"/>
        <v>14.277069414996587</v>
      </c>
      <c r="L160" s="204">
        <f t="shared" si="72"/>
        <v>14.916441845914878</v>
      </c>
      <c r="M160" s="204">
        <f t="shared" ca="1" si="72"/>
        <v>15.642717149435509</v>
      </c>
      <c r="N160" s="204">
        <f t="shared" ca="1" si="72"/>
        <v>16.329153272146499</v>
      </c>
      <c r="O160" s="204">
        <f t="shared" ca="1" si="72"/>
        <v>17.012327456122001</v>
      </c>
    </row>
    <row r="161" spans="2:15">
      <c r="C161" s="19" t="s">
        <v>10</v>
      </c>
      <c r="F161" s="101"/>
      <c r="G161" s="228"/>
      <c r="H161" s="177">
        <v>1.4</v>
      </c>
      <c r="I161" s="177">
        <v>1.8</v>
      </c>
      <c r="J161" s="177">
        <v>1.2</v>
      </c>
      <c r="K161" s="557">
        <f t="shared" si="72"/>
        <v>1.4277069414996588</v>
      </c>
      <c r="L161" s="557">
        <f t="shared" si="72"/>
        <v>1.4916441845914878</v>
      </c>
      <c r="M161" s="557">
        <f t="shared" ca="1" si="72"/>
        <v>1.5642717149435508</v>
      </c>
      <c r="N161" s="557">
        <f t="shared" ca="1" si="72"/>
        <v>1.6329153272146497</v>
      </c>
      <c r="O161" s="557">
        <f t="shared" ca="1" si="72"/>
        <v>1.7012327456122003</v>
      </c>
    </row>
    <row r="162" spans="2:15" ht="13">
      <c r="C162" s="100" t="s">
        <v>16</v>
      </c>
      <c r="F162" s="121"/>
      <c r="G162" s="146"/>
      <c r="H162" s="202">
        <f t="shared" ref="H162:I162" si="73">SUM(H157:H161)</f>
        <v>95.899999999999963</v>
      </c>
      <c r="I162" s="202">
        <f t="shared" si="73"/>
        <v>101.2</v>
      </c>
      <c r="J162" s="202">
        <f>SUM(J157:J161)</f>
        <v>79.800000000000011</v>
      </c>
      <c r="K162" s="202">
        <f t="shared" ref="K162:O162" si="74">SUM(K157:K161)</f>
        <v>80.378289953723325</v>
      </c>
      <c r="L162" s="202">
        <f t="shared" si="74"/>
        <v>75.069886509980364</v>
      </c>
      <c r="M162" s="202">
        <f t="shared" ca="1" si="74"/>
        <v>77.126452481924503</v>
      </c>
      <c r="N162" s="202">
        <f t="shared" ca="1" si="74"/>
        <v>78.810664573079322</v>
      </c>
      <c r="O162" s="202">
        <f t="shared" ca="1" si="74"/>
        <v>76.415150879302331</v>
      </c>
    </row>
    <row r="163" spans="2:15">
      <c r="F163" s="146"/>
      <c r="G163" s="200"/>
      <c r="H163" s="146"/>
      <c r="I163" s="146"/>
      <c r="J163" s="229"/>
      <c r="K163" s="438"/>
      <c r="L163" s="438"/>
      <c r="M163" s="438"/>
      <c r="N163" s="438"/>
      <c r="O163" s="438"/>
    </row>
    <row r="164" spans="2:15">
      <c r="C164" t="s">
        <v>17</v>
      </c>
      <c r="F164" s="101"/>
      <c r="G164" s="228"/>
      <c r="H164" s="212">
        <v>398.5</v>
      </c>
      <c r="I164" s="212">
        <v>398</v>
      </c>
      <c r="J164" s="212">
        <v>397.7</v>
      </c>
      <c r="K164" s="424">
        <f>J164-K130-K123</f>
        <v>397.52533333333332</v>
      </c>
      <c r="L164" s="424">
        <f t="shared" ref="L164:O164" si="75">K164-L130-L123</f>
        <v>397.80066666666664</v>
      </c>
      <c r="M164" s="424">
        <f t="shared" si="75"/>
        <v>397.80433333333332</v>
      </c>
      <c r="N164" s="424">
        <f t="shared" si="75"/>
        <v>397.428</v>
      </c>
      <c r="O164" s="424">
        <f t="shared" si="75"/>
        <v>396.96</v>
      </c>
    </row>
    <row r="165" spans="2:15">
      <c r="C165" s="19" t="s">
        <v>10</v>
      </c>
      <c r="F165" s="101"/>
      <c r="G165" s="228"/>
      <c r="H165" s="177">
        <v>19</v>
      </c>
      <c r="I165" s="177">
        <v>15</v>
      </c>
      <c r="J165" s="177">
        <v>12</v>
      </c>
      <c r="K165" s="557">
        <f>J165+K131</f>
        <v>12</v>
      </c>
      <c r="L165" s="557">
        <f t="shared" ref="L165:O165" si="76">K165+L131</f>
        <v>12</v>
      </c>
      <c r="M165" s="557">
        <f t="shared" si="76"/>
        <v>12</v>
      </c>
      <c r="N165" s="557">
        <f t="shared" si="76"/>
        <v>12</v>
      </c>
      <c r="O165" s="557">
        <f t="shared" si="76"/>
        <v>12</v>
      </c>
    </row>
    <row r="166" spans="2:15" ht="13">
      <c r="C166" s="109" t="s">
        <v>154</v>
      </c>
      <c r="F166" s="101"/>
      <c r="G166" s="228"/>
      <c r="H166" s="230">
        <f>SUM(H164:H165)</f>
        <v>417.5</v>
      </c>
      <c r="I166" s="230">
        <f t="shared" ref="I166:O166" si="77">SUM(I164:I165)</f>
        <v>413</v>
      </c>
      <c r="J166" s="230">
        <f>SUM(J164:J165)</f>
        <v>409.7</v>
      </c>
      <c r="K166" s="230">
        <f>SUM(K164:K165)</f>
        <v>409.52533333333332</v>
      </c>
      <c r="L166" s="230">
        <f>SUM(L164:L165)</f>
        <v>409.80066666666664</v>
      </c>
      <c r="M166" s="230">
        <f t="shared" si="77"/>
        <v>409.80433333333332</v>
      </c>
      <c r="N166" s="230">
        <f>SUM(N164:N165)</f>
        <v>409.428</v>
      </c>
      <c r="O166" s="230">
        <f t="shared" si="77"/>
        <v>408.96</v>
      </c>
    </row>
    <row r="167" spans="2:15">
      <c r="C167" s="19"/>
      <c r="F167" s="101"/>
      <c r="G167" s="228"/>
      <c r="H167" s="212"/>
      <c r="I167" s="212"/>
      <c r="J167" s="212"/>
      <c r="K167" s="557"/>
      <c r="L167" s="557"/>
      <c r="M167" s="557"/>
      <c r="N167" s="557"/>
      <c r="O167" s="557"/>
    </row>
    <row r="168" spans="2:15" ht="13.5" thickBot="1">
      <c r="C168" s="120" t="s">
        <v>18</v>
      </c>
      <c r="F168" s="121"/>
      <c r="G168" s="149"/>
      <c r="H168" s="151">
        <f>+H162+H166</f>
        <v>513.4</v>
      </c>
      <c r="I168" s="151">
        <f t="shared" ref="I168" si="78">+I162+I166</f>
        <v>514.20000000000005</v>
      </c>
      <c r="J168" s="151">
        <f>+J162+J166</f>
        <v>489.5</v>
      </c>
      <c r="K168" s="151">
        <f t="shared" ref="K168:O168" si="79">+K162+K166</f>
        <v>489.90362328705663</v>
      </c>
      <c r="L168" s="151">
        <f t="shared" si="79"/>
        <v>484.87055317664704</v>
      </c>
      <c r="M168" s="151">
        <f t="shared" ca="1" si="79"/>
        <v>486.93078581525782</v>
      </c>
      <c r="N168" s="151">
        <f t="shared" ca="1" si="79"/>
        <v>488.23866457307929</v>
      </c>
      <c r="O168" s="151">
        <f t="shared" ca="1" si="79"/>
        <v>485.37515087930228</v>
      </c>
    </row>
    <row r="169" spans="2:15" ht="13" thickTop="1">
      <c r="F169" s="146"/>
      <c r="G169" s="200"/>
      <c r="H169" s="146"/>
      <c r="I169" s="146"/>
      <c r="J169" s="200"/>
      <c r="K169" s="234"/>
      <c r="L169" s="234"/>
      <c r="M169" s="234"/>
      <c r="N169" s="234"/>
      <c r="O169" s="234"/>
    </row>
    <row r="170" spans="2:15">
      <c r="F170" s="146"/>
      <c r="G170" s="200"/>
      <c r="H170" s="146"/>
      <c r="I170" s="146"/>
      <c r="J170" s="200"/>
      <c r="K170" s="200"/>
      <c r="L170" s="200"/>
      <c r="M170" s="200"/>
      <c r="N170" s="200"/>
      <c r="O170" s="200"/>
    </row>
    <row r="171" spans="2:15" ht="13">
      <c r="B171" s="100" t="s">
        <v>19</v>
      </c>
      <c r="F171" s="146"/>
      <c r="G171" s="200"/>
      <c r="H171" s="146"/>
      <c r="I171" s="146"/>
      <c r="J171" s="200"/>
      <c r="K171" s="203"/>
      <c r="L171" s="203"/>
      <c r="M171" s="203"/>
      <c r="N171" s="203"/>
      <c r="O171" s="203"/>
    </row>
    <row r="172" spans="2:15">
      <c r="C172" s="19" t="s">
        <v>122</v>
      </c>
      <c r="F172" s="101"/>
      <c r="G172" s="205"/>
      <c r="H172" s="212">
        <v>0</v>
      </c>
      <c r="I172" s="212">
        <v>0</v>
      </c>
      <c r="J172" s="212">
        <v>0</v>
      </c>
      <c r="K172" s="204">
        <f>K302</f>
        <v>5.8579763616585758</v>
      </c>
      <c r="L172" s="204">
        <f t="shared" ref="L172:O172" si="80">L302</f>
        <v>20.11474550377639</v>
      </c>
      <c r="M172" s="204">
        <f t="shared" ca="1" si="80"/>
        <v>23.750888400555763</v>
      </c>
      <c r="N172" s="204">
        <f t="shared" ca="1" si="80"/>
        <v>32.844355434815263</v>
      </c>
      <c r="O172" s="204">
        <f t="shared" ca="1" si="80"/>
        <v>49.931117754773041</v>
      </c>
    </row>
    <row r="173" spans="2:15">
      <c r="C173" s="19" t="s">
        <v>20</v>
      </c>
      <c r="F173" s="101"/>
      <c r="G173" s="205"/>
      <c r="H173" s="231">
        <v>18.299999999999997</v>
      </c>
      <c r="I173" s="231">
        <v>18.700000000000003</v>
      </c>
      <c r="J173" s="231">
        <v>18.2</v>
      </c>
      <c r="K173" s="424">
        <f>K266</f>
        <v>19.036092553328782</v>
      </c>
      <c r="L173" s="424">
        <f t="shared" ref="L173:O173" si="81">L266</f>
        <v>19.888589127886505</v>
      </c>
      <c r="M173" s="424">
        <f t="shared" ca="1" si="81"/>
        <v>20.856956199247346</v>
      </c>
      <c r="N173" s="424">
        <f t="shared" ca="1" si="81"/>
        <v>21.772204362861999</v>
      </c>
      <c r="O173" s="424">
        <f t="shared" ca="1" si="81"/>
        <v>22.683103274829335</v>
      </c>
    </row>
    <row r="174" spans="2:15">
      <c r="C174" s="19" t="s">
        <v>10</v>
      </c>
      <c r="F174" s="101"/>
      <c r="G174" s="228"/>
      <c r="H174" s="177">
        <v>4.7</v>
      </c>
      <c r="I174" s="177">
        <v>4.9000000000000004</v>
      </c>
      <c r="J174" s="177">
        <v>4.8</v>
      </c>
      <c r="K174" s="557">
        <f>K267</f>
        <v>4.7590231383321955</v>
      </c>
      <c r="L174" s="557">
        <f t="shared" ref="L174:O174" si="82">L267</f>
        <v>4.9721472819716261</v>
      </c>
      <c r="M174" s="557">
        <f t="shared" ca="1" si="82"/>
        <v>5.2142390498118365</v>
      </c>
      <c r="N174" s="557">
        <f t="shared" ca="1" si="82"/>
        <v>5.4430510907154996</v>
      </c>
      <c r="O174" s="557">
        <f t="shared" ca="1" si="82"/>
        <v>5.6707758187073338</v>
      </c>
    </row>
    <row r="175" spans="2:15" ht="13">
      <c r="C175" s="100" t="s">
        <v>21</v>
      </c>
      <c r="F175" s="121"/>
      <c r="G175" s="146"/>
      <c r="H175" s="143">
        <f t="shared" ref="H175:O175" si="83">SUM(H172:H174)</f>
        <v>22.999999999999996</v>
      </c>
      <c r="I175" s="143">
        <f t="shared" si="83"/>
        <v>23.6</v>
      </c>
      <c r="J175" s="143">
        <f t="shared" si="83"/>
        <v>23</v>
      </c>
      <c r="K175" s="143">
        <f t="shared" si="83"/>
        <v>29.653092053319554</v>
      </c>
      <c r="L175" s="143">
        <f t="shared" si="83"/>
        <v>44.975481913634525</v>
      </c>
      <c r="M175" s="143">
        <f t="shared" ca="1" si="83"/>
        <v>49.822083649614946</v>
      </c>
      <c r="N175" s="143">
        <f t="shared" ca="1" si="83"/>
        <v>60.059610888392761</v>
      </c>
      <c r="O175" s="143">
        <f t="shared" ca="1" si="83"/>
        <v>78.284996848309703</v>
      </c>
    </row>
    <row r="176" spans="2:15">
      <c r="F176" s="146"/>
      <c r="G176" s="200"/>
      <c r="H176" s="146"/>
      <c r="I176" s="146"/>
      <c r="J176" s="200"/>
      <c r="K176" s="234"/>
      <c r="L176" s="234"/>
      <c r="M176" s="424"/>
      <c r="N176" s="234"/>
      <c r="O176" s="234"/>
    </row>
    <row r="177" spans="1:15">
      <c r="C177" t="s">
        <v>132</v>
      </c>
      <c r="F177" s="101"/>
      <c r="G177" s="200"/>
      <c r="H177" s="232">
        <v>0.70000000000000018</v>
      </c>
      <c r="I177" s="232">
        <v>6.9</v>
      </c>
      <c r="J177" s="232">
        <v>8</v>
      </c>
      <c r="K177" s="424">
        <f>J177+K233</f>
        <v>9.75</v>
      </c>
      <c r="L177" s="424">
        <f t="shared" ref="L177:O177" si="84">K177+L233</f>
        <v>11.5</v>
      </c>
      <c r="M177" s="424">
        <f t="shared" ca="1" si="84"/>
        <v>13.25</v>
      </c>
      <c r="N177" s="424">
        <f t="shared" ca="1" si="84"/>
        <v>15</v>
      </c>
      <c r="O177" s="424">
        <f t="shared" ca="1" si="84"/>
        <v>16.75</v>
      </c>
    </row>
    <row r="178" spans="1:15">
      <c r="C178" s="19" t="s">
        <v>119</v>
      </c>
      <c r="F178" s="101"/>
      <c r="G178" s="233"/>
      <c r="H178" s="177">
        <v>250</v>
      </c>
      <c r="I178" s="177">
        <v>225</v>
      </c>
      <c r="J178" s="177">
        <v>200</v>
      </c>
      <c r="K178" s="557">
        <f>K311</f>
        <v>175</v>
      </c>
      <c r="L178" s="557">
        <f t="shared" ref="L178:O178" si="85">L311</f>
        <v>150</v>
      </c>
      <c r="M178" s="557">
        <f t="shared" si="85"/>
        <v>125</v>
      </c>
      <c r="N178" s="557">
        <f t="shared" si="85"/>
        <v>100</v>
      </c>
      <c r="O178" s="557">
        <f t="shared" si="85"/>
        <v>75</v>
      </c>
    </row>
    <row r="179" spans="1:15" ht="13">
      <c r="C179" s="109" t="s">
        <v>22</v>
      </c>
      <c r="F179" s="121"/>
      <c r="G179" s="205"/>
      <c r="H179" s="202">
        <f t="shared" ref="H179:I179" si="86">SUM(H177:H178)</f>
        <v>250.7</v>
      </c>
      <c r="I179" s="202">
        <f t="shared" si="86"/>
        <v>231.9</v>
      </c>
      <c r="J179" s="202">
        <f t="shared" ref="J179:O179" si="87">SUM(J177:J178)</f>
        <v>208</v>
      </c>
      <c r="K179" s="202">
        <f t="shared" si="87"/>
        <v>184.75</v>
      </c>
      <c r="L179" s="202">
        <f t="shared" si="87"/>
        <v>161.5</v>
      </c>
      <c r="M179" s="202">
        <f t="shared" ca="1" si="87"/>
        <v>138.25</v>
      </c>
      <c r="N179" s="202">
        <f t="shared" ca="1" si="87"/>
        <v>115</v>
      </c>
      <c r="O179" s="202">
        <f t="shared" ca="1" si="87"/>
        <v>91.75</v>
      </c>
    </row>
    <row r="180" spans="1:15" ht="13">
      <c r="C180" s="100"/>
      <c r="F180" s="146"/>
      <c r="G180" s="200"/>
      <c r="H180" s="146"/>
      <c r="I180" s="146"/>
      <c r="J180" s="200"/>
      <c r="K180" s="234"/>
      <c r="L180" s="234"/>
      <c r="M180" s="234"/>
      <c r="N180" s="234"/>
      <c r="O180" s="234"/>
    </row>
    <row r="181" spans="1:15" ht="13">
      <c r="C181" s="109" t="s">
        <v>23</v>
      </c>
      <c r="F181" s="121"/>
      <c r="G181" s="149"/>
      <c r="H181" s="145">
        <f t="shared" ref="H181:O181" si="88">H179+H175</f>
        <v>273.7</v>
      </c>
      <c r="I181" s="145">
        <f t="shared" si="88"/>
        <v>255.5</v>
      </c>
      <c r="J181" s="145">
        <f t="shared" si="88"/>
        <v>231</v>
      </c>
      <c r="K181" s="145">
        <f t="shared" si="88"/>
        <v>214.40309205331954</v>
      </c>
      <c r="L181" s="145">
        <f t="shared" si="88"/>
        <v>206.47548191363452</v>
      </c>
      <c r="M181" s="145">
        <f t="shared" ca="1" si="88"/>
        <v>188.07208364961494</v>
      </c>
      <c r="N181" s="145">
        <f t="shared" ca="1" si="88"/>
        <v>175.05961088839277</v>
      </c>
      <c r="O181" s="145">
        <f t="shared" ca="1" si="88"/>
        <v>170.0349968483097</v>
      </c>
    </row>
    <row r="182" spans="1:15">
      <c r="F182" s="146"/>
      <c r="G182" s="146"/>
      <c r="H182" s="146"/>
      <c r="I182" s="146"/>
      <c r="J182" s="200"/>
      <c r="K182" s="234"/>
      <c r="L182" s="234"/>
      <c r="M182" s="234"/>
      <c r="N182" s="234"/>
      <c r="O182" s="234"/>
    </row>
    <row r="183" spans="1:15">
      <c r="C183" t="s">
        <v>106</v>
      </c>
      <c r="F183" s="101"/>
      <c r="G183" s="146"/>
      <c r="H183" s="212">
        <v>120</v>
      </c>
      <c r="I183" s="212">
        <v>120</v>
      </c>
      <c r="J183" s="212">
        <v>120</v>
      </c>
      <c r="K183" s="424">
        <f>K329</f>
        <v>120</v>
      </c>
      <c r="L183" s="424">
        <f t="shared" ref="L183:O183" si="89">L329</f>
        <v>120</v>
      </c>
      <c r="M183" s="424">
        <f t="shared" si="89"/>
        <v>120</v>
      </c>
      <c r="N183" s="424">
        <f t="shared" si="89"/>
        <v>120</v>
      </c>
      <c r="O183" s="424">
        <f t="shared" si="89"/>
        <v>120</v>
      </c>
    </row>
    <row r="184" spans="1:15">
      <c r="C184" t="s">
        <v>108</v>
      </c>
      <c r="F184" s="101"/>
      <c r="G184" s="234"/>
      <c r="H184" s="177">
        <v>119.70000000000002</v>
      </c>
      <c r="I184" s="177">
        <v>138.70000000000007</v>
      </c>
      <c r="J184" s="177">
        <v>138.50000000000003</v>
      </c>
      <c r="K184" s="557">
        <f>K342</f>
        <v>155.50053123373712</v>
      </c>
      <c r="L184" s="557">
        <f t="shared" ref="L184:O184" si="90">L342</f>
        <v>158.39507126301254</v>
      </c>
      <c r="M184" s="557">
        <f t="shared" ca="1" si="90"/>
        <v>178.85870216564294</v>
      </c>
      <c r="N184" s="557">
        <f t="shared" ca="1" si="90"/>
        <v>193.17905368468661</v>
      </c>
      <c r="O184" s="557">
        <f t="shared" ca="1" si="90"/>
        <v>195.34015403099266</v>
      </c>
    </row>
    <row r="185" spans="1:15" ht="13">
      <c r="C185" s="100" t="s">
        <v>24</v>
      </c>
      <c r="F185" s="121"/>
      <c r="G185" s="205"/>
      <c r="H185" s="208">
        <f>SUM(H183:H184)</f>
        <v>239.70000000000002</v>
      </c>
      <c r="I185" s="208">
        <f>SUM(I183:I184)</f>
        <v>258.70000000000005</v>
      </c>
      <c r="J185" s="208">
        <f>SUM(J183:J184)</f>
        <v>258.5</v>
      </c>
      <c r="K185" s="208">
        <f>SUM(K183:K184)</f>
        <v>275.50053123373709</v>
      </c>
      <c r="L185" s="208">
        <f t="shared" ref="L185:O185" si="91">SUM(L183:L184)</f>
        <v>278.39507126301254</v>
      </c>
      <c r="M185" s="208">
        <f t="shared" ca="1" si="91"/>
        <v>298.85870216564297</v>
      </c>
      <c r="N185" s="208">
        <f t="shared" ca="1" si="91"/>
        <v>313.17905368468661</v>
      </c>
      <c r="O185" s="208">
        <f t="shared" ca="1" si="91"/>
        <v>315.34015403099266</v>
      </c>
    </row>
    <row r="186" spans="1:15">
      <c r="F186" s="146"/>
      <c r="G186" s="146"/>
      <c r="H186" s="200"/>
      <c r="I186" s="200"/>
      <c r="J186" s="200"/>
      <c r="K186" s="584"/>
      <c r="L186" s="584"/>
      <c r="M186" s="584"/>
      <c r="N186" s="584"/>
      <c r="O186" s="584"/>
    </row>
    <row r="187" spans="1:15" ht="13.5" thickBot="1">
      <c r="B187" s="100" t="s">
        <v>25</v>
      </c>
      <c r="F187" s="121"/>
      <c r="G187" s="149"/>
      <c r="H187" s="151">
        <f>H185+H181</f>
        <v>513.4</v>
      </c>
      <c r="I187" s="151">
        <f>I185+I181</f>
        <v>514.20000000000005</v>
      </c>
      <c r="J187" s="151">
        <f>J185+J181</f>
        <v>489.5</v>
      </c>
      <c r="K187" s="151">
        <f t="shared" ref="K187:O187" si="92">K185+K181</f>
        <v>489.90362328705663</v>
      </c>
      <c r="L187" s="151">
        <f t="shared" si="92"/>
        <v>484.87055317664704</v>
      </c>
      <c r="M187" s="151">
        <f t="shared" ca="1" si="92"/>
        <v>486.93078581525788</v>
      </c>
      <c r="N187" s="151">
        <f t="shared" ca="1" si="92"/>
        <v>488.2386645730794</v>
      </c>
      <c r="O187" s="151">
        <f t="shared" ca="1" si="92"/>
        <v>485.3751508793024</v>
      </c>
    </row>
    <row r="188" spans="1:15" ht="13" thickTop="1">
      <c r="F188" s="235"/>
      <c r="G188" s="235"/>
      <c r="H188" s="236"/>
      <c r="I188" s="236"/>
      <c r="J188" s="236"/>
      <c r="K188" s="236"/>
      <c r="L188" s="236"/>
      <c r="M188" s="236"/>
      <c r="N188" s="236"/>
      <c r="O188" s="236"/>
    </row>
    <row r="189" spans="1:15" ht="13">
      <c r="B189" s="196"/>
      <c r="D189" s="237" t="s">
        <v>26</v>
      </c>
      <c r="F189" s="238"/>
      <c r="G189" s="238"/>
      <c r="H189" s="239">
        <f>ROUND(H168-H187,3)</f>
        <v>0</v>
      </c>
      <c r="I189" s="239">
        <f t="shared" ref="I189:O189" si="93">ROUND(I168-I187,3)</f>
        <v>0</v>
      </c>
      <c r="J189" s="239">
        <f t="shared" si="93"/>
        <v>0</v>
      </c>
      <c r="K189" s="239">
        <f t="shared" si="93"/>
        <v>0</v>
      </c>
      <c r="L189" s="239">
        <f t="shared" si="93"/>
        <v>0</v>
      </c>
      <c r="M189" s="239">
        <f t="shared" ca="1" si="93"/>
        <v>0</v>
      </c>
      <c r="N189" s="239">
        <f t="shared" ca="1" si="93"/>
        <v>0</v>
      </c>
      <c r="O189" s="239">
        <f t="shared" ca="1" si="93"/>
        <v>0</v>
      </c>
    </row>
    <row r="190" spans="1:15" ht="13">
      <c r="B190" s="240"/>
      <c r="C190" s="11"/>
      <c r="D190" s="11"/>
      <c r="E190" s="11"/>
      <c r="F190" s="11"/>
      <c r="G190" s="11"/>
      <c r="H190" s="11"/>
      <c r="I190" s="11"/>
      <c r="J190" s="11"/>
      <c r="K190" s="241"/>
      <c r="L190" s="241"/>
      <c r="M190" s="241"/>
      <c r="N190" s="241"/>
      <c r="O190" s="241"/>
    </row>
    <row r="191" spans="1:15">
      <c r="F191"/>
    </row>
    <row r="192" spans="1:15" ht="12.75" customHeight="1">
      <c r="A192" s="91"/>
      <c r="B192" s="1"/>
      <c r="C192" s="3"/>
      <c r="D192" s="3"/>
      <c r="E192" s="3"/>
      <c r="F192" s="90"/>
      <c r="G192" s="3"/>
      <c r="H192" s="3"/>
      <c r="I192" s="3"/>
      <c r="J192" s="3"/>
      <c r="K192" s="3"/>
      <c r="L192" s="3"/>
      <c r="M192" s="3"/>
      <c r="N192" s="3"/>
      <c r="O192" s="130" t="str">
        <f>$O$2</f>
        <v>CURRENTLY RUNNING: WORST CASE SCENARIO</v>
      </c>
    </row>
    <row r="193" spans="1:243" ht="22.75" customHeight="1">
      <c r="B193" s="242" t="str">
        <f>B$3</f>
        <v>Blu Containers</v>
      </c>
      <c r="C193" s="243"/>
      <c r="D193" s="243"/>
      <c r="E193" s="244"/>
      <c r="F193" s="244"/>
      <c r="G193" s="245"/>
      <c r="H193" s="245"/>
      <c r="I193" s="245"/>
      <c r="J193" s="245"/>
      <c r="K193" s="245"/>
      <c r="L193" s="245"/>
      <c r="M193" s="245"/>
      <c r="N193" s="245"/>
      <c r="O193" s="245"/>
    </row>
    <row r="194" spans="1:243" ht="18">
      <c r="B194" s="93" t="s">
        <v>123</v>
      </c>
      <c r="C194" s="93"/>
      <c r="D194" s="93"/>
      <c r="E194" s="246"/>
      <c r="F194" s="246"/>
      <c r="G194" s="93"/>
      <c r="H194" s="93"/>
      <c r="I194" s="93"/>
      <c r="J194" s="93"/>
      <c r="K194" s="93"/>
      <c r="L194" s="93"/>
      <c r="M194" s="93"/>
      <c r="N194" s="93"/>
      <c r="O194" s="93"/>
    </row>
    <row r="195" spans="1:243" ht="3" customHeight="1" thickBot="1">
      <c r="A195" s="92"/>
      <c r="B195" s="358"/>
      <c r="C195" s="359"/>
      <c r="D195" s="359"/>
      <c r="E195" s="359"/>
      <c r="F195" s="360"/>
      <c r="G195" s="359"/>
      <c r="H195" s="359"/>
      <c r="I195" s="359"/>
      <c r="J195" s="359"/>
      <c r="K195" s="359"/>
      <c r="L195" s="359"/>
      <c r="M195" s="359"/>
      <c r="N195" s="359"/>
      <c r="O195" s="359"/>
    </row>
    <row r="196" spans="1:243" ht="13">
      <c r="B196" s="160" t="s">
        <v>148</v>
      </c>
      <c r="C196" s="196"/>
      <c r="E196" s="96"/>
      <c r="G196" s="196"/>
    </row>
    <row r="197" spans="1:243" ht="13">
      <c r="E197" s="96"/>
      <c r="K197" s="98" t="s">
        <v>2</v>
      </c>
      <c r="L197" s="247"/>
      <c r="M197" s="247"/>
      <c r="N197" s="247"/>
      <c r="O197" s="247"/>
    </row>
    <row r="198" spans="1:243" ht="13">
      <c r="C198" s="120"/>
      <c r="D198" s="120"/>
      <c r="E198" s="144"/>
      <c r="F198" s="248"/>
      <c r="G198" s="131"/>
      <c r="H198" s="349">
        <f t="shared" ref="H198:J198" si="94">H$8</f>
        <v>2020</v>
      </c>
      <c r="I198" s="349">
        <f t="shared" si="94"/>
        <v>2021</v>
      </c>
      <c r="J198" s="349">
        <f t="shared" si="94"/>
        <v>2022</v>
      </c>
      <c r="K198" s="352">
        <f>K$8</f>
        <v>2023</v>
      </c>
      <c r="L198" s="352">
        <f>L$8</f>
        <v>2024</v>
      </c>
      <c r="M198" s="352">
        <f>M$8</f>
        <v>2025</v>
      </c>
      <c r="N198" s="352">
        <f>N$8</f>
        <v>2026</v>
      </c>
      <c r="O198" s="352">
        <f>O$8</f>
        <v>2027</v>
      </c>
    </row>
    <row r="200" spans="1:243" ht="13.4" customHeight="1">
      <c r="A200" s="249"/>
      <c r="B200" s="250" t="s">
        <v>168</v>
      </c>
      <c r="C200" s="5"/>
      <c r="D200" s="5"/>
      <c r="E200" s="5"/>
      <c r="F200" s="435">
        <f>Assumptions!H39</f>
        <v>25</v>
      </c>
      <c r="K200" s="251"/>
      <c r="L200" s="252"/>
      <c r="M200" s="252"/>
      <c r="N200" s="252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53"/>
      <c r="AT200" s="253"/>
      <c r="AU200" s="253"/>
      <c r="AV200" s="253"/>
      <c r="AW200" s="253"/>
      <c r="AX200" s="253"/>
      <c r="AY200" s="253"/>
      <c r="AZ200" s="253"/>
      <c r="BA200" s="253"/>
      <c r="BB200" s="253"/>
      <c r="BC200" s="253"/>
      <c r="BD200" s="253"/>
      <c r="BE200" s="253"/>
      <c r="BF200" s="253"/>
      <c r="BG200" s="253"/>
      <c r="BH200" s="253"/>
      <c r="BI200" s="253"/>
      <c r="BJ200" s="253"/>
      <c r="BK200" s="253"/>
      <c r="BL200" s="253"/>
      <c r="BM200" s="253"/>
      <c r="BN200" s="253"/>
      <c r="BO200" s="253"/>
      <c r="BP200" s="253"/>
      <c r="BQ200" s="253"/>
      <c r="BR200" s="253"/>
      <c r="BS200" s="253"/>
      <c r="BT200" s="253"/>
      <c r="BU200" s="253"/>
      <c r="BV200" s="253"/>
      <c r="BW200" s="253"/>
      <c r="BX200" s="253"/>
      <c r="BY200" s="253"/>
      <c r="BZ200" s="253"/>
      <c r="CA200" s="253"/>
      <c r="CB200" s="253"/>
      <c r="CC200" s="253"/>
      <c r="CD200" s="253"/>
      <c r="CE200" s="253"/>
      <c r="CF200" s="253"/>
      <c r="CG200" s="253"/>
      <c r="CH200" s="253"/>
      <c r="CI200" s="253"/>
      <c r="CJ200" s="253"/>
      <c r="CK200" s="253"/>
      <c r="CL200" s="253"/>
      <c r="CM200" s="253"/>
      <c r="CN200" s="253"/>
      <c r="CO200" s="253"/>
      <c r="CP200" s="253"/>
      <c r="CQ200" s="253"/>
      <c r="CR200" s="253"/>
      <c r="CS200" s="253"/>
      <c r="CT200" s="253"/>
      <c r="CU200" s="253"/>
      <c r="CV200" s="253"/>
      <c r="CW200" s="253"/>
      <c r="CX200" s="253"/>
      <c r="CY200" s="253"/>
      <c r="CZ200" s="253"/>
      <c r="DA200" s="253"/>
      <c r="DB200" s="253"/>
      <c r="DC200" s="253"/>
      <c r="DD200" s="253"/>
      <c r="DE200" s="253"/>
      <c r="DF200" s="253"/>
      <c r="DG200" s="253"/>
      <c r="DH200" s="253"/>
      <c r="DI200" s="253"/>
      <c r="DJ200" s="253"/>
      <c r="DK200" s="253"/>
      <c r="DL200" s="253"/>
      <c r="DM200" s="253"/>
      <c r="DN200" s="253"/>
      <c r="DO200" s="253"/>
      <c r="DP200" s="253"/>
      <c r="DQ200" s="253"/>
      <c r="DR200" s="253"/>
      <c r="DS200" s="253"/>
      <c r="DT200" s="253"/>
      <c r="DU200" s="253"/>
      <c r="DV200" s="253"/>
      <c r="DW200" s="253"/>
      <c r="DX200" s="253"/>
      <c r="DY200" s="253"/>
      <c r="DZ200" s="253"/>
      <c r="EA200" s="253"/>
      <c r="EB200" s="253"/>
      <c r="EC200" s="253"/>
      <c r="ED200" s="253"/>
      <c r="EE200" s="253"/>
      <c r="EF200" s="253"/>
      <c r="EG200" s="253"/>
      <c r="EH200" s="253"/>
      <c r="EI200" s="253"/>
      <c r="EJ200" s="253"/>
      <c r="EK200" s="253"/>
      <c r="EL200" s="253"/>
      <c r="EM200" s="253"/>
      <c r="EN200" s="253"/>
      <c r="EO200" s="253"/>
      <c r="EP200" s="253"/>
      <c r="EQ200" s="253"/>
      <c r="ER200" s="253"/>
      <c r="ES200" s="253"/>
      <c r="ET200" s="253"/>
      <c r="EU200" s="253"/>
      <c r="EV200" s="253"/>
      <c r="EW200" s="253"/>
      <c r="EX200" s="253"/>
      <c r="EY200" s="253"/>
      <c r="EZ200" s="253"/>
      <c r="FA200" s="253"/>
      <c r="FB200" s="253"/>
      <c r="FC200" s="253"/>
      <c r="FD200" s="253"/>
      <c r="FE200" s="253"/>
      <c r="FF200" s="253"/>
      <c r="FG200" s="253"/>
      <c r="FH200" s="253"/>
      <c r="FI200" s="253"/>
      <c r="FJ200" s="253"/>
      <c r="FK200" s="253"/>
      <c r="FL200" s="253"/>
      <c r="FM200" s="253"/>
      <c r="FN200" s="253"/>
      <c r="FO200" s="253"/>
      <c r="FP200" s="253"/>
      <c r="FQ200" s="253"/>
      <c r="FR200" s="253"/>
      <c r="FS200" s="253"/>
      <c r="FT200" s="253"/>
      <c r="FU200" s="253"/>
      <c r="FV200" s="253"/>
      <c r="FW200" s="253"/>
      <c r="FX200" s="253"/>
      <c r="FY200" s="253"/>
      <c r="FZ200" s="253"/>
      <c r="GA200" s="253"/>
      <c r="GB200" s="253"/>
      <c r="GC200" s="253"/>
      <c r="GD200" s="253"/>
      <c r="GE200" s="253"/>
      <c r="GF200" s="253"/>
      <c r="GG200" s="253"/>
      <c r="GH200" s="253"/>
      <c r="GI200" s="253"/>
      <c r="GJ200" s="253"/>
      <c r="GK200" s="253"/>
      <c r="GL200" s="253"/>
      <c r="GM200" s="253"/>
      <c r="GN200" s="253"/>
      <c r="GO200" s="253"/>
      <c r="GP200" s="253"/>
      <c r="GQ200" s="253"/>
      <c r="GR200" s="253"/>
      <c r="GS200" s="253"/>
      <c r="GT200" s="253"/>
      <c r="GU200" s="253"/>
      <c r="GV200" s="253"/>
      <c r="GW200" s="253"/>
      <c r="GX200" s="253"/>
      <c r="GY200" s="253"/>
      <c r="GZ200" s="253"/>
      <c r="HA200" s="253"/>
      <c r="HB200" s="253"/>
      <c r="HC200" s="253"/>
      <c r="HD200" s="253"/>
      <c r="HE200" s="253"/>
      <c r="HF200" s="253"/>
      <c r="HG200" s="253"/>
      <c r="HH200" s="253"/>
      <c r="HI200" s="253"/>
      <c r="HJ200" s="253"/>
      <c r="HK200" s="253"/>
      <c r="HL200" s="253"/>
      <c r="HM200" s="253"/>
      <c r="HN200" s="253"/>
      <c r="HO200" s="253"/>
      <c r="HP200" s="253"/>
      <c r="HQ200" s="253"/>
      <c r="HR200" s="253"/>
      <c r="HS200" s="253"/>
      <c r="HT200" s="253"/>
      <c r="HU200" s="253"/>
      <c r="HV200" s="253"/>
      <c r="HW200" s="253"/>
      <c r="HX200" s="253"/>
      <c r="HY200" s="253"/>
      <c r="HZ200" s="253"/>
      <c r="IA200" s="253"/>
      <c r="IB200" s="253"/>
      <c r="IC200" s="253"/>
      <c r="ID200" s="253"/>
      <c r="IE200" s="253"/>
      <c r="IF200" s="253"/>
      <c r="IG200" s="253"/>
      <c r="IH200" s="253"/>
      <c r="II200" s="253"/>
    </row>
    <row r="201" spans="1:243" ht="13.4" customHeight="1">
      <c r="A201" s="249"/>
      <c r="B201" s="254" t="s">
        <v>127</v>
      </c>
      <c r="C201" s="11"/>
      <c r="D201" s="255"/>
      <c r="E201" s="256"/>
      <c r="F201" s="436">
        <f>Assumptions!H40</f>
        <v>30</v>
      </c>
      <c r="K201" s="251"/>
      <c r="L201" s="252"/>
      <c r="M201" s="252"/>
      <c r="N201" s="252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53"/>
      <c r="AT201" s="253"/>
      <c r="AU201" s="253"/>
      <c r="AV201" s="253"/>
      <c r="AW201" s="253"/>
      <c r="AX201" s="253"/>
      <c r="AY201" s="253"/>
      <c r="AZ201" s="253"/>
      <c r="BA201" s="253"/>
      <c r="BB201" s="253"/>
      <c r="BC201" s="253"/>
      <c r="BD201" s="253"/>
      <c r="BE201" s="253"/>
      <c r="BF201" s="253"/>
      <c r="BG201" s="253"/>
      <c r="BH201" s="253"/>
      <c r="BI201" s="253"/>
      <c r="BJ201" s="253"/>
      <c r="BK201" s="253"/>
      <c r="BL201" s="253"/>
      <c r="BM201" s="253"/>
      <c r="BN201" s="253"/>
      <c r="BO201" s="253"/>
      <c r="BP201" s="253"/>
      <c r="BQ201" s="253"/>
      <c r="BR201" s="253"/>
      <c r="BS201" s="253"/>
      <c r="BT201" s="253"/>
      <c r="BU201" s="253"/>
      <c r="BV201" s="253"/>
      <c r="BW201" s="253"/>
      <c r="BX201" s="253"/>
      <c r="BY201" s="253"/>
      <c r="BZ201" s="253"/>
      <c r="CA201" s="253"/>
      <c r="CB201" s="253"/>
      <c r="CC201" s="253"/>
      <c r="CD201" s="253"/>
      <c r="CE201" s="253"/>
      <c r="CF201" s="253"/>
      <c r="CG201" s="253"/>
      <c r="CH201" s="253"/>
      <c r="CI201" s="253"/>
      <c r="CJ201" s="253"/>
      <c r="CK201" s="253"/>
      <c r="CL201" s="253"/>
      <c r="CM201" s="253"/>
      <c r="CN201" s="253"/>
      <c r="CO201" s="253"/>
      <c r="CP201" s="253"/>
      <c r="CQ201" s="253"/>
      <c r="CR201" s="253"/>
      <c r="CS201" s="253"/>
      <c r="CT201" s="253"/>
      <c r="CU201" s="253"/>
      <c r="CV201" s="253"/>
      <c r="CW201" s="253"/>
      <c r="CX201" s="253"/>
      <c r="CY201" s="253"/>
      <c r="CZ201" s="253"/>
      <c r="DA201" s="253"/>
      <c r="DB201" s="253"/>
      <c r="DC201" s="253"/>
      <c r="DD201" s="253"/>
      <c r="DE201" s="253"/>
      <c r="DF201" s="253"/>
      <c r="DG201" s="253"/>
      <c r="DH201" s="253"/>
      <c r="DI201" s="253"/>
      <c r="DJ201" s="253"/>
      <c r="DK201" s="253"/>
      <c r="DL201" s="253"/>
      <c r="DM201" s="253"/>
      <c r="DN201" s="253"/>
      <c r="DO201" s="253"/>
      <c r="DP201" s="253"/>
      <c r="DQ201" s="253"/>
      <c r="DR201" s="253"/>
      <c r="DS201" s="253"/>
      <c r="DT201" s="253"/>
      <c r="DU201" s="253"/>
      <c r="DV201" s="253"/>
      <c r="DW201" s="253"/>
      <c r="DX201" s="253"/>
      <c r="DY201" s="253"/>
      <c r="DZ201" s="253"/>
      <c r="EA201" s="253"/>
      <c r="EB201" s="253"/>
      <c r="EC201" s="253"/>
      <c r="ED201" s="253"/>
      <c r="EE201" s="253"/>
      <c r="EF201" s="253"/>
      <c r="EG201" s="253"/>
      <c r="EH201" s="253"/>
      <c r="EI201" s="253"/>
      <c r="EJ201" s="253"/>
      <c r="EK201" s="253"/>
      <c r="EL201" s="253"/>
      <c r="EM201" s="253"/>
      <c r="EN201" s="253"/>
      <c r="EO201" s="253"/>
      <c r="EP201" s="253"/>
      <c r="EQ201" s="253"/>
      <c r="ER201" s="253"/>
      <c r="ES201" s="253"/>
      <c r="ET201" s="253"/>
      <c r="EU201" s="253"/>
      <c r="EV201" s="253"/>
      <c r="EW201" s="253"/>
      <c r="EX201" s="253"/>
      <c r="EY201" s="253"/>
      <c r="EZ201" s="253"/>
      <c r="FA201" s="253"/>
      <c r="FB201" s="253"/>
      <c r="FC201" s="253"/>
      <c r="FD201" s="253"/>
      <c r="FE201" s="253"/>
      <c r="FF201" s="253"/>
      <c r="FG201" s="253"/>
      <c r="FH201" s="253"/>
      <c r="FI201" s="253"/>
      <c r="FJ201" s="253"/>
      <c r="FK201" s="253"/>
      <c r="FL201" s="253"/>
      <c r="FM201" s="253"/>
      <c r="FN201" s="253"/>
      <c r="FO201" s="253"/>
      <c r="FP201" s="253"/>
      <c r="FQ201" s="253"/>
      <c r="FR201" s="253"/>
      <c r="FS201" s="253"/>
      <c r="FT201" s="253"/>
      <c r="FU201" s="253"/>
      <c r="FV201" s="253"/>
      <c r="FW201" s="253"/>
      <c r="FX201" s="253"/>
      <c r="FY201" s="253"/>
      <c r="FZ201" s="253"/>
      <c r="GA201" s="253"/>
      <c r="GB201" s="253"/>
      <c r="GC201" s="253"/>
      <c r="GD201" s="253"/>
      <c r="GE201" s="253"/>
      <c r="GF201" s="253"/>
      <c r="GG201" s="253"/>
      <c r="GH201" s="253"/>
      <c r="GI201" s="253"/>
      <c r="GJ201" s="253"/>
      <c r="GK201" s="253"/>
      <c r="GL201" s="253"/>
      <c r="GM201" s="253"/>
      <c r="GN201" s="253"/>
      <c r="GO201" s="253"/>
      <c r="GP201" s="253"/>
      <c r="GQ201" s="253"/>
      <c r="GR201" s="253"/>
      <c r="GS201" s="253"/>
      <c r="GT201" s="253"/>
      <c r="GU201" s="253"/>
      <c r="GV201" s="253"/>
      <c r="GW201" s="253"/>
      <c r="GX201" s="253"/>
      <c r="GY201" s="253"/>
      <c r="GZ201" s="253"/>
      <c r="HA201" s="253"/>
      <c r="HB201" s="253"/>
      <c r="HC201" s="253"/>
      <c r="HD201" s="253"/>
      <c r="HE201" s="253"/>
      <c r="HF201" s="253"/>
      <c r="HG201" s="253"/>
      <c r="HH201" s="253"/>
      <c r="HI201" s="253"/>
      <c r="HJ201" s="253"/>
      <c r="HK201" s="253"/>
      <c r="HL201" s="253"/>
      <c r="HM201" s="253"/>
      <c r="HN201" s="253"/>
      <c r="HO201" s="253"/>
      <c r="HP201" s="253"/>
      <c r="HQ201" s="253"/>
      <c r="HR201" s="253"/>
      <c r="HS201" s="253"/>
      <c r="HT201" s="253"/>
      <c r="HU201" s="253"/>
      <c r="HV201" s="253"/>
      <c r="HW201" s="253"/>
      <c r="HX201" s="253"/>
      <c r="HY201" s="253"/>
      <c r="HZ201" s="253"/>
      <c r="IA201" s="253"/>
      <c r="IB201" s="253"/>
      <c r="IC201" s="253"/>
      <c r="ID201" s="253"/>
      <c r="IE201" s="253"/>
      <c r="IF201" s="253"/>
      <c r="IG201" s="253"/>
      <c r="IH201" s="253"/>
      <c r="II201" s="253"/>
    </row>
    <row r="202" spans="1:243" ht="12.75" customHeight="1">
      <c r="F202"/>
      <c r="K202" s="257"/>
    </row>
    <row r="203" spans="1:243">
      <c r="D203" t="s">
        <v>40</v>
      </c>
      <c r="F203"/>
      <c r="H203" s="31"/>
      <c r="I203" s="31"/>
      <c r="J203" s="31"/>
      <c r="K203" s="421">
        <f>$J$164/$F$200</f>
        <v>15.907999999999999</v>
      </c>
      <c r="L203" s="421">
        <f t="shared" ref="L203:O203" si="95">$J$164/$F$200</f>
        <v>15.907999999999999</v>
      </c>
      <c r="M203" s="421">
        <f t="shared" si="95"/>
        <v>15.907999999999999</v>
      </c>
      <c r="N203" s="421">
        <f t="shared" si="95"/>
        <v>15.907999999999999</v>
      </c>
      <c r="O203" s="421">
        <f t="shared" si="95"/>
        <v>15.907999999999999</v>
      </c>
    </row>
    <row r="204" spans="1:243">
      <c r="F204"/>
    </row>
    <row r="205" spans="1:243" ht="13">
      <c r="D205" s="258" t="s">
        <v>52</v>
      </c>
      <c r="F205"/>
      <c r="N205" s="28"/>
    </row>
    <row r="206" spans="1:243">
      <c r="D206" s="284">
        <f>K198</f>
        <v>2023</v>
      </c>
      <c r="E206" s="421">
        <f>-HLOOKUP(D206,K120:O130,ROWS($K$120:$K$130),FALSE)</f>
        <v>16</v>
      </c>
      <c r="F206" s="421"/>
      <c r="H206" s="252"/>
      <c r="I206" s="252"/>
      <c r="J206" s="252"/>
      <c r="K206" s="550">
        <f>IF(K$198&lt;$D206,"-",IF(K$198=$D206,$E206/$F$201/2,MIN($E206/$F$201,$E206-SUM($J206:J206))))</f>
        <v>0.26666666666666666</v>
      </c>
      <c r="L206" s="550">
        <f>IF(L$198&lt;$D206,"-",IF(L$198=$D206,$E206/$F$201/2,MIN($E206/$F$201,$E206-SUM($J206:K206))))</f>
        <v>0.53333333333333333</v>
      </c>
      <c r="M206" s="550">
        <f>IF(M$198&lt;$D206,"-",IF(M$198=$D206,$E206/$F$201/2,MIN($E206/$F$201,$E206-SUM($J206:L206))))</f>
        <v>0.53333333333333333</v>
      </c>
      <c r="N206" s="550">
        <f>IF(N$198&lt;$D206,"-",IF(N$198=$D206,$E206/$F$201/2,MIN($E206/$F$201,$E206-SUM($J206:M206))))</f>
        <v>0.53333333333333333</v>
      </c>
      <c r="O206" s="550">
        <f>IF(O$198&lt;$D206,"-",IF(O$198=$D206,$E206/$F$201/2,MIN($E206/$F$201,$E206-SUM($J206:N206))))</f>
        <v>0.53333333333333333</v>
      </c>
    </row>
    <row r="207" spans="1:243">
      <c r="D207" s="284">
        <f>L198</f>
        <v>2024</v>
      </c>
      <c r="E207" s="421">
        <f>-HLOOKUP(D207,K120:O130,MATCH(D205,C120:C130,0),FALSE)</f>
        <v>17</v>
      </c>
      <c r="F207" s="421"/>
      <c r="H207" s="252"/>
      <c r="I207" s="252"/>
      <c r="J207" s="252"/>
      <c r="K207" s="550" t="str">
        <f>IF(K$198&lt;$D207,"-",IF(K$198=$D207,$E207/$F$201/2,MIN($E207/$F$201,$E207-SUM($J207:J207))))</f>
        <v>-</v>
      </c>
      <c r="L207" s="550">
        <f>IF(L$198&lt;$D207,"-",IF(L$198=$D207,$E207/$F$201/2,MIN($E207/$F$201,$E207-SUM($J207:K207))))</f>
        <v>0.28333333333333333</v>
      </c>
      <c r="M207" s="550">
        <f>IF(M$198&lt;$D207,"-",IF(M$198=$D207,$E207/$F$201/2,MIN($E207/$F$201,$E207-SUM($J207:L207))))</f>
        <v>0.56666666666666665</v>
      </c>
      <c r="N207" s="550">
        <f>IF(N$198&lt;$D207,"-",IF(N$198=$D207,$E207/$F$201/2,MIN($E207/$F$201,$E207-SUM($J207:M207))))</f>
        <v>0.56666666666666665</v>
      </c>
      <c r="O207" s="550">
        <f>IF(O$198&lt;$D207,"-",IF(O$198=$D207,$E207/$F$201/2,MIN($E207/$F$201,$E207-SUM($J207:N207))))</f>
        <v>0.56666666666666665</v>
      </c>
    </row>
    <row r="208" spans="1:243">
      <c r="D208" s="284">
        <f>M198</f>
        <v>2025</v>
      </c>
      <c r="E208" s="421">
        <f>-SUMIF($K$120:$O$120,D208,$K$130:$O$130)</f>
        <v>17.3</v>
      </c>
      <c r="F208" s="421"/>
      <c r="H208" s="148"/>
      <c r="I208" s="148"/>
      <c r="J208" s="148"/>
      <c r="K208" s="550" t="str">
        <f>IF(K$198&lt;$D208,"-",IF(K$198=$D208,$E208/$F$201/2,MIN($E208/$F$201,$E208-SUM($J208:J208))))</f>
        <v>-</v>
      </c>
      <c r="L208" s="550" t="str">
        <f>IF(L$198&lt;$D208,"-",IF(L$198=$D208,$E208/$F$201/2,MIN($E208/$F$201,$E208-SUM($J208:K208))))</f>
        <v>-</v>
      </c>
      <c r="M208" s="550">
        <f>IF(M$198&lt;$D208,"-",IF(M$198=$D208,$E208/$F$201/2,MIN($E208/$F$201,$E208-SUM($J208:L208))))</f>
        <v>0.28833333333333333</v>
      </c>
      <c r="N208" s="550">
        <f>IF(N$198&lt;$D208,"-",IF(N$198=$D208,$E208/$F$201/2,MIN($E208/$F$201,$E208-SUM($J208:M208))))</f>
        <v>0.57666666666666666</v>
      </c>
      <c r="O208" s="550">
        <f>IF(O$198&lt;$D208,"-",IF(O$198=$D208,$E208/$F$201/2,MIN($E208/$F$201,$E208-SUM($J208:N208))))</f>
        <v>0.57666666666666666</v>
      </c>
    </row>
    <row r="209" spans="1:15">
      <c r="D209" s="284">
        <f>N198</f>
        <v>2026</v>
      </c>
      <c r="E209" s="421">
        <f t="shared" ref="E209:E210" si="96">-SUMIF($K$120:$O$120,D209,$K$130:$O$130)</f>
        <v>17.5</v>
      </c>
      <c r="F209" s="421"/>
      <c r="H209" s="148"/>
      <c r="I209" s="148"/>
      <c r="J209" s="148"/>
      <c r="K209" s="550" t="str">
        <f>IF(K$198&lt;$D209,"-",IF(K$198=$D209,$E209/$F$201/2,MIN($E209/$F$201,$E209-SUM($J209:J209))))</f>
        <v>-</v>
      </c>
      <c r="L209" s="550" t="str">
        <f>IF(L$198&lt;$D209,"-",IF(L$198=$D209,$E209/$F$201/2,MIN($E209/$F$201,$E209-SUM($J209:K209))))</f>
        <v>-</v>
      </c>
      <c r="M209" s="550" t="str">
        <f>IF(M$198&lt;$D209,"-",IF(M$198=$D209,$E209/$F$201/2,MIN($E209/$F$201,$E209-SUM($J209:L209))))</f>
        <v>-</v>
      </c>
      <c r="N209" s="550">
        <f>IF(N$198&lt;$D209,"-",IF(N$198=$D209,$E209/$F$201/2,MIN($E209/$F$201,$E209-SUM($J209:M209))))</f>
        <v>0.29166666666666669</v>
      </c>
      <c r="O209" s="550">
        <f>IF(O$198&lt;$D209,"-",IF(O$198=$D209,$E209/$F$201/2,MIN($E209/$F$201,$E209-SUM($J209:N209))))</f>
        <v>0.58333333333333337</v>
      </c>
    </row>
    <row r="210" spans="1:15">
      <c r="D210" s="284">
        <f>O198</f>
        <v>2027</v>
      </c>
      <c r="E210" s="421">
        <f t="shared" si="96"/>
        <v>18</v>
      </c>
      <c r="F210" s="421"/>
      <c r="H210" s="148"/>
      <c r="I210" s="148"/>
      <c r="J210" s="148"/>
      <c r="K210" s="550" t="str">
        <f>IF(K$198&lt;$D210,"-",IF(K$198=$D210,$E210/$F$201/2,MIN($E210/$F$201,$E210-SUM($J210:J210))))</f>
        <v>-</v>
      </c>
      <c r="L210" s="550" t="str">
        <f>IF(L$198&lt;$D210,"-",IF(L$198=$D210,$E210/$F$201/2,MIN($E210/$F$201,$E210-SUM($J210:K210))))</f>
        <v>-</v>
      </c>
      <c r="M210" s="550" t="str">
        <f>IF(M$198&lt;$D210,"-",IF(M$198=$D210,$E210/$F$201/2,MIN($E210/$F$201,$E210-SUM($J210:L210))))</f>
        <v>-</v>
      </c>
      <c r="N210" s="550" t="str">
        <f>IF(N$198&lt;$D210,"-",IF(N$198=$D210,$E210/$F$201/2,MIN($E210/$F$201,$E210-SUM($J210:M210))))</f>
        <v>-</v>
      </c>
      <c r="O210" s="550">
        <f>IF(O$198&lt;$D210,"-",IF(O$198=$D210,$E210/$F$201/2,MIN($E210/$F$201,$E210-SUM($J210:N210))))</f>
        <v>0.3</v>
      </c>
    </row>
    <row r="211" spans="1:15" ht="13" thickBot="1"/>
    <row r="212" spans="1:15" ht="14" thickTop="1" thickBot="1">
      <c r="D212" s="551" t="s">
        <v>41</v>
      </c>
      <c r="E212" s="552"/>
      <c r="F212" s="553"/>
      <c r="G212" s="552"/>
      <c r="H212" s="554"/>
      <c r="I212" s="554"/>
      <c r="J212" s="554"/>
      <c r="K212" s="555">
        <f>SUM(K203:K210)</f>
        <v>16.174666666666667</v>
      </c>
      <c r="L212" s="555">
        <f t="shared" ref="L212:O212" si="97">SUM(L203:L210)</f>
        <v>16.724666666666668</v>
      </c>
      <c r="M212" s="555">
        <f t="shared" si="97"/>
        <v>17.296333333333333</v>
      </c>
      <c r="N212" s="555">
        <f t="shared" si="97"/>
        <v>17.876333333333335</v>
      </c>
      <c r="O212" s="556">
        <f t="shared" si="97"/>
        <v>18.468</v>
      </c>
    </row>
    <row r="213" spans="1:15" ht="13" thickTop="1">
      <c r="B213" s="11"/>
      <c r="C213" s="11"/>
      <c r="D213" s="11"/>
      <c r="E213" s="11"/>
      <c r="F213" s="129"/>
      <c r="G213" s="11"/>
      <c r="H213" s="259"/>
      <c r="I213" s="259"/>
      <c r="J213" s="259"/>
      <c r="K213" s="259"/>
      <c r="L213" s="259"/>
      <c r="M213" s="259"/>
      <c r="N213" s="259"/>
      <c r="O213" s="11"/>
    </row>
    <row r="214" spans="1:15">
      <c r="F214"/>
    </row>
    <row r="215" spans="1:15" ht="12.75" customHeight="1">
      <c r="A215" s="91"/>
      <c r="B215" s="1"/>
      <c r="C215" s="3"/>
      <c r="D215" s="3"/>
      <c r="E215" s="3"/>
      <c r="F215" s="90"/>
      <c r="G215" s="3"/>
      <c r="H215" s="3"/>
      <c r="I215" s="3"/>
      <c r="J215" s="3"/>
      <c r="K215" s="3"/>
      <c r="L215" s="3"/>
      <c r="M215" s="3"/>
      <c r="N215" s="3"/>
      <c r="O215" s="130" t="str">
        <f>$O$2</f>
        <v>CURRENTLY RUNNING: WORST CASE SCENARIO</v>
      </c>
    </row>
    <row r="216" spans="1:15" ht="23">
      <c r="B216" s="1" t="str">
        <f>B$3</f>
        <v>Blu Containers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8">
      <c r="B217" s="93" t="s">
        <v>47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3" customHeight="1" thickBot="1">
      <c r="A218" s="92"/>
      <c r="B218" s="358"/>
      <c r="C218" s="359"/>
      <c r="D218" s="359"/>
      <c r="E218" s="359"/>
      <c r="F218" s="360"/>
      <c r="G218" s="359"/>
      <c r="H218" s="359"/>
      <c r="I218" s="359"/>
      <c r="J218" s="359"/>
      <c r="K218" s="359"/>
      <c r="L218" s="359"/>
      <c r="M218" s="359"/>
      <c r="N218" s="359"/>
      <c r="O218" s="359"/>
    </row>
    <row r="219" spans="1:15" ht="13">
      <c r="B219" s="160" t="s">
        <v>148</v>
      </c>
      <c r="F219"/>
    </row>
    <row r="220" spans="1:15" ht="13">
      <c r="F220"/>
      <c r="H220" s="226"/>
      <c r="I220" s="226"/>
      <c r="J220" s="226"/>
      <c r="K220" s="98" t="s">
        <v>2</v>
      </c>
      <c r="L220" s="20"/>
      <c r="M220" s="20"/>
      <c r="N220" s="20"/>
      <c r="O220" s="20"/>
    </row>
    <row r="221" spans="1:15" ht="13">
      <c r="B221" s="260"/>
      <c r="C221" s="261" t="s">
        <v>86</v>
      </c>
      <c r="D221" s="262"/>
      <c r="E221" s="434">
        <f>Assumptions!N39</f>
        <v>0.35</v>
      </c>
      <c r="F221"/>
      <c r="H221" s="131"/>
      <c r="I221" s="131"/>
      <c r="J221" s="131"/>
      <c r="K221" s="351">
        <f>K$8</f>
        <v>2023</v>
      </c>
      <c r="L221" s="351">
        <f>L$8</f>
        <v>2024</v>
      </c>
      <c r="M221" s="351">
        <f>M$8</f>
        <v>2025</v>
      </c>
      <c r="N221" s="351">
        <f>N$8</f>
        <v>2026</v>
      </c>
      <c r="O221" s="351">
        <f>O$8</f>
        <v>2027</v>
      </c>
    </row>
    <row r="222" spans="1:15" ht="13">
      <c r="B222" s="260"/>
      <c r="C222" s="120"/>
      <c r="E222" s="353"/>
      <c r="F222"/>
      <c r="H222" s="131"/>
      <c r="I222" s="131"/>
      <c r="J222" s="131"/>
      <c r="K222" s="351"/>
      <c r="L222" s="351"/>
      <c r="M222" s="351"/>
      <c r="N222" s="351"/>
      <c r="O222" s="351"/>
    </row>
    <row r="223" spans="1:15">
      <c r="F223"/>
    </row>
    <row r="224" spans="1:15" ht="13">
      <c r="D224" s="100" t="s">
        <v>150</v>
      </c>
      <c r="F224"/>
      <c r="H224" s="263" t="s">
        <v>30</v>
      </c>
      <c r="I224" s="252"/>
      <c r="J224" s="252"/>
      <c r="K224" s="433">
        <f>K99</f>
        <v>32.69332929564824</v>
      </c>
      <c r="L224" s="433">
        <f t="shared" ref="L224:O224" si="98">L99</f>
        <v>5.5664231332219671</v>
      </c>
      <c r="M224" s="433">
        <f t="shared" ca="1" si="98"/>
        <v>39.353136351212278</v>
      </c>
      <c r="N224" s="433">
        <f t="shared" ca="1" si="98"/>
        <v>27.539137536622455</v>
      </c>
      <c r="O224" s="433">
        <f t="shared" ca="1" si="98"/>
        <v>4.1559622044347329</v>
      </c>
    </row>
    <row r="225" spans="1:16" ht="6" customHeight="1">
      <c r="E225" s="84"/>
      <c r="F225" s="84"/>
      <c r="H225" s="170"/>
      <c r="I225" s="170"/>
      <c r="J225" s="170"/>
      <c r="K225" s="170"/>
      <c r="L225" s="170"/>
      <c r="M225" s="170"/>
      <c r="N225" s="170"/>
      <c r="O225" s="170"/>
    </row>
    <row r="226" spans="1:16" ht="14.5">
      <c r="D226" t="s">
        <v>160</v>
      </c>
      <c r="F226"/>
      <c r="K226" s="558">
        <f>Assumptions!J61</f>
        <v>5</v>
      </c>
      <c r="L226" s="558">
        <f>Assumptions!K61</f>
        <v>5</v>
      </c>
      <c r="M226" s="558">
        <f>Assumptions!L61</f>
        <v>5</v>
      </c>
      <c r="N226" s="558">
        <f>Assumptions!M61</f>
        <v>5</v>
      </c>
      <c r="O226" s="558">
        <f>Assumptions!N61</f>
        <v>5</v>
      </c>
    </row>
    <row r="227" spans="1:16" ht="13">
      <c r="D227" s="100" t="s">
        <v>151</v>
      </c>
      <c r="F227" s="84"/>
      <c r="H227" s="263" t="s">
        <v>31</v>
      </c>
      <c r="I227" s="264"/>
      <c r="J227" s="264"/>
      <c r="K227" s="433">
        <f>K224-K226</f>
        <v>27.69332929564824</v>
      </c>
      <c r="L227" s="433">
        <f t="shared" ref="L227:O227" si="99">L224-L226</f>
        <v>0.56642313322196713</v>
      </c>
      <c r="M227" s="433">
        <f t="shared" ca="1" si="99"/>
        <v>34.353136351212278</v>
      </c>
      <c r="N227" s="433">
        <f t="shared" ca="1" si="99"/>
        <v>22.539137536622455</v>
      </c>
      <c r="O227" s="433">
        <f t="shared" ca="1" si="99"/>
        <v>-0.84403779556526715</v>
      </c>
    </row>
    <row r="228" spans="1:16" ht="13">
      <c r="E228" s="120"/>
      <c r="F228"/>
      <c r="H228" s="252"/>
      <c r="I228" s="252"/>
      <c r="J228" s="252"/>
      <c r="K228" s="427"/>
      <c r="L228" s="427"/>
      <c r="M228" s="427"/>
      <c r="N228" s="427"/>
      <c r="O228" s="427"/>
      <c r="P228" s="180"/>
    </row>
    <row r="229" spans="1:16">
      <c r="D229" s="19" t="str">
        <f>CONCATENATE("Accounting Taxes (",$E$221*100,"% of A)")</f>
        <v>Accounting Taxes (35% of A)</v>
      </c>
      <c r="E229" s="84"/>
      <c r="F229" s="170"/>
      <c r="G229" s="170"/>
      <c r="H229" s="252"/>
      <c r="I229" s="252"/>
      <c r="J229" s="252"/>
      <c r="K229" s="427">
        <f>K224*$E$221</f>
        <v>11.442665253476884</v>
      </c>
      <c r="L229" s="427">
        <f t="shared" ref="L229:O229" si="100">L224*$E$221</f>
        <v>1.9482480966276883</v>
      </c>
      <c r="M229" s="427">
        <f t="shared" ca="1" si="100"/>
        <v>13.773597722924297</v>
      </c>
      <c r="N229" s="427">
        <f t="shared" ca="1" si="100"/>
        <v>9.6386981378178582</v>
      </c>
      <c r="O229" s="427">
        <f t="shared" ca="1" si="100"/>
        <v>1.4545867715521563</v>
      </c>
    </row>
    <row r="230" spans="1:16">
      <c r="F230" s="265"/>
      <c r="H230" s="252"/>
      <c r="I230" s="252"/>
      <c r="J230" s="252"/>
      <c r="K230" s="252"/>
      <c r="L230" s="252"/>
      <c r="M230" s="252"/>
      <c r="N230" s="252"/>
      <c r="O230" s="252"/>
    </row>
    <row r="231" spans="1:16" ht="13">
      <c r="D231" s="185" t="s">
        <v>87</v>
      </c>
      <c r="E231" s="266"/>
      <c r="F231" s="267"/>
      <c r="G231" s="267"/>
      <c r="H231" s="267"/>
      <c r="I231" s="267"/>
      <c r="J231" s="267"/>
      <c r="K231" s="267"/>
      <c r="L231" s="267"/>
      <c r="M231" s="267"/>
      <c r="N231" s="267"/>
      <c r="O231" s="428"/>
    </row>
    <row r="232" spans="1:16" ht="13">
      <c r="D232" s="22" t="str">
        <f>CONCATENATE("Current Tax (",$E$221*100,"% of B)")</f>
        <v>Current Tax (35% of B)</v>
      </c>
      <c r="E232" s="84"/>
      <c r="F232" s="170"/>
      <c r="G232" s="268"/>
      <c r="H232" s="252"/>
      <c r="I232" s="252"/>
      <c r="J232" s="252"/>
      <c r="K232" s="427">
        <f>K227*$E$221</f>
        <v>9.6926652534768838</v>
      </c>
      <c r="L232" s="427">
        <f t="shared" ref="L232:O232" si="101">L227*$E$221</f>
        <v>0.1982480966276885</v>
      </c>
      <c r="M232" s="427">
        <f t="shared" ca="1" si="101"/>
        <v>12.023597722924297</v>
      </c>
      <c r="N232" s="427">
        <f t="shared" ca="1" si="101"/>
        <v>7.8886981378178591</v>
      </c>
      <c r="O232" s="429">
        <f t="shared" ca="1" si="101"/>
        <v>-0.29541322844784346</v>
      </c>
    </row>
    <row r="233" spans="1:16">
      <c r="D233" s="6" t="s">
        <v>133</v>
      </c>
      <c r="E233" s="84"/>
      <c r="F233" s="170"/>
      <c r="G233" s="170"/>
      <c r="H233" s="252"/>
      <c r="I233" s="252"/>
      <c r="J233" s="252"/>
      <c r="K233" s="430">
        <f>K229-K232</f>
        <v>1.75</v>
      </c>
      <c r="L233" s="430">
        <f t="shared" ref="L233:O233" si="102">L229-L232</f>
        <v>1.7499999999999998</v>
      </c>
      <c r="M233" s="430">
        <f t="shared" ca="1" si="102"/>
        <v>1.75</v>
      </c>
      <c r="N233" s="430">
        <f t="shared" ca="1" si="102"/>
        <v>1.7499999999999991</v>
      </c>
      <c r="O233" s="431">
        <f t="shared" ca="1" si="102"/>
        <v>1.7499999999999998</v>
      </c>
    </row>
    <row r="234" spans="1:16" ht="13">
      <c r="D234" s="269" t="s">
        <v>88</v>
      </c>
      <c r="E234" s="270"/>
      <c r="F234" s="271"/>
      <c r="G234" s="271"/>
      <c r="H234" s="272"/>
      <c r="I234" s="272"/>
      <c r="J234" s="272"/>
      <c r="K234" s="432">
        <f>SUM(K232:K233)</f>
        <v>11.442665253476884</v>
      </c>
      <c r="L234" s="432">
        <f t="shared" ref="L234:O234" si="103">SUM(L232:L233)</f>
        <v>1.9482480966276883</v>
      </c>
      <c r="M234" s="432">
        <f t="shared" ca="1" si="103"/>
        <v>13.773597722924297</v>
      </c>
      <c r="N234" s="432">
        <f t="shared" ca="1" si="103"/>
        <v>9.6386981378178582</v>
      </c>
      <c r="O234" s="590">
        <f t="shared" ca="1" si="103"/>
        <v>1.4545867715521563</v>
      </c>
    </row>
    <row r="235" spans="1:16">
      <c r="E235" s="8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</row>
    <row r="236" spans="1:16" ht="13">
      <c r="C236" s="273" t="s">
        <v>152</v>
      </c>
      <c r="E236" s="8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</row>
    <row r="237" spans="1:16" ht="6" customHeight="1">
      <c r="B237" s="11"/>
      <c r="C237" s="11"/>
      <c r="D237" s="11"/>
      <c r="E237" s="274"/>
      <c r="F237" s="274"/>
      <c r="G237" s="275"/>
      <c r="H237" s="275"/>
      <c r="I237" s="275"/>
      <c r="J237" s="275"/>
      <c r="K237" s="275"/>
      <c r="L237" s="275"/>
      <c r="M237" s="275"/>
      <c r="N237" s="275"/>
      <c r="O237" s="11"/>
    </row>
    <row r="239" spans="1:16" ht="12.75" customHeight="1">
      <c r="A239" s="91"/>
      <c r="B239" s="1"/>
      <c r="C239" s="3"/>
      <c r="D239" s="3"/>
      <c r="E239" s="3"/>
      <c r="F239" s="90"/>
      <c r="G239" s="3"/>
      <c r="H239" s="3"/>
      <c r="I239" s="3"/>
      <c r="J239" s="3"/>
      <c r="K239" s="3"/>
      <c r="L239" s="3"/>
      <c r="M239" s="3"/>
      <c r="N239" s="3"/>
      <c r="O239" s="130" t="str">
        <f>$O$2</f>
        <v>CURRENTLY RUNNING: WORST CASE SCENARIO</v>
      </c>
    </row>
    <row r="240" spans="1:16" ht="23">
      <c r="B240" s="1" t="str">
        <f>B$3</f>
        <v>Blu Containers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8">
      <c r="B241" s="93" t="s">
        <v>48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3" customHeight="1" thickBot="1">
      <c r="A242" s="92"/>
      <c r="B242" s="358"/>
      <c r="C242" s="359"/>
      <c r="D242" s="359"/>
      <c r="E242" s="359"/>
      <c r="F242" s="360"/>
      <c r="G242" s="359"/>
      <c r="H242" s="359"/>
      <c r="I242" s="359"/>
      <c r="J242" s="359"/>
      <c r="K242" s="359"/>
      <c r="L242" s="359"/>
      <c r="M242" s="359"/>
      <c r="N242" s="359"/>
      <c r="O242" s="359"/>
    </row>
    <row r="243" spans="1:15" ht="13">
      <c r="B243" s="160" t="s">
        <v>148</v>
      </c>
      <c r="F243"/>
      <c r="O243" s="19"/>
    </row>
    <row r="244" spans="1:15" ht="13">
      <c r="F244"/>
      <c r="H244" s="3"/>
      <c r="I244" s="3"/>
      <c r="J244" s="3"/>
      <c r="K244" s="98" t="s">
        <v>2</v>
      </c>
      <c r="L244" s="20"/>
      <c r="M244" s="20"/>
      <c r="N244" s="20"/>
      <c r="O244" s="20"/>
    </row>
    <row r="245" spans="1:15" ht="12" customHeight="1">
      <c r="F245"/>
      <c r="G245" s="198"/>
      <c r="H245" s="349">
        <f t="shared" ref="H245:J245" si="104">H$8</f>
        <v>2020</v>
      </c>
      <c r="I245" s="349">
        <f t="shared" si="104"/>
        <v>2021</v>
      </c>
      <c r="J245" s="349">
        <f t="shared" si="104"/>
        <v>2022</v>
      </c>
      <c r="K245" s="351">
        <f>K$8</f>
        <v>2023</v>
      </c>
      <c r="L245" s="351">
        <f>L$8</f>
        <v>2024</v>
      </c>
      <c r="M245" s="351">
        <f>M$8</f>
        <v>2025</v>
      </c>
      <c r="N245" s="351">
        <f>N$8</f>
        <v>2026</v>
      </c>
      <c r="O245" s="351">
        <f>O$8</f>
        <v>2027</v>
      </c>
    </row>
    <row r="246" spans="1:15" ht="12" customHeight="1">
      <c r="F246"/>
    </row>
    <row r="247" spans="1:15">
      <c r="B247" s="163" t="s">
        <v>97</v>
      </c>
      <c r="C247" s="164"/>
      <c r="D247" s="164"/>
      <c r="E247" s="164"/>
      <c r="F247" s="276" t="s">
        <v>59</v>
      </c>
      <c r="G247" s="164"/>
      <c r="H247" s="164"/>
      <c r="I247" s="425">
        <f>DATE(I245,12,31)-DATE(H245,12,31)</f>
        <v>365</v>
      </c>
      <c r="J247" s="425">
        <f t="shared" ref="J247:O247" si="105">DATE(J245,12,31)-DATE(I245,12,31)</f>
        <v>365</v>
      </c>
      <c r="K247" s="425">
        <f t="shared" si="105"/>
        <v>365</v>
      </c>
      <c r="L247" s="425">
        <f t="shared" si="105"/>
        <v>366</v>
      </c>
      <c r="M247" s="425">
        <f t="shared" si="105"/>
        <v>365</v>
      </c>
      <c r="N247" s="425">
        <f t="shared" si="105"/>
        <v>365</v>
      </c>
      <c r="O247" s="425">
        <f t="shared" si="105"/>
        <v>365</v>
      </c>
    </row>
    <row r="248" spans="1:15">
      <c r="F248" s="101"/>
    </row>
    <row r="249" spans="1:15" ht="13">
      <c r="A249" s="567"/>
      <c r="B249" s="120" t="s">
        <v>128</v>
      </c>
      <c r="F249" s="101"/>
    </row>
    <row r="250" spans="1:15">
      <c r="A250" s="568"/>
      <c r="C250" t="s">
        <v>3</v>
      </c>
      <c r="F250" s="101" t="s">
        <v>188</v>
      </c>
      <c r="H250" s="127"/>
      <c r="I250" s="127">
        <f t="shared" ref="I250:O250" si="106">I86</f>
        <v>236.60000000000002</v>
      </c>
      <c r="J250" s="127">
        <f t="shared" si="106"/>
        <v>204.79999999999998</v>
      </c>
      <c r="K250" s="127">
        <f t="shared" si="106"/>
        <v>238.46934051144007</v>
      </c>
      <c r="L250" s="127">
        <f t="shared" si="106"/>
        <v>219.12455890174965</v>
      </c>
      <c r="M250" s="127">
        <f t="shared" ca="1" si="106"/>
        <v>261.28551753290424</v>
      </c>
      <c r="N250" s="127">
        <f t="shared" ca="1" si="106"/>
        <v>257.23639104350485</v>
      </c>
      <c r="O250" s="127">
        <f t="shared" ca="1" si="106"/>
        <v>241.92495353143494</v>
      </c>
    </row>
    <row r="251" spans="1:15">
      <c r="A251" s="568"/>
      <c r="C251" t="s">
        <v>190</v>
      </c>
      <c r="F251" s="101" t="s">
        <v>188</v>
      </c>
      <c r="H251" s="180"/>
      <c r="I251" s="180">
        <f t="shared" ref="I251:O251" si="107">I88</f>
        <v>164.6</v>
      </c>
      <c r="J251" s="180">
        <f t="shared" si="107"/>
        <v>167.9</v>
      </c>
      <c r="K251" s="180">
        <f t="shared" si="107"/>
        <v>173.70434454912515</v>
      </c>
      <c r="L251" s="180">
        <f t="shared" si="107"/>
        <v>181.98059052016151</v>
      </c>
      <c r="M251" s="180">
        <f t="shared" ca="1" si="107"/>
        <v>190.31972531813204</v>
      </c>
      <c r="N251" s="180">
        <f t="shared" ca="1" si="107"/>
        <v>198.67136481111572</v>
      </c>
      <c r="O251" s="180">
        <f t="shared" ca="1" si="107"/>
        <v>206.98331738281769</v>
      </c>
    </row>
    <row r="252" spans="1:15">
      <c r="A252" s="568"/>
      <c r="F252" s="101"/>
    </row>
    <row r="253" spans="1:15" ht="13">
      <c r="A253" s="567"/>
      <c r="B253" s="277" t="s">
        <v>27</v>
      </c>
      <c r="C253" s="278"/>
      <c r="F253" s="101"/>
    </row>
    <row r="254" spans="1:15">
      <c r="A254" s="568"/>
      <c r="B254" s="279"/>
      <c r="C254" t="s">
        <v>14</v>
      </c>
      <c r="F254" s="101" t="s">
        <v>59</v>
      </c>
      <c r="G254" s="280"/>
      <c r="H254" s="281"/>
      <c r="I254" s="127">
        <f>I262/I250*I247</f>
        <v>42.886728655959423</v>
      </c>
      <c r="J254" s="127">
        <f>J262/J250*J247</f>
        <v>50.437011718750007</v>
      </c>
      <c r="K254" s="426">
        <f>Assumptions!J64</f>
        <v>48</v>
      </c>
      <c r="L254" s="426">
        <f>Assumptions!K64</f>
        <v>44</v>
      </c>
      <c r="M254" s="426">
        <f>Assumptions!L64</f>
        <v>40</v>
      </c>
      <c r="N254" s="426">
        <f>Assumptions!M64</f>
        <v>40</v>
      </c>
      <c r="O254" s="426">
        <f>Assumptions!N64</f>
        <v>40</v>
      </c>
    </row>
    <row r="255" spans="1:15">
      <c r="A255" s="568"/>
      <c r="B255" s="279"/>
      <c r="C255" t="s">
        <v>15</v>
      </c>
      <c r="F255" s="101" t="s">
        <v>59</v>
      </c>
      <c r="G255" s="280"/>
      <c r="H255" s="281"/>
      <c r="I255" s="127">
        <f>I263/I$251*I$247</f>
        <v>80.051640340218725</v>
      </c>
      <c r="J255" s="127">
        <f>J263/J$251*J$247</f>
        <v>76.304347826086953</v>
      </c>
      <c r="K255" s="426">
        <f>Assumptions!J65</f>
        <v>70</v>
      </c>
      <c r="L255" s="426">
        <f>Assumptions!K65</f>
        <v>65</v>
      </c>
      <c r="M255" s="426">
        <f>Assumptions!L65</f>
        <v>60</v>
      </c>
      <c r="N255" s="426">
        <f>Assumptions!M65</f>
        <v>60</v>
      </c>
      <c r="O255" s="426">
        <f>Assumptions!N65</f>
        <v>55</v>
      </c>
    </row>
    <row r="256" spans="1:15">
      <c r="A256" s="568"/>
      <c r="B256" s="279"/>
      <c r="C256" t="s">
        <v>143</v>
      </c>
      <c r="F256" s="101" t="s">
        <v>59</v>
      </c>
      <c r="G256" s="282"/>
      <c r="H256" s="283"/>
      <c r="I256" s="127">
        <f t="shared" ref="I256:J256" si="108">I264/I$251*I$247</f>
        <v>31.93195625759417</v>
      </c>
      <c r="J256" s="127">
        <f t="shared" si="108"/>
        <v>32.391304347826086</v>
      </c>
      <c r="K256" s="426">
        <f>Assumptions!J66</f>
        <v>30</v>
      </c>
      <c r="L256" s="426">
        <f>Assumptions!K66</f>
        <v>30</v>
      </c>
      <c r="M256" s="426">
        <f>Assumptions!L66</f>
        <v>30</v>
      </c>
      <c r="N256" s="426">
        <f>Assumptions!M66</f>
        <v>30</v>
      </c>
      <c r="O256" s="426">
        <f>Assumptions!N66</f>
        <v>30</v>
      </c>
    </row>
    <row r="257" spans="1:15">
      <c r="A257" s="568"/>
      <c r="B257" s="279"/>
      <c r="C257" s="19" t="s">
        <v>10</v>
      </c>
      <c r="F257" s="101" t="s">
        <v>59</v>
      </c>
      <c r="G257" s="282"/>
      <c r="H257" s="283"/>
      <c r="I257" s="127">
        <f t="shared" ref="I257:J257" si="109">I265/I$251*I$247</f>
        <v>3.9914945321992712</v>
      </c>
      <c r="J257" s="127">
        <f t="shared" si="109"/>
        <v>2.6086956521739131</v>
      </c>
      <c r="K257" s="426">
        <f>Assumptions!J67</f>
        <v>3</v>
      </c>
      <c r="L257" s="426">
        <f>Assumptions!K67</f>
        <v>3</v>
      </c>
      <c r="M257" s="426">
        <f>Assumptions!L67</f>
        <v>3</v>
      </c>
      <c r="N257" s="426">
        <f>Assumptions!M67</f>
        <v>3</v>
      </c>
      <c r="O257" s="426">
        <f>Assumptions!N67</f>
        <v>3</v>
      </c>
    </row>
    <row r="258" spans="1:15">
      <c r="A258" s="568"/>
      <c r="B258" s="279"/>
      <c r="C258" s="19" t="s">
        <v>20</v>
      </c>
      <c r="F258" s="101" t="s">
        <v>59</v>
      </c>
      <c r="G258" s="282"/>
      <c r="H258" s="283"/>
      <c r="I258" s="127">
        <f t="shared" ref="I258:J258" si="110">I266/I$251*I$247</f>
        <v>41.467193195625768</v>
      </c>
      <c r="J258" s="127">
        <f t="shared" si="110"/>
        <v>39.565217391304344</v>
      </c>
      <c r="K258" s="426">
        <f>Assumptions!J68</f>
        <v>40</v>
      </c>
      <c r="L258" s="426">
        <f>Assumptions!K68</f>
        <v>40</v>
      </c>
      <c r="M258" s="426">
        <f>Assumptions!L68</f>
        <v>40</v>
      </c>
      <c r="N258" s="426">
        <f>Assumptions!M68</f>
        <v>40</v>
      </c>
      <c r="O258" s="426">
        <f>Assumptions!N68</f>
        <v>40</v>
      </c>
    </row>
    <row r="259" spans="1:15">
      <c r="A259" s="568"/>
      <c r="B259" s="279"/>
      <c r="C259" s="19" t="s">
        <v>10</v>
      </c>
      <c r="F259" s="101" t="s">
        <v>59</v>
      </c>
      <c r="G259" s="282"/>
      <c r="H259" s="283"/>
      <c r="I259" s="127">
        <f t="shared" ref="I259:J259" si="111">I267/I$251*I$247</f>
        <v>10.865735115431351</v>
      </c>
      <c r="J259" s="127">
        <f t="shared" si="111"/>
        <v>10.434782608695652</v>
      </c>
      <c r="K259" s="426">
        <f>Assumptions!J69</f>
        <v>10</v>
      </c>
      <c r="L259" s="426">
        <f>Assumptions!K69</f>
        <v>10</v>
      </c>
      <c r="M259" s="426">
        <f>Assumptions!L69</f>
        <v>10</v>
      </c>
      <c r="N259" s="426">
        <f>Assumptions!M69</f>
        <v>10</v>
      </c>
      <c r="O259" s="426">
        <f>Assumptions!N69</f>
        <v>10</v>
      </c>
    </row>
    <row r="260" spans="1:15">
      <c r="A260" s="568"/>
      <c r="B260" s="279"/>
      <c r="C260" s="278"/>
      <c r="F260" s="101"/>
      <c r="H260" s="284"/>
      <c r="I260" s="284"/>
      <c r="J260" s="284"/>
      <c r="K260" s="284"/>
      <c r="L260" s="284"/>
      <c r="M260" s="284"/>
      <c r="N260" s="284"/>
      <c r="O260" s="284"/>
    </row>
    <row r="261" spans="1:15" ht="13">
      <c r="A261" s="567"/>
      <c r="B261" s="277" t="s">
        <v>28</v>
      </c>
      <c r="C261" s="278"/>
      <c r="F261" s="101"/>
      <c r="H261" s="284"/>
      <c r="I261" s="284"/>
      <c r="J261" s="284"/>
      <c r="K261" s="284"/>
      <c r="L261" s="284"/>
      <c r="M261" s="284"/>
      <c r="N261" s="284"/>
      <c r="O261" s="284"/>
    </row>
    <row r="262" spans="1:15">
      <c r="B262" s="279"/>
      <c r="C262" t="s">
        <v>14</v>
      </c>
      <c r="F262" s="101" t="s">
        <v>188</v>
      </c>
      <c r="H262" s="180"/>
      <c r="I262" s="180">
        <f t="shared" ref="I262:J262" si="112">I158</f>
        <v>27.8</v>
      </c>
      <c r="J262" s="180">
        <f t="shared" si="112"/>
        <v>28.3</v>
      </c>
      <c r="K262" s="180">
        <f>K250/K247*K254</f>
        <v>31.360351628901707</v>
      </c>
      <c r="L262" s="180">
        <f t="shared" ref="L262:O262" si="113">L250/L247*L254</f>
        <v>26.342843146658431</v>
      </c>
      <c r="M262" s="180">
        <f t="shared" ca="1" si="113"/>
        <v>28.63402931867444</v>
      </c>
      <c r="N262" s="180">
        <f t="shared" ca="1" si="113"/>
        <v>28.190289429425192</v>
      </c>
      <c r="O262" s="180">
        <f t="shared" ca="1" si="113"/>
        <v>26.512323674677802</v>
      </c>
    </row>
    <row r="263" spans="1:15">
      <c r="B263" s="279"/>
      <c r="C263" t="s">
        <v>15</v>
      </c>
      <c r="F263" s="101" t="s">
        <v>188</v>
      </c>
      <c r="H263" s="180"/>
      <c r="I263" s="180">
        <f t="shared" ref="I263:J265" si="114">I159</f>
        <v>36.1</v>
      </c>
      <c r="J263" s="180">
        <f t="shared" si="114"/>
        <v>35.1</v>
      </c>
      <c r="K263" s="180">
        <f>K$251/K$247*K255</f>
        <v>33.313161968325367</v>
      </c>
      <c r="L263" s="180">
        <f t="shared" ref="L263:O263" si="115">L$251/L$247*L255</f>
        <v>32.318957332815572</v>
      </c>
      <c r="M263" s="180">
        <f t="shared" ca="1" si="115"/>
        <v>31.285434298871017</v>
      </c>
      <c r="N263" s="180">
        <f t="shared" ca="1" si="115"/>
        <v>32.658306544292998</v>
      </c>
      <c r="O263" s="180">
        <f t="shared" ca="1" si="115"/>
        <v>31.18926700289034</v>
      </c>
    </row>
    <row r="264" spans="1:15">
      <c r="B264" s="279"/>
      <c r="C264" t="s">
        <v>143</v>
      </c>
      <c r="F264" s="101" t="s">
        <v>188</v>
      </c>
      <c r="H264" s="180"/>
      <c r="I264" s="180">
        <f t="shared" si="114"/>
        <v>14.4</v>
      </c>
      <c r="J264" s="180">
        <f t="shared" si="114"/>
        <v>14.9</v>
      </c>
      <c r="K264" s="180">
        <f t="shared" ref="K264:O267" si="116">K$251/K$247*K256</f>
        <v>14.277069414996587</v>
      </c>
      <c r="L264" s="180">
        <f t="shared" si="116"/>
        <v>14.916441845914878</v>
      </c>
      <c r="M264" s="180">
        <f t="shared" ca="1" si="116"/>
        <v>15.642717149435509</v>
      </c>
      <c r="N264" s="180">
        <f t="shared" ca="1" si="116"/>
        <v>16.329153272146499</v>
      </c>
      <c r="O264" s="180">
        <f t="shared" ca="1" si="116"/>
        <v>17.012327456122001</v>
      </c>
    </row>
    <row r="265" spans="1:15">
      <c r="B265" s="279"/>
      <c r="C265" s="19" t="s">
        <v>10</v>
      </c>
      <c r="F265" s="101" t="s">
        <v>188</v>
      </c>
      <c r="H265" s="180"/>
      <c r="I265" s="180">
        <f t="shared" si="114"/>
        <v>1.8</v>
      </c>
      <c r="J265" s="180">
        <f t="shared" si="114"/>
        <v>1.2</v>
      </c>
      <c r="K265" s="180">
        <f t="shared" si="116"/>
        <v>1.4277069414996588</v>
      </c>
      <c r="L265" s="180">
        <f t="shared" si="116"/>
        <v>1.4916441845914878</v>
      </c>
      <c r="M265" s="180">
        <f t="shared" ca="1" si="116"/>
        <v>1.5642717149435508</v>
      </c>
      <c r="N265" s="180">
        <f t="shared" ca="1" si="116"/>
        <v>1.6329153272146497</v>
      </c>
      <c r="O265" s="180">
        <f t="shared" ca="1" si="116"/>
        <v>1.7012327456122003</v>
      </c>
    </row>
    <row r="266" spans="1:15">
      <c r="B266" s="279"/>
      <c r="C266" s="19" t="s">
        <v>20</v>
      </c>
      <c r="F266" s="101" t="s">
        <v>188</v>
      </c>
      <c r="H266" s="180"/>
      <c r="I266" s="180">
        <f t="shared" ref="I266:J266" si="117">I173</f>
        <v>18.700000000000003</v>
      </c>
      <c r="J266" s="180">
        <f t="shared" si="117"/>
        <v>18.2</v>
      </c>
      <c r="K266" s="180">
        <f t="shared" si="116"/>
        <v>19.036092553328782</v>
      </c>
      <c r="L266" s="180">
        <f t="shared" si="116"/>
        <v>19.888589127886505</v>
      </c>
      <c r="M266" s="180">
        <f t="shared" ca="1" si="116"/>
        <v>20.856956199247346</v>
      </c>
      <c r="N266" s="180">
        <f t="shared" ca="1" si="116"/>
        <v>21.772204362861999</v>
      </c>
      <c r="O266" s="180">
        <f t="shared" ca="1" si="116"/>
        <v>22.683103274829335</v>
      </c>
    </row>
    <row r="267" spans="1:15">
      <c r="B267" s="279"/>
      <c r="C267" s="19" t="s">
        <v>10</v>
      </c>
      <c r="F267" s="101" t="s">
        <v>188</v>
      </c>
      <c r="H267" s="180"/>
      <c r="I267" s="180">
        <f t="shared" ref="I267:J267" si="118">I174</f>
        <v>4.9000000000000004</v>
      </c>
      <c r="J267" s="180">
        <f t="shared" si="118"/>
        <v>4.8</v>
      </c>
      <c r="K267" s="180">
        <f t="shared" si="116"/>
        <v>4.7590231383321955</v>
      </c>
      <c r="L267" s="180">
        <f t="shared" si="116"/>
        <v>4.9721472819716261</v>
      </c>
      <c r="M267" s="180">
        <f t="shared" ca="1" si="116"/>
        <v>5.2142390498118365</v>
      </c>
      <c r="N267" s="180">
        <f t="shared" ca="1" si="116"/>
        <v>5.4430510907154996</v>
      </c>
      <c r="O267" s="180">
        <f t="shared" ca="1" si="116"/>
        <v>5.6707758187073338</v>
      </c>
    </row>
    <row r="268" spans="1:15" ht="13">
      <c r="B268" s="279"/>
      <c r="C268" s="285" t="s">
        <v>29</v>
      </c>
      <c r="D268" s="120"/>
      <c r="E268" s="120"/>
      <c r="F268" s="121"/>
      <c r="I268" s="564">
        <f>SUM(I262:I265)-SUM(I266:I267)</f>
        <v>56.500000000000007</v>
      </c>
      <c r="J268" s="564">
        <f t="shared" ref="J268:O268" si="119">SUM(J262:J265)-SUM(J266:J267)</f>
        <v>56.500000000000014</v>
      </c>
      <c r="K268" s="564">
        <f t="shared" si="119"/>
        <v>56.583174262062343</v>
      </c>
      <c r="L268" s="564">
        <f t="shared" si="119"/>
        <v>50.209150100122244</v>
      </c>
      <c r="M268" s="564">
        <f t="shared" ca="1" si="119"/>
        <v>51.05525723286533</v>
      </c>
      <c r="N268" s="564">
        <f t="shared" ca="1" si="119"/>
        <v>51.595409119501838</v>
      </c>
      <c r="O268" s="564">
        <f t="shared" ca="1" si="119"/>
        <v>48.061271785765676</v>
      </c>
    </row>
    <row r="269" spans="1:15">
      <c r="B269" s="279"/>
      <c r="C269" s="278"/>
      <c r="F269" s="101"/>
      <c r="H269" s="284"/>
      <c r="I269" s="284"/>
      <c r="J269" s="565"/>
      <c r="K269" s="565"/>
      <c r="L269" s="565"/>
      <c r="M269" s="565"/>
      <c r="N269" s="565"/>
      <c r="O269" s="565"/>
    </row>
    <row r="270" spans="1:15" ht="13.5" thickBot="1">
      <c r="B270" s="285" t="s">
        <v>104</v>
      </c>
      <c r="C270" s="279"/>
      <c r="F270" s="121"/>
      <c r="H270" s="284"/>
      <c r="I270" s="284"/>
      <c r="J270" s="566">
        <f>I268-J268</f>
        <v>0</v>
      </c>
      <c r="K270" s="566">
        <f t="shared" ref="K270:O270" si="120">J268-K268</f>
        <v>-8.3174262062328808E-2</v>
      </c>
      <c r="L270" s="566">
        <f t="shared" si="120"/>
        <v>6.374024161940099</v>
      </c>
      <c r="M270" s="566">
        <f t="shared" ca="1" si="120"/>
        <v>-0.8461071327430858</v>
      </c>
      <c r="N270" s="566">
        <f t="shared" ca="1" si="120"/>
        <v>-0.54015188663650804</v>
      </c>
      <c r="O270" s="566">
        <f t="shared" ca="1" si="120"/>
        <v>3.5341373337361617</v>
      </c>
    </row>
    <row r="271" spans="1:15" ht="13" thickTop="1">
      <c r="B271" s="11"/>
      <c r="C271" s="28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3" spans="1:15" ht="12.75" customHeight="1">
      <c r="A273" s="91"/>
      <c r="B273" s="1"/>
      <c r="C273" s="3"/>
      <c r="D273" s="3"/>
      <c r="E273" s="3"/>
      <c r="F273" s="90"/>
      <c r="G273" s="3"/>
      <c r="H273" s="3"/>
      <c r="I273" s="3"/>
      <c r="J273" s="3"/>
      <c r="K273" s="3"/>
      <c r="L273" s="3"/>
      <c r="M273" s="3"/>
      <c r="N273" s="3"/>
      <c r="O273" s="130" t="str">
        <f>$O$2</f>
        <v>CURRENTLY RUNNING: WORST CASE SCENARIO</v>
      </c>
    </row>
    <row r="274" spans="1:15" ht="23">
      <c r="B274" s="1" t="str">
        <f>B$3</f>
        <v>Blu Containers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8">
      <c r="B275" s="93" t="s">
        <v>61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3" customHeight="1" thickBot="1">
      <c r="A276" s="92"/>
      <c r="B276" s="358"/>
      <c r="C276" s="359"/>
      <c r="D276" s="359"/>
      <c r="E276" s="359"/>
      <c r="F276" s="360"/>
      <c r="G276" s="359"/>
      <c r="H276" s="359"/>
      <c r="I276" s="359"/>
      <c r="J276" s="359"/>
      <c r="K276" s="359"/>
      <c r="L276" s="359"/>
      <c r="M276" s="359"/>
      <c r="N276" s="359"/>
      <c r="O276" s="359"/>
    </row>
    <row r="277" spans="1:15" ht="13">
      <c r="B277" s="160" t="s">
        <v>148</v>
      </c>
      <c r="F277"/>
      <c r="O277" s="19"/>
    </row>
    <row r="278" spans="1:15" ht="13">
      <c r="F278"/>
      <c r="H278" s="3"/>
      <c r="I278" s="3"/>
      <c r="J278" s="3"/>
      <c r="K278" s="98" t="s">
        <v>2</v>
      </c>
      <c r="L278" s="20"/>
      <c r="M278" s="20"/>
      <c r="N278" s="20"/>
      <c r="O278" s="20"/>
    </row>
    <row r="279" spans="1:15" ht="13">
      <c r="F279"/>
      <c r="G279" s="198"/>
      <c r="H279" s="287"/>
      <c r="I279" s="287"/>
      <c r="J279" s="349">
        <f t="shared" ref="J279:O279" si="121">J$8</f>
        <v>2022</v>
      </c>
      <c r="K279" s="351">
        <f t="shared" si="121"/>
        <v>2023</v>
      </c>
      <c r="L279" s="351">
        <f t="shared" si="121"/>
        <v>2024</v>
      </c>
      <c r="M279" s="351">
        <f t="shared" si="121"/>
        <v>2025</v>
      </c>
      <c r="N279" s="351">
        <f t="shared" si="121"/>
        <v>2026</v>
      </c>
      <c r="O279" s="351">
        <f t="shared" si="121"/>
        <v>2027</v>
      </c>
    </row>
    <row r="280" spans="1:15" ht="6" customHeight="1"/>
    <row r="281" spans="1:15" ht="13">
      <c r="B281" s="120" t="s">
        <v>116</v>
      </c>
      <c r="K281" s="288"/>
      <c r="L281" s="288"/>
      <c r="M281" s="288"/>
      <c r="N281" s="288"/>
      <c r="O281" s="288"/>
    </row>
    <row r="282" spans="1:15" ht="6" customHeight="1"/>
    <row r="283" spans="1:15" ht="13">
      <c r="C283" s="120" t="s">
        <v>13</v>
      </c>
    </row>
    <row r="284" spans="1:15">
      <c r="D284" t="s">
        <v>191</v>
      </c>
      <c r="K284" s="180">
        <f>J286</f>
        <v>0.3</v>
      </c>
      <c r="L284" s="180">
        <f t="shared" ref="L284:O284" si="122">K286</f>
        <v>-4.2743586448068527E-15</v>
      </c>
      <c r="M284" s="180">
        <f t="shared" si="122"/>
        <v>-4.2743586448068527E-15</v>
      </c>
      <c r="N284" s="180">
        <f t="shared" ca="1" si="122"/>
        <v>-4.2743586448068527E-15</v>
      </c>
      <c r="O284" s="180">
        <f t="shared" ca="1" si="122"/>
        <v>-4.2743586448068527E-15</v>
      </c>
    </row>
    <row r="285" spans="1:15">
      <c r="D285" t="s">
        <v>192</v>
      </c>
      <c r="J285" s="11"/>
      <c r="K285" s="572">
        <f>K143</f>
        <v>-0.30000000000000426</v>
      </c>
      <c r="L285" s="572">
        <f t="shared" ref="L285:O285" si="123">L143</f>
        <v>0</v>
      </c>
      <c r="M285" s="572">
        <f t="shared" ca="1" si="123"/>
        <v>0</v>
      </c>
      <c r="N285" s="572">
        <f t="shared" ca="1" si="123"/>
        <v>0</v>
      </c>
      <c r="O285" s="572">
        <f t="shared" ca="1" si="123"/>
        <v>0</v>
      </c>
    </row>
    <row r="286" spans="1:15">
      <c r="D286" t="s">
        <v>63</v>
      </c>
      <c r="I286" s="423"/>
      <c r="J286" s="421">
        <f>J157</f>
        <v>0.3</v>
      </c>
      <c r="K286" s="421">
        <f>SUM(K284:K285)</f>
        <v>-4.2743586448068527E-15</v>
      </c>
      <c r="L286" s="421">
        <f t="shared" ref="L286:O286" si="124">SUM(L284:L285)</f>
        <v>-4.2743586448068527E-15</v>
      </c>
      <c r="M286" s="421">
        <f t="shared" ca="1" si="124"/>
        <v>-4.2743586448068527E-15</v>
      </c>
      <c r="N286" s="421">
        <f t="shared" ca="1" si="124"/>
        <v>-4.2743586448068527E-15</v>
      </c>
      <c r="O286" s="421">
        <f t="shared" ca="1" si="124"/>
        <v>-4.2743586448068527E-15</v>
      </c>
    </row>
    <row r="287" spans="1:15" ht="6" customHeight="1"/>
    <row r="288" spans="1:15">
      <c r="D288" t="s">
        <v>193</v>
      </c>
      <c r="K288" s="569">
        <f>Assumptions!N27</f>
        <v>0.01</v>
      </c>
      <c r="L288" s="570">
        <f>$K$288</f>
        <v>0.01</v>
      </c>
      <c r="M288" s="570">
        <f t="shared" ref="M288:O288" si="125">$K$288</f>
        <v>0.01</v>
      </c>
      <c r="N288" s="570">
        <f t="shared" si="125"/>
        <v>0.01</v>
      </c>
      <c r="O288" s="570">
        <f t="shared" si="125"/>
        <v>0.01</v>
      </c>
    </row>
    <row r="289" spans="2:15" ht="13">
      <c r="D289" s="120" t="s">
        <v>65</v>
      </c>
      <c r="K289" s="571">
        <f>K284*K288</f>
        <v>3.0000000000000001E-3</v>
      </c>
      <c r="L289" s="571">
        <f t="shared" ref="L289:O289" si="126">L284*L288</f>
        <v>-4.2743586448068528E-17</v>
      </c>
      <c r="M289" s="571">
        <f t="shared" si="126"/>
        <v>-4.2743586448068528E-17</v>
      </c>
      <c r="N289" s="571">
        <f t="shared" ca="1" si="126"/>
        <v>-4.2743586448068528E-17</v>
      </c>
      <c r="O289" s="571">
        <f t="shared" ca="1" si="126"/>
        <v>-4.2743586448068528E-17</v>
      </c>
    </row>
    <row r="290" spans="2:15" ht="6" customHeight="1"/>
    <row r="292" spans="2:15" ht="13">
      <c r="C292" s="120" t="s">
        <v>118</v>
      </c>
    </row>
    <row r="293" spans="2:15" ht="13">
      <c r="B293" s="120"/>
      <c r="D293" t="s">
        <v>11</v>
      </c>
      <c r="H293" s="289"/>
      <c r="I293" s="289"/>
      <c r="J293" s="289"/>
      <c r="K293" s="424">
        <f>K126</f>
        <v>39.092156446775697</v>
      </c>
      <c r="L293" s="424">
        <f t="shared" ref="L293:O293" si="127">L126</f>
        <v>28.466865865201044</v>
      </c>
      <c r="M293" s="424">
        <f t="shared" ca="1" si="127"/>
        <v>43.779764828878228</v>
      </c>
      <c r="N293" s="424">
        <f t="shared" ca="1" si="127"/>
        <v>36.98662084550142</v>
      </c>
      <c r="O293" s="424">
        <f t="shared" ca="1" si="127"/>
        <v>26.453512766618736</v>
      </c>
    </row>
    <row r="294" spans="2:15" ht="13">
      <c r="B294" s="120"/>
      <c r="D294" t="s">
        <v>94</v>
      </c>
      <c r="H294" s="289"/>
      <c r="I294" s="289"/>
      <c r="J294" s="289"/>
      <c r="K294" s="424">
        <f>K132</f>
        <v>-16</v>
      </c>
      <c r="L294" s="424">
        <f t="shared" ref="L294:O294" si="128">L132</f>
        <v>-17</v>
      </c>
      <c r="M294" s="424">
        <f t="shared" si="128"/>
        <v>-17.3</v>
      </c>
      <c r="N294" s="424">
        <f t="shared" si="128"/>
        <v>-17.5</v>
      </c>
      <c r="O294" s="424">
        <f t="shared" si="128"/>
        <v>-18</v>
      </c>
    </row>
    <row r="295" spans="2:15" ht="13">
      <c r="B295" s="120"/>
      <c r="D295" t="s">
        <v>195</v>
      </c>
      <c r="H295" s="289"/>
      <c r="I295" s="289"/>
      <c r="J295" s="289"/>
      <c r="K295" s="424">
        <f>K310</f>
        <v>-25</v>
      </c>
      <c r="L295" s="424">
        <f t="shared" ref="L295:O295" si="129">L310</f>
        <v>-25</v>
      </c>
      <c r="M295" s="424">
        <f t="shared" si="129"/>
        <v>-25</v>
      </c>
      <c r="N295" s="424">
        <f t="shared" si="129"/>
        <v>-25</v>
      </c>
      <c r="O295" s="424">
        <f t="shared" si="129"/>
        <v>-25</v>
      </c>
    </row>
    <row r="296" spans="2:15" ht="13">
      <c r="B296" s="120"/>
      <c r="D296" t="s">
        <v>196</v>
      </c>
      <c r="H296" s="289"/>
      <c r="I296" s="289"/>
      <c r="J296" s="289"/>
      <c r="K296" s="578">
        <f>Assumptions!J73</f>
        <v>0</v>
      </c>
      <c r="L296" s="578">
        <f>Assumptions!K73</f>
        <v>0</v>
      </c>
      <c r="M296" s="578">
        <f>Assumptions!L73</f>
        <v>0</v>
      </c>
      <c r="N296" s="578">
        <f>Assumptions!M73</f>
        <v>0</v>
      </c>
      <c r="O296" s="578">
        <f>Assumptions!N73</f>
        <v>0</v>
      </c>
    </row>
    <row r="297" spans="2:15" ht="13">
      <c r="B297" s="120"/>
      <c r="D297" t="s">
        <v>197</v>
      </c>
      <c r="H297" s="289"/>
      <c r="I297" s="289"/>
      <c r="J297" s="289"/>
      <c r="K297" s="557">
        <f>-K335</f>
        <v>-4.2501328084342722</v>
      </c>
      <c r="L297" s="557">
        <f t="shared" ref="L297:O297" si="130">-L335</f>
        <v>-0.72363500731885577</v>
      </c>
      <c r="M297" s="557">
        <f t="shared" ca="1" si="130"/>
        <v>-5.1159077256575962</v>
      </c>
      <c r="N297" s="557">
        <f t="shared" ca="1" si="130"/>
        <v>-3.5800878797609195</v>
      </c>
      <c r="O297" s="557">
        <f t="shared" ca="1" si="130"/>
        <v>-0.54027508657651535</v>
      </c>
    </row>
    <row r="298" spans="2:15" ht="13">
      <c r="D298" s="120" t="s">
        <v>124</v>
      </c>
      <c r="K298" s="184">
        <f>SUM(K293:K297)</f>
        <v>-6.1579763616585756</v>
      </c>
      <c r="L298" s="184">
        <f t="shared" ref="L298:O298" si="131">SUM(L293:L297)</f>
        <v>-14.256769142117813</v>
      </c>
      <c r="M298" s="184">
        <f t="shared" ca="1" si="131"/>
        <v>-3.6361428967793685</v>
      </c>
      <c r="N298" s="184">
        <f t="shared" ca="1" si="131"/>
        <v>-9.0934670342594988</v>
      </c>
      <c r="O298" s="184">
        <f t="shared" ca="1" si="131"/>
        <v>-17.086762319957778</v>
      </c>
    </row>
    <row r="299" spans="2:15" ht="13">
      <c r="C299" s="120"/>
    </row>
    <row r="300" spans="2:15">
      <c r="D300" t="s">
        <v>198</v>
      </c>
      <c r="K300" s="180">
        <f>J302</f>
        <v>0</v>
      </c>
      <c r="L300" s="180">
        <f t="shared" ref="L300:O300" si="132">K302</f>
        <v>5.8579763616585758</v>
      </c>
      <c r="M300" s="180">
        <f t="shared" si="132"/>
        <v>20.11474550377639</v>
      </c>
      <c r="N300" s="180">
        <f t="shared" ca="1" si="132"/>
        <v>23.750888400555763</v>
      </c>
      <c r="O300" s="180">
        <f t="shared" ca="1" si="132"/>
        <v>32.844355434815263</v>
      </c>
    </row>
    <row r="301" spans="2:15">
      <c r="D301" t="s">
        <v>194</v>
      </c>
      <c r="J301" s="11"/>
      <c r="K301" s="572">
        <f>-MIN(K298+K284,K300)</f>
        <v>5.8579763616585758</v>
      </c>
      <c r="L301" s="572">
        <f t="shared" ref="L301:O301" si="133">-MIN(L298+L284,L300)</f>
        <v>14.256769142117816</v>
      </c>
      <c r="M301" s="572">
        <f t="shared" ca="1" si="133"/>
        <v>3.636142896779373</v>
      </c>
      <c r="N301" s="572">
        <f t="shared" ca="1" si="133"/>
        <v>9.0934670342595023</v>
      </c>
      <c r="O301" s="572">
        <f t="shared" ca="1" si="133"/>
        <v>17.086762319957781</v>
      </c>
    </row>
    <row r="302" spans="2:15">
      <c r="D302" t="s">
        <v>199</v>
      </c>
      <c r="I302" s="423"/>
      <c r="J302" s="421">
        <f>J172</f>
        <v>0</v>
      </c>
      <c r="K302" s="421">
        <f>SUM(K300:K301)</f>
        <v>5.8579763616585758</v>
      </c>
      <c r="L302" s="421">
        <f t="shared" ref="L302:O302" si="134">SUM(L300:L301)</f>
        <v>20.11474550377639</v>
      </c>
      <c r="M302" s="421">
        <f t="shared" ca="1" si="134"/>
        <v>23.750888400555763</v>
      </c>
      <c r="N302" s="421">
        <f t="shared" ca="1" si="134"/>
        <v>32.844355434815263</v>
      </c>
      <c r="O302" s="421">
        <f t="shared" ca="1" si="134"/>
        <v>49.931117754773041</v>
      </c>
    </row>
    <row r="303" spans="2:15" ht="6" customHeight="1"/>
    <row r="304" spans="2:15">
      <c r="D304" t="s">
        <v>193</v>
      </c>
      <c r="K304" s="569">
        <f>Assumptions!N29</f>
        <v>0.06</v>
      </c>
      <c r="L304" s="570">
        <f>$K$304</f>
        <v>0.06</v>
      </c>
      <c r="M304" s="570">
        <f t="shared" ref="M304:O304" si="135">$K$304</f>
        <v>0.06</v>
      </c>
      <c r="N304" s="570">
        <f t="shared" si="135"/>
        <v>0.06</v>
      </c>
      <c r="O304" s="570">
        <f t="shared" si="135"/>
        <v>0.06</v>
      </c>
    </row>
    <row r="305" spans="1:15" ht="13">
      <c r="D305" s="120" t="s">
        <v>64</v>
      </c>
      <c r="K305" s="573">
        <f>K300*K304</f>
        <v>0</v>
      </c>
      <c r="L305" s="573">
        <f t="shared" ref="L305:O305" si="136">L300*L304</f>
        <v>0.35147858169951451</v>
      </c>
      <c r="M305" s="573">
        <f t="shared" si="136"/>
        <v>1.2068847302265835</v>
      </c>
      <c r="N305" s="573">
        <f t="shared" ca="1" si="136"/>
        <v>1.4250533040333457</v>
      </c>
      <c r="O305" s="573">
        <f t="shared" ca="1" si="136"/>
        <v>1.9706613260889156</v>
      </c>
    </row>
    <row r="306" spans="1:15" ht="6" customHeight="1"/>
    <row r="308" spans="1:15" ht="13">
      <c r="C308" s="120" t="s">
        <v>119</v>
      </c>
    </row>
    <row r="309" spans="1:15">
      <c r="D309" t="s">
        <v>191</v>
      </c>
      <c r="K309" s="180">
        <f>J311</f>
        <v>200</v>
      </c>
      <c r="L309" s="180">
        <f t="shared" ref="L309:O309" si="137">K311</f>
        <v>175</v>
      </c>
      <c r="M309" s="180">
        <f t="shared" si="137"/>
        <v>150</v>
      </c>
      <c r="N309" s="180">
        <f t="shared" si="137"/>
        <v>125</v>
      </c>
      <c r="O309" s="180">
        <f t="shared" si="137"/>
        <v>100</v>
      </c>
    </row>
    <row r="310" spans="1:15">
      <c r="D310" t="s">
        <v>194</v>
      </c>
      <c r="J310" s="11"/>
      <c r="K310" s="574">
        <f>Assumptions!J72</f>
        <v>-25</v>
      </c>
      <c r="L310" s="574">
        <f>Assumptions!K72</f>
        <v>-25</v>
      </c>
      <c r="M310" s="574">
        <f>Assumptions!L72</f>
        <v>-25</v>
      </c>
      <c r="N310" s="574">
        <f>Assumptions!M72</f>
        <v>-25</v>
      </c>
      <c r="O310" s="574">
        <f>Assumptions!N72</f>
        <v>-25</v>
      </c>
    </row>
    <row r="311" spans="1:15">
      <c r="D311" t="s">
        <v>63</v>
      </c>
      <c r="I311" s="423"/>
      <c r="J311" s="421">
        <f>J178</f>
        <v>200</v>
      </c>
      <c r="K311" s="421">
        <f>SUM(K309:K310)</f>
        <v>175</v>
      </c>
      <c r="L311" s="421">
        <f t="shared" ref="L311:O311" si="138">SUM(L309:L310)</f>
        <v>150</v>
      </c>
      <c r="M311" s="421">
        <f t="shared" si="138"/>
        <v>125</v>
      </c>
      <c r="N311" s="421">
        <f t="shared" si="138"/>
        <v>100</v>
      </c>
      <c r="O311" s="421">
        <f t="shared" si="138"/>
        <v>75</v>
      </c>
    </row>
    <row r="312" spans="1:15" ht="6" customHeight="1"/>
    <row r="313" spans="1:15">
      <c r="D313" t="s">
        <v>193</v>
      </c>
      <c r="K313" s="569">
        <f>Assumptions!N28</f>
        <v>0.06</v>
      </c>
      <c r="L313" s="570">
        <f>$K$313</f>
        <v>0.06</v>
      </c>
      <c r="M313" s="570">
        <f t="shared" ref="M313:O313" si="139">$K$313</f>
        <v>0.06</v>
      </c>
      <c r="N313" s="570">
        <f t="shared" si="139"/>
        <v>0.06</v>
      </c>
      <c r="O313" s="570">
        <f t="shared" si="139"/>
        <v>0.06</v>
      </c>
    </row>
    <row r="314" spans="1:15" ht="13">
      <c r="D314" s="120" t="s">
        <v>64</v>
      </c>
      <c r="K314" s="571">
        <f>K309*K313</f>
        <v>12</v>
      </c>
      <c r="L314" s="571">
        <f t="shared" ref="L314:O314" si="140">L309*L313</f>
        <v>10.5</v>
      </c>
      <c r="M314" s="571">
        <f t="shared" si="140"/>
        <v>9</v>
      </c>
      <c r="N314" s="571">
        <f t="shared" si="140"/>
        <v>7.5</v>
      </c>
      <c r="O314" s="571">
        <f t="shared" si="140"/>
        <v>6</v>
      </c>
    </row>
    <row r="316" spans="1:15">
      <c r="K316" s="11"/>
      <c r="L316" s="11"/>
      <c r="M316" s="11"/>
      <c r="N316" s="11"/>
      <c r="O316" s="11"/>
    </row>
    <row r="317" spans="1:15" ht="13.5" thickBot="1">
      <c r="C317" s="120" t="s">
        <v>68</v>
      </c>
      <c r="K317" s="182">
        <f>SUM(K314,K305)-K289</f>
        <v>11.997</v>
      </c>
      <c r="L317" s="182">
        <f>SUM(L314,L305)-L289</f>
        <v>10.851478581699514</v>
      </c>
      <c r="M317" s="182">
        <f>SUM(M314,M305)-M289</f>
        <v>10.206884730226584</v>
      </c>
      <c r="N317" s="182">
        <f t="shared" ref="N317:O317" ca="1" si="141">SUM(N314,N305)-N289</f>
        <v>8.9250533040333462</v>
      </c>
      <c r="O317" s="182">
        <f t="shared" ca="1" si="141"/>
        <v>7.9706613260889156</v>
      </c>
    </row>
    <row r="318" spans="1:15" ht="13" thickTop="1">
      <c r="B318" s="11"/>
      <c r="C318" s="11"/>
      <c r="D318" s="11"/>
      <c r="E318" s="11"/>
      <c r="F318" s="129"/>
      <c r="G318" s="11"/>
      <c r="H318" s="11"/>
      <c r="I318" s="11"/>
      <c r="J318" s="11"/>
      <c r="K318" s="11"/>
      <c r="L318" s="11"/>
      <c r="M318" s="11"/>
      <c r="N318" s="11"/>
      <c r="O318" s="11"/>
    </row>
    <row r="320" spans="1:15" ht="12.75" customHeight="1">
      <c r="A320" s="91"/>
      <c r="B320" s="1"/>
      <c r="C320" s="3"/>
      <c r="D320" s="3"/>
      <c r="E320" s="3"/>
      <c r="F320" s="90"/>
      <c r="G320" s="3"/>
      <c r="H320" s="3"/>
      <c r="I320" s="3"/>
      <c r="J320" s="3"/>
      <c r="K320" s="3"/>
      <c r="L320" s="3"/>
      <c r="M320" s="3"/>
      <c r="N320" s="3"/>
      <c r="O320" s="130" t="str">
        <f>$O$2</f>
        <v>CURRENTLY RUNNING: WORST CASE SCENARIO</v>
      </c>
    </row>
    <row r="321" spans="1:15" ht="23">
      <c r="B321" s="1" t="str">
        <f>B$3</f>
        <v>Blu Containers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8">
      <c r="B322" s="93" t="s">
        <v>105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3" customHeight="1" thickBot="1">
      <c r="A323" s="92"/>
      <c r="B323" s="358"/>
      <c r="C323" s="359"/>
      <c r="D323" s="359"/>
      <c r="E323" s="359"/>
      <c r="F323" s="360"/>
      <c r="G323" s="359"/>
      <c r="H323" s="359"/>
      <c r="I323" s="359"/>
      <c r="J323" s="359"/>
      <c r="K323" s="359"/>
      <c r="L323" s="359"/>
      <c r="M323" s="359"/>
      <c r="N323" s="359"/>
      <c r="O323" s="359"/>
    </row>
    <row r="324" spans="1:15" ht="13">
      <c r="B324" s="160" t="s">
        <v>148</v>
      </c>
      <c r="F324"/>
      <c r="O324" s="19"/>
    </row>
    <row r="325" spans="1:15" ht="13">
      <c r="F325"/>
      <c r="H325" s="3"/>
      <c r="I325" s="3"/>
      <c r="J325" s="3"/>
      <c r="K325" s="98" t="s">
        <v>2</v>
      </c>
      <c r="L325" s="20"/>
      <c r="M325" s="20"/>
      <c r="N325" s="20"/>
      <c r="O325" s="20"/>
    </row>
    <row r="326" spans="1:15" ht="13">
      <c r="F326"/>
      <c r="G326" s="198"/>
      <c r="H326" s="287"/>
      <c r="I326" s="287"/>
      <c r="J326" s="349">
        <f t="shared" ref="J326:O326" si="142">J$8</f>
        <v>2022</v>
      </c>
      <c r="K326" s="351">
        <f t="shared" si="142"/>
        <v>2023</v>
      </c>
      <c r="L326" s="351">
        <f t="shared" si="142"/>
        <v>2024</v>
      </c>
      <c r="M326" s="351">
        <f t="shared" si="142"/>
        <v>2025</v>
      </c>
      <c r="N326" s="351">
        <f t="shared" si="142"/>
        <v>2026</v>
      </c>
      <c r="O326" s="351">
        <f t="shared" si="142"/>
        <v>2027</v>
      </c>
    </row>
    <row r="328" spans="1:15" ht="13.4" customHeight="1">
      <c r="B328" s="120"/>
      <c r="C328" s="120" t="s">
        <v>106</v>
      </c>
    </row>
    <row r="329" spans="1:15" ht="13.4" customHeight="1">
      <c r="D329" t="s">
        <v>191</v>
      </c>
      <c r="G329" s="101"/>
      <c r="K329" s="180">
        <f>J331</f>
        <v>120</v>
      </c>
      <c r="L329" s="180">
        <f t="shared" ref="L329:O329" si="143">K331</f>
        <v>120</v>
      </c>
      <c r="M329" s="180">
        <f t="shared" si="143"/>
        <v>120</v>
      </c>
      <c r="N329" s="180">
        <f t="shared" si="143"/>
        <v>120</v>
      </c>
      <c r="O329" s="180">
        <f t="shared" si="143"/>
        <v>120</v>
      </c>
    </row>
    <row r="330" spans="1:15" ht="13.4" customHeight="1">
      <c r="D330" t="s">
        <v>200</v>
      </c>
      <c r="J330" s="575"/>
      <c r="K330" s="576">
        <f>Assumptions!J73</f>
        <v>0</v>
      </c>
      <c r="L330" s="576">
        <f>Assumptions!K73</f>
        <v>0</v>
      </c>
      <c r="M330" s="576">
        <f>Assumptions!L73</f>
        <v>0</v>
      </c>
      <c r="N330" s="576">
        <f>Assumptions!M73</f>
        <v>0</v>
      </c>
      <c r="O330" s="576">
        <f>Assumptions!N73</f>
        <v>0</v>
      </c>
    </row>
    <row r="331" spans="1:15" ht="13.4" customHeight="1">
      <c r="D331" t="s">
        <v>63</v>
      </c>
      <c r="J331" s="421">
        <f>J183</f>
        <v>120</v>
      </c>
      <c r="K331" s="421">
        <f>SUM(K329:K330)</f>
        <v>120</v>
      </c>
      <c r="L331" s="421">
        <f t="shared" ref="L331:O331" si="144">SUM(L329:L330)</f>
        <v>120</v>
      </c>
      <c r="M331" s="421">
        <f t="shared" si="144"/>
        <v>120</v>
      </c>
      <c r="N331" s="421">
        <f t="shared" si="144"/>
        <v>120</v>
      </c>
      <c r="O331" s="421">
        <f t="shared" si="144"/>
        <v>120</v>
      </c>
    </row>
    <row r="332" spans="1:15" ht="6" customHeight="1"/>
    <row r="333" spans="1:15" ht="13.4" customHeight="1">
      <c r="D333" t="s">
        <v>201</v>
      </c>
      <c r="K333" s="422">
        <f>Assumptions!N10</f>
        <v>0.2</v>
      </c>
      <c r="L333" s="123">
        <f>$K$333</f>
        <v>0.2</v>
      </c>
      <c r="M333" s="123">
        <f t="shared" ref="M333:O333" si="145">$K$333</f>
        <v>0.2</v>
      </c>
      <c r="N333" s="123">
        <f t="shared" si="145"/>
        <v>0.2</v>
      </c>
      <c r="O333" s="123">
        <f t="shared" si="145"/>
        <v>0.2</v>
      </c>
    </row>
    <row r="334" spans="1:15" ht="13.4" customHeight="1">
      <c r="D334" t="s">
        <v>8</v>
      </c>
      <c r="K334" s="562">
        <f>K105</f>
        <v>21.250664042171358</v>
      </c>
      <c r="L334" s="562">
        <f t="shared" ref="L334:O334" si="146">L105</f>
        <v>3.6181750365942786</v>
      </c>
      <c r="M334" s="562">
        <f t="shared" ca="1" si="146"/>
        <v>25.579538628287981</v>
      </c>
      <c r="N334" s="562">
        <f t="shared" ca="1" si="146"/>
        <v>17.900439398804597</v>
      </c>
      <c r="O334" s="562">
        <f t="shared" ca="1" si="146"/>
        <v>2.7013754328825765</v>
      </c>
    </row>
    <row r="335" spans="1:15" ht="13.4" customHeight="1">
      <c r="C335" s="120"/>
      <c r="D335" s="120" t="s">
        <v>107</v>
      </c>
      <c r="K335" s="577">
        <f>MAX(K334*K333,0)</f>
        <v>4.2501328084342722</v>
      </c>
      <c r="L335" s="577">
        <f t="shared" ref="L335:O335" si="147">MAX(L334*L333,0)</f>
        <v>0.72363500731885577</v>
      </c>
      <c r="M335" s="577">
        <f t="shared" ca="1" si="147"/>
        <v>5.1159077256575962</v>
      </c>
      <c r="N335" s="577">
        <f t="shared" ca="1" si="147"/>
        <v>3.5800878797609195</v>
      </c>
      <c r="O335" s="577">
        <f t="shared" ca="1" si="147"/>
        <v>0.54027508657651535</v>
      </c>
    </row>
    <row r="338" spans="2:15" ht="13.4" customHeight="1">
      <c r="B338" s="120"/>
      <c r="C338" s="120" t="s">
        <v>108</v>
      </c>
      <c r="L338" t="s">
        <v>126</v>
      </c>
    </row>
    <row r="339" spans="2:15" ht="13.4" customHeight="1">
      <c r="D339" t="s">
        <v>191</v>
      </c>
      <c r="K339" s="180">
        <f>J342</f>
        <v>138.50000000000003</v>
      </c>
      <c r="L339" s="180">
        <f t="shared" ref="L339:O339" si="148">K342</f>
        <v>155.50053123373712</v>
      </c>
      <c r="M339" s="180">
        <f t="shared" si="148"/>
        <v>158.39507126301254</v>
      </c>
      <c r="N339" s="180">
        <f t="shared" ca="1" si="148"/>
        <v>178.85870216564294</v>
      </c>
      <c r="O339" s="180">
        <f t="shared" ca="1" si="148"/>
        <v>193.17905368468661</v>
      </c>
    </row>
    <row r="340" spans="2:15" ht="13.4" customHeight="1">
      <c r="D340" t="s">
        <v>8</v>
      </c>
      <c r="K340" s="180">
        <f>K105</f>
        <v>21.250664042171358</v>
      </c>
      <c r="L340" s="180">
        <f t="shared" ref="L340:O340" si="149">L105</f>
        <v>3.6181750365942786</v>
      </c>
      <c r="M340" s="180">
        <f t="shared" ca="1" si="149"/>
        <v>25.579538628287981</v>
      </c>
      <c r="N340" s="180">
        <f t="shared" ca="1" si="149"/>
        <v>17.900439398804597</v>
      </c>
      <c r="O340" s="180">
        <f t="shared" ca="1" si="149"/>
        <v>2.7013754328825765</v>
      </c>
    </row>
    <row r="341" spans="2:15" ht="13.4" customHeight="1">
      <c r="D341" t="s">
        <v>107</v>
      </c>
      <c r="J341" s="11"/>
      <c r="K341" s="562">
        <f>-K335</f>
        <v>-4.2501328084342722</v>
      </c>
      <c r="L341" s="562">
        <f t="shared" ref="L341:O341" si="150">-L335</f>
        <v>-0.72363500731885577</v>
      </c>
      <c r="M341" s="562">
        <f t="shared" ca="1" si="150"/>
        <v>-5.1159077256575962</v>
      </c>
      <c r="N341" s="562">
        <f t="shared" ca="1" si="150"/>
        <v>-3.5800878797609195</v>
      </c>
      <c r="O341" s="562">
        <f t="shared" ca="1" si="150"/>
        <v>-0.54027508657651535</v>
      </c>
    </row>
    <row r="342" spans="2:15" ht="13.4" customHeight="1" thickBot="1">
      <c r="D342" s="120" t="s">
        <v>63</v>
      </c>
      <c r="E342" s="120"/>
      <c r="F342" s="144"/>
      <c r="G342" s="120"/>
      <c r="H342" s="120"/>
      <c r="I342" s="120"/>
      <c r="J342" s="587">
        <f>J184</f>
        <v>138.50000000000003</v>
      </c>
      <c r="K342" s="587">
        <f>SUM(K339:K341)</f>
        <v>155.50053123373712</v>
      </c>
      <c r="L342" s="587">
        <f t="shared" ref="L342:O342" si="151">SUM(L339:L341)</f>
        <v>158.39507126301254</v>
      </c>
      <c r="M342" s="587">
        <f t="shared" ca="1" si="151"/>
        <v>178.85870216564294</v>
      </c>
      <c r="N342" s="587">
        <f t="shared" ca="1" si="151"/>
        <v>193.17905368468661</v>
      </c>
      <c r="O342" s="587">
        <f t="shared" ca="1" si="151"/>
        <v>195.34015403099266</v>
      </c>
    </row>
    <row r="343" spans="2:15" ht="13" thickTop="1">
      <c r="B343" s="11"/>
      <c r="C343" s="11"/>
      <c r="D343" s="11"/>
      <c r="E343" s="11"/>
      <c r="F343" s="129"/>
      <c r="G343" s="11"/>
      <c r="H343" s="11"/>
      <c r="I343" s="11"/>
      <c r="J343" s="11"/>
      <c r="K343" s="11"/>
      <c r="L343" s="11"/>
      <c r="M343" s="11"/>
      <c r="N343" s="11"/>
      <c r="O343" s="11"/>
    </row>
  </sheetData>
  <sheetProtection formatCells="0" formatColumns="0" formatRows="0" insertColumns="0" insertRows="0"/>
  <phoneticPr fontId="0" type="noConversion"/>
  <printOptions horizontalCentered="1"/>
  <pageMargins left="0.11811023622047245" right="0.11811023622047245" top="0.11811023622047245" bottom="0.19685039370078741" header="0.11811023622047245" footer="0.11811023622047245"/>
  <pageSetup scale="95" orientation="landscape" r:id="rId1"/>
  <headerFooter alignWithMargins="0">
    <oddFooter>&amp;L&amp;F&amp;CPage &amp;P Of &amp;N&amp;R&amp;D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D96A37-A8FD-4ADB-8E8E-004816691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32BA25-1609-465E-B290-4111C1C1867A}">
  <ds:schemaRefs>
    <ds:schemaRef ds:uri="90f44690-06d1-49fb-852d-53eb500a6f07"/>
    <ds:schemaRef ds:uri="http://schemas.microsoft.com/office/2006/documentManagement/types"/>
    <ds:schemaRef ds:uri="http://schemas.microsoft.com/office/2006/metadata/properties"/>
    <ds:schemaRef ds:uri="7c7e0179-495a-4ef3-8969-463b3802bcab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E1CBD1B-5025-463F-8D85-C9ABEB45E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george ukken</cp:lastModifiedBy>
  <cp:lastPrinted>2025-01-12T18:11:46Z</cp:lastPrinted>
  <dcterms:created xsi:type="dcterms:W3CDTF">2018-03-28T17:44:41Z</dcterms:created>
  <dcterms:modified xsi:type="dcterms:W3CDTF">2025-01-12T18:11:49Z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