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4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4.xml" ContentType="application/vnd.openxmlformats-officedocument.drawing+xml"/>
  <Override PartName="/xl/charts/chart5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5.xml" ContentType="application/vnd.openxmlformats-officedocument.drawing+xml"/>
  <Override PartName="/xl/charts/chart6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6.xml" ContentType="application/vnd.openxmlformats-officedocument.drawing+xml"/>
  <Override PartName="/xl/charts/chart7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7.xml" ContentType="application/vnd.openxmlformats-officedocument.drawing+xml"/>
  <Override PartName="/xl/charts/chart7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8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8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8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8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8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9.xml" ContentType="application/vnd.openxmlformats-officedocument.drawing+xml"/>
  <Override PartName="/xl/charts/chart8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20.xml" ContentType="application/vnd.openxmlformats-officedocument.drawing+xml"/>
  <Override PartName="/xl/charts/chart9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9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9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1.xml" ContentType="application/vnd.openxmlformats-officedocument.drawing+xml"/>
  <Override PartName="/xl/charts/chart9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9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9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2.xml" ContentType="application/vnd.openxmlformats-officedocument.drawing+xml"/>
  <Override PartName="/xl/charts/chart9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23.xml" ContentType="application/vnd.openxmlformats-officedocument.drawing+xml"/>
  <Override PartName="/xl/charts/chart10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10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10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0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24.xml" ContentType="application/vnd.openxmlformats-officedocument.drawing+xml"/>
  <Override PartName="/xl/charts/chart104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105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06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7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25.xml" ContentType="application/vnd.openxmlformats-officedocument.drawing+xml"/>
  <Override PartName="/xl/charts/chart108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9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10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11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26.xml" ContentType="application/vnd.openxmlformats-officedocument.drawing+xml"/>
  <Override PartName="/xl/charts/chart112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27.xml" ContentType="application/vnd.openxmlformats-officedocument.drawing+xml"/>
  <Override PartName="/xl/charts/chart113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28.xml" ContentType="application/vnd.openxmlformats-officedocument.drawing+xml"/>
  <Override PartName="/xl/charts/chart114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15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16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7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8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9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20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21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2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2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2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87z649\Documents\DATA\Beck, Ashley\18_OAcid_inhibition\220519_SynCom_final\github\"/>
    </mc:Choice>
  </mc:AlternateContent>
  <xr:revisionPtr revIDLastSave="0" documentId="13_ncr:1_{9C02D1A9-C1B6-40EB-BDF0-CC28C4FFF5FB}" xr6:coauthVersionLast="47" xr6:coauthVersionMax="47" xr10:uidLastSave="{00000000-0000-0000-0000-000000000000}"/>
  <bookViews>
    <workbookView xWindow="27885" yWindow="2685" windowWidth="21600" windowHeight="12735" tabRatio="827" xr2:uid="{FAE20219-BE03-4DF3-8FC5-67A5F68E866C}"/>
  </bookViews>
  <sheets>
    <sheet name="Table of Contents" sheetId="4" r:id="rId1"/>
    <sheet name="SuppSheet1" sheetId="36" r:id="rId2"/>
    <sheet name="SuppSheet2" sheetId="8" r:id="rId3"/>
    <sheet name="SuppSheet3" sheetId="9" r:id="rId4"/>
    <sheet name="SuppSheet4" sheetId="10" r:id="rId5"/>
    <sheet name="SuppSheet5" sheetId="11" r:id="rId6"/>
    <sheet name="SuppSheet6" sheetId="12" r:id="rId7"/>
    <sheet name="SuppSheet7" sheetId="13" r:id="rId8"/>
    <sheet name="SuppSheet8" sheetId="14" r:id="rId9"/>
    <sheet name="SuppSheet9" sheetId="15" r:id="rId10"/>
    <sheet name="SuppSheet10" sheetId="16" r:id="rId11"/>
    <sheet name="SuppSheet11" sheetId="17" r:id="rId12"/>
    <sheet name="SuppSheet12" sheetId="18" r:id="rId13"/>
    <sheet name="SuppSheet13" sheetId="21" r:id="rId14"/>
    <sheet name="SuppSheet14" sheetId="22" r:id="rId15"/>
    <sheet name="SuppSheet15" sheetId="19" r:id="rId16"/>
    <sheet name="SuppSheet16" sheetId="20" r:id="rId17"/>
    <sheet name="SuppSheet17" sheetId="23" r:id="rId18"/>
    <sheet name="SuppSheet18" sheetId="34" r:id="rId19"/>
    <sheet name="SuppSheet19" sheetId="24" r:id="rId20"/>
    <sheet name="SuppSheet20" sheetId="25" r:id="rId21"/>
    <sheet name="SuppSheet21" sheetId="26" r:id="rId22"/>
    <sheet name="SuppSheet22" sheetId="27" r:id="rId23"/>
    <sheet name="SuppSheet23" sheetId="28" r:id="rId24"/>
    <sheet name="SuppSheet24" sheetId="29" r:id="rId25"/>
    <sheet name="SuppSheet25" sheetId="30" r:id="rId26"/>
    <sheet name="SuppSheet26" sheetId="31" r:id="rId27"/>
    <sheet name="SuppSheet27" sheetId="32" r:id="rId28"/>
    <sheet name="SuppSheet28" sheetId="33" r:id="rId29"/>
    <sheet name="Sheet1" sheetId="37" r:id="rId30"/>
  </sheets>
  <externalReferences>
    <externalReference r:id="rId31"/>
  </externalReferences>
  <definedNames>
    <definedName name="_Hlk62225932" localSheetId="0">'Table of Contents'!$A$3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9" i="36" l="1"/>
  <c r="AL45" i="36"/>
  <c r="AE45" i="36"/>
  <c r="AL44" i="36"/>
  <c r="AE44" i="36"/>
  <c r="AL43" i="36"/>
  <c r="AE43" i="36"/>
  <c r="AL42" i="36"/>
  <c r="AE42" i="36"/>
  <c r="AE37" i="36"/>
  <c r="AL33" i="36"/>
  <c r="AE33" i="36"/>
  <c r="AL32" i="36"/>
  <c r="AE32" i="36"/>
  <c r="AL31" i="36"/>
  <c r="AE31" i="36"/>
  <c r="AL30" i="36"/>
  <c r="AE30" i="36"/>
  <c r="AS25" i="36"/>
  <c r="AL25" i="36"/>
  <c r="AG24" i="36"/>
  <c r="AF24" i="36"/>
  <c r="AG23" i="36"/>
  <c r="AF23" i="36"/>
  <c r="AG22" i="36"/>
  <c r="AF22" i="36"/>
  <c r="AE22" i="36"/>
  <c r="AS21" i="36"/>
  <c r="AL21" i="36"/>
  <c r="AG21" i="36"/>
  <c r="AF21" i="36"/>
  <c r="AE21" i="36"/>
  <c r="AS20" i="36"/>
  <c r="AL20" i="36"/>
  <c r="AG20" i="36"/>
  <c r="AF20" i="36"/>
  <c r="AE20" i="36"/>
  <c r="AS19" i="36"/>
  <c r="AL19" i="36"/>
  <c r="AG19" i="36"/>
  <c r="AF19" i="36"/>
  <c r="AG18" i="36"/>
  <c r="AF18" i="36"/>
  <c r="AG17" i="36"/>
  <c r="AF17" i="36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55" i="20"/>
  <c r="Y75" i="20"/>
  <c r="Y76" i="20"/>
  <c r="Y77" i="20"/>
  <c r="Y78" i="20"/>
  <c r="Y79" i="20"/>
  <c r="Y80" i="20"/>
  <c r="Y81" i="20"/>
  <c r="Y82" i="20"/>
  <c r="Y83" i="20"/>
  <c r="Y84" i="20"/>
  <c r="Y85" i="20"/>
  <c r="Y86" i="20"/>
  <c r="Y87" i="20"/>
  <c r="Y73" i="20"/>
  <c r="Y74" i="20"/>
  <c r="Q25" i="29"/>
  <c r="Q22" i="29"/>
  <c r="Q32" i="29"/>
  <c r="P32" i="29"/>
  <c r="W93" i="34"/>
  <c r="V93" i="34"/>
  <c r="U93" i="34"/>
  <c r="T93" i="34"/>
  <c r="S93" i="34"/>
  <c r="R93" i="34"/>
  <c r="Q93" i="34"/>
  <c r="P93" i="34"/>
  <c r="O93" i="34"/>
  <c r="N93" i="34"/>
  <c r="M93" i="34"/>
  <c r="W92" i="34"/>
  <c r="V92" i="34"/>
  <c r="U92" i="34"/>
  <c r="T92" i="34"/>
  <c r="S92" i="34"/>
  <c r="R92" i="34"/>
  <c r="Q92" i="34"/>
  <c r="P92" i="34"/>
  <c r="O92" i="34"/>
  <c r="N92" i="34"/>
  <c r="M92" i="34"/>
  <c r="W91" i="34"/>
  <c r="V91" i="34"/>
  <c r="U91" i="34"/>
  <c r="T91" i="34"/>
  <c r="S91" i="34"/>
  <c r="R91" i="34"/>
  <c r="Q91" i="34"/>
  <c r="P91" i="34"/>
  <c r="O91" i="34"/>
  <c r="N91" i="34"/>
  <c r="M91" i="34"/>
  <c r="W90" i="34"/>
  <c r="V90" i="34"/>
  <c r="U90" i="34"/>
  <c r="T90" i="34"/>
  <c r="S90" i="34"/>
  <c r="R90" i="34"/>
  <c r="Q90" i="34"/>
  <c r="P90" i="34"/>
  <c r="O90" i="34"/>
  <c r="N90" i="34"/>
  <c r="M90" i="34"/>
  <c r="W89" i="34"/>
  <c r="V89" i="34"/>
  <c r="U89" i="34"/>
  <c r="T89" i="34"/>
  <c r="S89" i="34"/>
  <c r="R89" i="34"/>
  <c r="Q89" i="34"/>
  <c r="P89" i="34"/>
  <c r="O89" i="34"/>
  <c r="N89" i="34"/>
  <c r="X89" i="34"/>
  <c r="M89" i="34"/>
  <c r="W88" i="34"/>
  <c r="V88" i="34"/>
  <c r="U88" i="34"/>
  <c r="T88" i="34"/>
  <c r="S88" i="34"/>
  <c r="R88" i="34"/>
  <c r="Q88" i="34"/>
  <c r="P88" i="34"/>
  <c r="O88" i="34"/>
  <c r="N88" i="34"/>
  <c r="M88" i="34"/>
  <c r="W87" i="34"/>
  <c r="V87" i="34"/>
  <c r="U87" i="34"/>
  <c r="T87" i="34"/>
  <c r="S87" i="34"/>
  <c r="R87" i="34"/>
  <c r="Q87" i="34"/>
  <c r="P87" i="34"/>
  <c r="O87" i="34"/>
  <c r="N87" i="34"/>
  <c r="M87" i="34"/>
  <c r="W86" i="34"/>
  <c r="V86" i="34"/>
  <c r="U86" i="34"/>
  <c r="T86" i="34"/>
  <c r="S86" i="34"/>
  <c r="R86" i="34"/>
  <c r="Q86" i="34"/>
  <c r="P86" i="34"/>
  <c r="O86" i="34"/>
  <c r="N86" i="34"/>
  <c r="M86" i="34"/>
  <c r="W85" i="34"/>
  <c r="V85" i="34"/>
  <c r="U85" i="34"/>
  <c r="T85" i="34"/>
  <c r="S85" i="34"/>
  <c r="R85" i="34"/>
  <c r="Q85" i="34"/>
  <c r="P85" i="34"/>
  <c r="O85" i="34"/>
  <c r="N85" i="34"/>
  <c r="M85" i="34"/>
  <c r="W84" i="34"/>
  <c r="V84" i="34"/>
  <c r="U84" i="34"/>
  <c r="T84" i="34"/>
  <c r="S84" i="34"/>
  <c r="R84" i="34"/>
  <c r="Q84" i="34"/>
  <c r="P84" i="34"/>
  <c r="O84" i="34"/>
  <c r="N84" i="34"/>
  <c r="M84" i="34"/>
  <c r="W83" i="34"/>
  <c r="V83" i="34"/>
  <c r="U83" i="34"/>
  <c r="T83" i="34"/>
  <c r="S83" i="34"/>
  <c r="R83" i="34"/>
  <c r="Q83" i="34"/>
  <c r="P83" i="34"/>
  <c r="O83" i="34"/>
  <c r="N83" i="34"/>
  <c r="M83" i="34"/>
  <c r="W82" i="34"/>
  <c r="V82" i="34"/>
  <c r="U82" i="34"/>
  <c r="T82" i="34"/>
  <c r="S82" i="34"/>
  <c r="R82" i="34"/>
  <c r="Q82" i="34"/>
  <c r="P82" i="34"/>
  <c r="O82" i="34"/>
  <c r="N82" i="34"/>
  <c r="M82" i="34"/>
  <c r="AU81" i="34"/>
  <c r="AT81" i="34"/>
  <c r="AS81" i="34"/>
  <c r="AR81" i="34"/>
  <c r="AQ81" i="34"/>
  <c r="AP81" i="34"/>
  <c r="AO81" i="34"/>
  <c r="AN81" i="34"/>
  <c r="AM81" i="34"/>
  <c r="AL81" i="34"/>
  <c r="AK81" i="34"/>
  <c r="W81" i="34"/>
  <c r="V81" i="34"/>
  <c r="U81" i="34"/>
  <c r="T81" i="34"/>
  <c r="S81" i="34"/>
  <c r="R81" i="34"/>
  <c r="Q81" i="34"/>
  <c r="P81" i="34"/>
  <c r="O81" i="34"/>
  <c r="N81" i="34"/>
  <c r="M81" i="34"/>
  <c r="AU80" i="34"/>
  <c r="AT80" i="34"/>
  <c r="AS80" i="34"/>
  <c r="AR80" i="34"/>
  <c r="AQ80" i="34"/>
  <c r="AP80" i="34"/>
  <c r="AO80" i="34"/>
  <c r="AN80" i="34"/>
  <c r="AM80" i="34"/>
  <c r="AL80" i="34"/>
  <c r="AV80" i="34"/>
  <c r="AK80" i="34"/>
  <c r="W80" i="34"/>
  <c r="V80" i="34"/>
  <c r="U80" i="34"/>
  <c r="T80" i="34"/>
  <c r="S80" i="34"/>
  <c r="R80" i="34"/>
  <c r="Q80" i="34"/>
  <c r="P80" i="34"/>
  <c r="O80" i="34"/>
  <c r="N80" i="34"/>
  <c r="M80" i="34"/>
  <c r="AU79" i="34"/>
  <c r="AT79" i="34"/>
  <c r="AS79" i="34"/>
  <c r="AR79" i="34"/>
  <c r="AQ79" i="34"/>
  <c r="AP79" i="34"/>
  <c r="AO79" i="34"/>
  <c r="AN79" i="34"/>
  <c r="AM79" i="34"/>
  <c r="AL79" i="34"/>
  <c r="AK79" i="34"/>
  <c r="W79" i="34"/>
  <c r="V79" i="34"/>
  <c r="U79" i="34"/>
  <c r="T79" i="34"/>
  <c r="S79" i="34"/>
  <c r="R79" i="34"/>
  <c r="Q79" i="34"/>
  <c r="P79" i="34"/>
  <c r="O79" i="34"/>
  <c r="N79" i="34"/>
  <c r="M79" i="34"/>
  <c r="W78" i="34"/>
  <c r="V78" i="34"/>
  <c r="U78" i="34"/>
  <c r="T78" i="34"/>
  <c r="S78" i="34"/>
  <c r="R78" i="34"/>
  <c r="Q78" i="34"/>
  <c r="P78" i="34"/>
  <c r="O78" i="34"/>
  <c r="N78" i="34"/>
  <c r="W77" i="34"/>
  <c r="V77" i="34"/>
  <c r="U77" i="34"/>
  <c r="T77" i="34"/>
  <c r="S77" i="34"/>
  <c r="R77" i="34"/>
  <c r="Q77" i="34"/>
  <c r="P77" i="34"/>
  <c r="O77" i="34"/>
  <c r="N77" i="34"/>
  <c r="W76" i="34"/>
  <c r="V76" i="34"/>
  <c r="U76" i="34"/>
  <c r="T76" i="34"/>
  <c r="S76" i="34"/>
  <c r="R76" i="34"/>
  <c r="Q76" i="34"/>
  <c r="P76" i="34"/>
  <c r="O76" i="34"/>
  <c r="N76" i="34"/>
  <c r="W72" i="34"/>
  <c r="V72" i="34"/>
  <c r="U72" i="34"/>
  <c r="T72" i="34"/>
  <c r="S72" i="34"/>
  <c r="R72" i="34"/>
  <c r="Q72" i="34"/>
  <c r="P72" i="34"/>
  <c r="X72" i="34"/>
  <c r="O72" i="34"/>
  <c r="N72" i="34"/>
  <c r="W71" i="34"/>
  <c r="V71" i="34"/>
  <c r="U71" i="34"/>
  <c r="T71" i="34"/>
  <c r="S71" i="34"/>
  <c r="R71" i="34"/>
  <c r="Q71" i="34"/>
  <c r="P71" i="34"/>
  <c r="O71" i="34"/>
  <c r="N71" i="34"/>
  <c r="W70" i="34"/>
  <c r="V70" i="34"/>
  <c r="U70" i="34"/>
  <c r="T70" i="34"/>
  <c r="S70" i="34"/>
  <c r="R70" i="34"/>
  <c r="Q70" i="34"/>
  <c r="P70" i="34"/>
  <c r="O70" i="34"/>
  <c r="N70" i="34"/>
  <c r="W69" i="34"/>
  <c r="V69" i="34"/>
  <c r="U69" i="34"/>
  <c r="T69" i="34"/>
  <c r="S69" i="34"/>
  <c r="R69" i="34"/>
  <c r="Q69" i="34"/>
  <c r="P69" i="34"/>
  <c r="O69" i="34"/>
  <c r="N69" i="34"/>
  <c r="W68" i="34"/>
  <c r="V68" i="34"/>
  <c r="U68" i="34"/>
  <c r="T68" i="34"/>
  <c r="S68" i="34"/>
  <c r="R68" i="34"/>
  <c r="Q68" i="34"/>
  <c r="P68" i="34"/>
  <c r="O68" i="34"/>
  <c r="N68" i="34"/>
  <c r="W67" i="34"/>
  <c r="V67" i="34"/>
  <c r="U67" i="34"/>
  <c r="T67" i="34"/>
  <c r="S67" i="34"/>
  <c r="R67" i="34"/>
  <c r="Q67" i="34"/>
  <c r="P67" i="34"/>
  <c r="O67" i="34"/>
  <c r="N67" i="34"/>
  <c r="AU66" i="34"/>
  <c r="AT66" i="34"/>
  <c r="AS66" i="34"/>
  <c r="AR66" i="34"/>
  <c r="AQ66" i="34"/>
  <c r="AP66" i="34"/>
  <c r="AO66" i="34"/>
  <c r="AN66" i="34"/>
  <c r="AM66" i="34"/>
  <c r="AL66" i="34"/>
  <c r="AK66" i="34"/>
  <c r="W66" i="34"/>
  <c r="V66" i="34"/>
  <c r="U66" i="34"/>
  <c r="T66" i="34"/>
  <c r="S66" i="34"/>
  <c r="R66" i="34"/>
  <c r="Q66" i="34"/>
  <c r="P66" i="34"/>
  <c r="O66" i="34"/>
  <c r="N66" i="34"/>
  <c r="M66" i="34"/>
  <c r="AU65" i="34"/>
  <c r="AT65" i="34"/>
  <c r="AS65" i="34"/>
  <c r="AR65" i="34"/>
  <c r="AQ65" i="34"/>
  <c r="AP65" i="34"/>
  <c r="AO65" i="34"/>
  <c r="AN65" i="34"/>
  <c r="AM65" i="34"/>
  <c r="AL65" i="34"/>
  <c r="AK65" i="34"/>
  <c r="W65" i="34"/>
  <c r="V65" i="34"/>
  <c r="U65" i="34"/>
  <c r="T65" i="34"/>
  <c r="S65" i="34"/>
  <c r="R65" i="34"/>
  <c r="Q65" i="34"/>
  <c r="P65" i="34"/>
  <c r="O65" i="34"/>
  <c r="N65" i="34"/>
  <c r="M65" i="34"/>
  <c r="AU64" i="34"/>
  <c r="AT64" i="34"/>
  <c r="AS64" i="34"/>
  <c r="AR64" i="34"/>
  <c r="AQ64" i="34"/>
  <c r="AP64" i="34"/>
  <c r="AO64" i="34"/>
  <c r="AN64" i="34"/>
  <c r="AM64" i="34"/>
  <c r="AL64" i="34"/>
  <c r="AK64" i="34"/>
  <c r="W64" i="34"/>
  <c r="V64" i="34"/>
  <c r="U64" i="34"/>
  <c r="T64" i="34"/>
  <c r="S64" i="34"/>
  <c r="R64" i="34"/>
  <c r="Q64" i="34"/>
  <c r="P64" i="34"/>
  <c r="O64" i="34"/>
  <c r="N64" i="34"/>
  <c r="M64" i="34"/>
  <c r="AU63" i="34"/>
  <c r="AT63" i="34"/>
  <c r="AS63" i="34"/>
  <c r="AR63" i="34"/>
  <c r="AQ63" i="34"/>
  <c r="AP63" i="34"/>
  <c r="AO63" i="34"/>
  <c r="AN63" i="34"/>
  <c r="AM63" i="34"/>
  <c r="AL63" i="34"/>
  <c r="AV63" i="34"/>
  <c r="AK63" i="34"/>
  <c r="W63" i="34"/>
  <c r="V63" i="34"/>
  <c r="U63" i="34"/>
  <c r="T63" i="34"/>
  <c r="S63" i="34"/>
  <c r="R63" i="34"/>
  <c r="Q63" i="34"/>
  <c r="P63" i="34"/>
  <c r="O63" i="34"/>
  <c r="N63" i="34"/>
  <c r="M63" i="34"/>
  <c r="AU62" i="34"/>
  <c r="AT62" i="34"/>
  <c r="AS62" i="34"/>
  <c r="AR62" i="34"/>
  <c r="AQ62" i="34"/>
  <c r="AP62" i="34"/>
  <c r="AO62" i="34"/>
  <c r="AN62" i="34"/>
  <c r="AM62" i="34"/>
  <c r="AL62" i="34"/>
  <c r="AK62" i="34"/>
  <c r="W62" i="34"/>
  <c r="V62" i="34"/>
  <c r="U62" i="34"/>
  <c r="T62" i="34"/>
  <c r="S62" i="34"/>
  <c r="R62" i="34"/>
  <c r="Q62" i="34"/>
  <c r="P62" i="34"/>
  <c r="O62" i="34"/>
  <c r="N62" i="34"/>
  <c r="M62" i="34"/>
  <c r="AU61" i="34"/>
  <c r="AT61" i="34"/>
  <c r="AS61" i="34"/>
  <c r="AR61" i="34"/>
  <c r="AQ61" i="34"/>
  <c r="AP61" i="34"/>
  <c r="AO61" i="34"/>
  <c r="AN61" i="34"/>
  <c r="AM61" i="34"/>
  <c r="AL61" i="34"/>
  <c r="AK61" i="34"/>
  <c r="W61" i="34"/>
  <c r="V61" i="34"/>
  <c r="U61" i="34"/>
  <c r="T61" i="34"/>
  <c r="S61" i="34"/>
  <c r="R61" i="34"/>
  <c r="Q61" i="34"/>
  <c r="P61" i="34"/>
  <c r="O61" i="34"/>
  <c r="N61" i="34"/>
  <c r="M61" i="34"/>
  <c r="W60" i="34"/>
  <c r="V60" i="34"/>
  <c r="U60" i="34"/>
  <c r="T60" i="34"/>
  <c r="S60" i="34"/>
  <c r="R60" i="34"/>
  <c r="Q60" i="34"/>
  <c r="P60" i="34"/>
  <c r="O60" i="34"/>
  <c r="N60" i="34"/>
  <c r="W59" i="34"/>
  <c r="V59" i="34"/>
  <c r="U59" i="34"/>
  <c r="T59" i="34"/>
  <c r="S59" i="34"/>
  <c r="R59" i="34"/>
  <c r="Q59" i="34"/>
  <c r="P59" i="34"/>
  <c r="O59" i="34"/>
  <c r="N59" i="34"/>
  <c r="W58" i="34"/>
  <c r="V58" i="34"/>
  <c r="U58" i="34"/>
  <c r="T58" i="34"/>
  <c r="S58" i="34"/>
  <c r="R58" i="34"/>
  <c r="Q58" i="34"/>
  <c r="P58" i="34"/>
  <c r="O58" i="34"/>
  <c r="N58" i="34"/>
  <c r="W57" i="34"/>
  <c r="V57" i="34"/>
  <c r="U57" i="34"/>
  <c r="T57" i="34"/>
  <c r="S57" i="34"/>
  <c r="R57" i="34"/>
  <c r="Q57" i="34"/>
  <c r="P57" i="34"/>
  <c r="O57" i="34"/>
  <c r="N57" i="34"/>
  <c r="X57" i="34"/>
  <c r="W56" i="34"/>
  <c r="V56" i="34"/>
  <c r="U56" i="34"/>
  <c r="T56" i="34"/>
  <c r="S56" i="34"/>
  <c r="R56" i="34"/>
  <c r="Q56" i="34"/>
  <c r="P56" i="34"/>
  <c r="O56" i="34"/>
  <c r="N56" i="34"/>
  <c r="W55" i="34"/>
  <c r="V55" i="34"/>
  <c r="U55" i="34"/>
  <c r="T55" i="34"/>
  <c r="S55" i="34"/>
  <c r="R55" i="34"/>
  <c r="Q55" i="34"/>
  <c r="P55" i="34"/>
  <c r="O55" i="34"/>
  <c r="N55" i="34"/>
  <c r="DU17" i="34"/>
  <c r="DS17" i="34"/>
  <c r="DR17" i="34"/>
  <c r="DQ17" i="34"/>
  <c r="DI17" i="34"/>
  <c r="DH17" i="34"/>
  <c r="DK17" i="34"/>
  <c r="DG17" i="34"/>
  <c r="AW17" i="34"/>
  <c r="AV17" i="34"/>
  <c r="AL17" i="34"/>
  <c r="AK17" i="34"/>
  <c r="AA17" i="34"/>
  <c r="Z17" i="34"/>
  <c r="U17" i="34"/>
  <c r="T17" i="34"/>
  <c r="G17" i="34"/>
  <c r="F17" i="34"/>
  <c r="E17" i="34"/>
  <c r="C17" i="34"/>
  <c r="CH17" i="34"/>
  <c r="CG16" i="34"/>
  <c r="CF16" i="34"/>
  <c r="CB16" i="34"/>
  <c r="CA16" i="34"/>
  <c r="BR16" i="34"/>
  <c r="BQ16" i="34"/>
  <c r="BH16" i="34"/>
  <c r="BG16" i="34"/>
  <c r="U16" i="34"/>
  <c r="T16" i="34"/>
  <c r="G16" i="34"/>
  <c r="F16" i="34"/>
  <c r="E16" i="34"/>
  <c r="I16" i="34"/>
  <c r="C16" i="34"/>
  <c r="CH16" i="34"/>
  <c r="U15" i="34"/>
  <c r="T15" i="34"/>
  <c r="G15" i="34"/>
  <c r="F15" i="34"/>
  <c r="E15" i="34"/>
  <c r="C15" i="34"/>
  <c r="CH15" i="34"/>
  <c r="DS14" i="34"/>
  <c r="DR14" i="34"/>
  <c r="DQ14" i="34"/>
  <c r="DI14" i="34"/>
  <c r="DJ14" i="34"/>
  <c r="DH14" i="34"/>
  <c r="DG14" i="34"/>
  <c r="DK14" i="34"/>
  <c r="CG14" i="34"/>
  <c r="CF14" i="34"/>
  <c r="CB14" i="34"/>
  <c r="CA14" i="34"/>
  <c r="BR14" i="34"/>
  <c r="BQ14" i="34"/>
  <c r="BH14" i="34"/>
  <c r="BG14" i="34"/>
  <c r="AW14" i="34"/>
  <c r="AV14" i="34"/>
  <c r="AL14" i="34"/>
  <c r="AK14" i="34"/>
  <c r="AA14" i="34"/>
  <c r="Z14" i="34"/>
  <c r="U14" i="34"/>
  <c r="T14" i="34"/>
  <c r="F14" i="34"/>
  <c r="I14" i="34"/>
  <c r="E14" i="34"/>
  <c r="J14" i="34"/>
  <c r="C14" i="34"/>
  <c r="CH14" i="34"/>
  <c r="U13" i="34"/>
  <c r="T13" i="34"/>
  <c r="J13" i="34"/>
  <c r="I13" i="34"/>
  <c r="C13" i="34"/>
  <c r="CH13" i="34"/>
  <c r="CG12" i="34"/>
  <c r="CF12" i="34"/>
  <c r="CB12" i="34"/>
  <c r="CA12" i="34"/>
  <c r="BR12" i="34"/>
  <c r="BQ12" i="34"/>
  <c r="BH12" i="34"/>
  <c r="BG12" i="34"/>
  <c r="U12" i="34"/>
  <c r="T12" i="34"/>
  <c r="J12" i="34"/>
  <c r="I12" i="34"/>
  <c r="C12" i="34"/>
  <c r="CH12" i="34"/>
  <c r="DS11" i="34"/>
  <c r="DR11" i="34"/>
  <c r="DQ11" i="34"/>
  <c r="DU11" i="34"/>
  <c r="DI11" i="34"/>
  <c r="DH11" i="34"/>
  <c r="DG11" i="34"/>
  <c r="AW11" i="34"/>
  <c r="AV11" i="34"/>
  <c r="AL11" i="34"/>
  <c r="AK11" i="34"/>
  <c r="AA11" i="34"/>
  <c r="Z11" i="34"/>
  <c r="U11" i="34"/>
  <c r="T11" i="34"/>
  <c r="J11" i="34"/>
  <c r="I11" i="34"/>
  <c r="C11" i="34"/>
  <c r="CH11" i="34"/>
  <c r="CG10" i="34"/>
  <c r="CF10" i="34"/>
  <c r="CB10" i="34"/>
  <c r="CA10" i="34"/>
  <c r="BR10" i="34"/>
  <c r="BQ10" i="34"/>
  <c r="BH10" i="34"/>
  <c r="BG10" i="34"/>
  <c r="U10" i="34"/>
  <c r="T10" i="34"/>
  <c r="J10" i="34"/>
  <c r="I10" i="34"/>
  <c r="C10" i="34"/>
  <c r="CH10" i="34"/>
  <c r="DS9" i="34"/>
  <c r="DR9" i="34"/>
  <c r="DQ9" i="34"/>
  <c r="DI9" i="34"/>
  <c r="DH9" i="34"/>
  <c r="DG9" i="34"/>
  <c r="AW9" i="34"/>
  <c r="AV9" i="34"/>
  <c r="AL9" i="34"/>
  <c r="AK9" i="34"/>
  <c r="AA9" i="34"/>
  <c r="Z9" i="34"/>
  <c r="U9" i="34"/>
  <c r="T9" i="34"/>
  <c r="J9" i="34"/>
  <c r="I9" i="34"/>
  <c r="C9" i="34"/>
  <c r="CH9" i="34"/>
  <c r="DU8" i="34"/>
  <c r="DS8" i="34"/>
  <c r="DR8" i="34"/>
  <c r="DQ8" i="34"/>
  <c r="DI8" i="34"/>
  <c r="DH8" i="34"/>
  <c r="DG8" i="34"/>
  <c r="CG8" i="34"/>
  <c r="CF8" i="34"/>
  <c r="CB8" i="34"/>
  <c r="CA8" i="34"/>
  <c r="BR8" i="34"/>
  <c r="BQ8" i="34"/>
  <c r="BH8" i="34"/>
  <c r="BG8" i="34"/>
  <c r="AW8" i="34"/>
  <c r="AV8" i="34"/>
  <c r="AL8" i="34"/>
  <c r="AK8" i="34"/>
  <c r="AA8" i="34"/>
  <c r="Z8" i="34"/>
  <c r="U8" i="34"/>
  <c r="T8" i="34"/>
  <c r="J8" i="34"/>
  <c r="I8" i="34"/>
  <c r="C8" i="34"/>
  <c r="CH8" i="34"/>
  <c r="DS7" i="34"/>
  <c r="DR7" i="34"/>
  <c r="DQ7" i="34"/>
  <c r="DT7" i="34"/>
  <c r="DI7" i="34"/>
  <c r="DH7" i="34"/>
  <c r="DG7" i="34"/>
  <c r="AW7" i="34"/>
  <c r="AV7" i="34"/>
  <c r="AL7" i="34"/>
  <c r="AK7" i="34"/>
  <c r="AA7" i="34"/>
  <c r="Z7" i="34"/>
  <c r="U7" i="34"/>
  <c r="T7" i="34"/>
  <c r="J7" i="34"/>
  <c r="I7" i="34"/>
  <c r="C7" i="34"/>
  <c r="CH7" i="34"/>
  <c r="DT6" i="34"/>
  <c r="DS6" i="34"/>
  <c r="DR6" i="34"/>
  <c r="DQ6" i="34"/>
  <c r="DU6" i="34"/>
  <c r="DI6" i="34"/>
  <c r="DH6" i="34"/>
  <c r="DG6" i="34"/>
  <c r="CG6" i="34"/>
  <c r="CF6" i="34"/>
  <c r="CB6" i="34"/>
  <c r="CA6" i="34"/>
  <c r="BR6" i="34"/>
  <c r="BQ6" i="34"/>
  <c r="BH6" i="34"/>
  <c r="BG6" i="34"/>
  <c r="AW6" i="34"/>
  <c r="AV6" i="34"/>
  <c r="AL6" i="34"/>
  <c r="AK6" i="34"/>
  <c r="AA6" i="34"/>
  <c r="Z6" i="34"/>
  <c r="U6" i="34"/>
  <c r="T6" i="34"/>
  <c r="J6" i="34"/>
  <c r="I6" i="34"/>
  <c r="C6" i="34"/>
  <c r="DJ9" i="34"/>
  <c r="X55" i="34"/>
  <c r="AV61" i="34"/>
  <c r="AV65" i="34"/>
  <c r="X67" i="34"/>
  <c r="X71" i="34"/>
  <c r="X78" i="34"/>
  <c r="X83" i="34"/>
  <c r="DK6" i="34"/>
  <c r="DT8" i="34"/>
  <c r="DT9" i="34"/>
  <c r="DT11" i="34"/>
  <c r="DJ17" i="34"/>
  <c r="X63" i="34"/>
  <c r="X80" i="34"/>
  <c r="X86" i="34"/>
  <c r="X56" i="34"/>
  <c r="X59" i="34"/>
  <c r="X60" i="34"/>
  <c r="AV64" i="34"/>
  <c r="AV81" i="34"/>
  <c r="X91" i="34"/>
  <c r="X62" i="34"/>
  <c r="X66" i="34"/>
  <c r="X68" i="34"/>
  <c r="X79" i="34"/>
  <c r="X84" i="34"/>
  <c r="X92" i="34"/>
  <c r="X87" i="34"/>
  <c r="DK7" i="34"/>
  <c r="DK8" i="34"/>
  <c r="DK11" i="34"/>
  <c r="DU14" i="34"/>
  <c r="X61" i="34"/>
  <c r="X65" i="34"/>
  <c r="X82" i="34"/>
  <c r="X90" i="34"/>
  <c r="DT17" i="34"/>
  <c r="X58" i="34"/>
  <c r="AV62" i="34"/>
  <c r="AV66" i="34"/>
  <c r="X69" i="34"/>
  <c r="X70" i="34"/>
  <c r="X76" i="34"/>
  <c r="X77" i="34"/>
  <c r="AV79" i="34"/>
  <c r="X85" i="34"/>
  <c r="X93" i="34"/>
  <c r="X64" i="34"/>
  <c r="X81" i="34"/>
  <c r="X88" i="34"/>
  <c r="CI4" i="34"/>
  <c r="DU7" i="34"/>
  <c r="DU9" i="34"/>
  <c r="J16" i="34"/>
  <c r="DJ11" i="34"/>
  <c r="F18" i="34"/>
  <c r="DJ7" i="34"/>
  <c r="DJ6" i="34"/>
  <c r="DJ8" i="34"/>
  <c r="DK9" i="34"/>
  <c r="G18" i="34"/>
  <c r="I15" i="34"/>
  <c r="DT14" i="34"/>
  <c r="J15" i="34"/>
  <c r="J17" i="34"/>
  <c r="E18" i="34"/>
  <c r="CH6" i="34"/>
  <c r="I17" i="34"/>
  <c r="CI3" i="34"/>
  <c r="CI8" i="34"/>
  <c r="CI15" i="34"/>
  <c r="CI13" i="34"/>
  <c r="CI6" i="34"/>
  <c r="CJ6" i="34"/>
  <c r="CK6" i="34"/>
  <c r="CL6" i="34"/>
  <c r="D6" i="34"/>
  <c r="CI14" i="34"/>
  <c r="CJ14" i="34"/>
  <c r="CK14" i="34"/>
  <c r="CL14" i="34"/>
  <c r="D14" i="34"/>
  <c r="CI7" i="34"/>
  <c r="CJ7" i="34"/>
  <c r="CK7" i="34"/>
  <c r="CL7" i="34"/>
  <c r="D7" i="34"/>
  <c r="J18" i="34"/>
  <c r="I18" i="34"/>
  <c r="CI17" i="34"/>
  <c r="CI10" i="34"/>
  <c r="CI11" i="34"/>
  <c r="CJ11" i="34"/>
  <c r="CK11" i="34"/>
  <c r="CL11" i="34"/>
  <c r="D11" i="34"/>
  <c r="CI9" i="34"/>
  <c r="CJ9" i="34"/>
  <c r="CK9" i="34"/>
  <c r="CL9" i="34"/>
  <c r="D9" i="34"/>
  <c r="CI16" i="34"/>
  <c r="CJ16" i="34"/>
  <c r="CK16" i="34"/>
  <c r="CL16" i="34"/>
  <c r="D16" i="34"/>
  <c r="CI12" i="34"/>
  <c r="CJ12" i="34"/>
  <c r="CK12" i="34"/>
  <c r="CL12" i="34"/>
  <c r="D12" i="34"/>
  <c r="CJ13" i="34"/>
  <c r="CK13" i="34"/>
  <c r="CL13" i="34"/>
  <c r="D13" i="34"/>
  <c r="BK16" i="34"/>
  <c r="BS16" i="34"/>
  <c r="L16" i="34"/>
  <c r="BU16" i="34"/>
  <c r="BJ16" i="34"/>
  <c r="M16" i="34"/>
  <c r="BI16" i="34"/>
  <c r="K16" i="34"/>
  <c r="BT16" i="34"/>
  <c r="BS14" i="34"/>
  <c r="BK14" i="34"/>
  <c r="K14" i="34"/>
  <c r="AC14" i="34"/>
  <c r="AD14" i="34"/>
  <c r="AO14" i="34"/>
  <c r="M14" i="34"/>
  <c r="AM14" i="34"/>
  <c r="AY14" i="34"/>
  <c r="BU14" i="34"/>
  <c r="AZ14" i="34"/>
  <c r="AN14" i="34"/>
  <c r="AB14" i="34"/>
  <c r="L14" i="34"/>
  <c r="AX14" i="34"/>
  <c r="BT14" i="34"/>
  <c r="BI14" i="34"/>
  <c r="BJ14" i="34"/>
  <c r="BT12" i="34"/>
  <c r="BI12" i="34"/>
  <c r="L12" i="34"/>
  <c r="BS12" i="34"/>
  <c r="K12" i="34"/>
  <c r="BK12" i="34"/>
  <c r="BU12" i="34"/>
  <c r="BJ12" i="34"/>
  <c r="M12" i="34"/>
  <c r="AO6" i="34"/>
  <c r="AC6" i="34"/>
  <c r="M6" i="34"/>
  <c r="AZ6" i="34"/>
  <c r="AN6" i="34"/>
  <c r="AB6" i="34"/>
  <c r="L6" i="34"/>
  <c r="AM6" i="34"/>
  <c r="K6" i="34"/>
  <c r="BK6" i="34"/>
  <c r="AY6" i="34"/>
  <c r="AX6" i="34"/>
  <c r="BT6" i="34"/>
  <c r="BU6" i="34"/>
  <c r="BJ6" i="34"/>
  <c r="BI6" i="34"/>
  <c r="AD6" i="34"/>
  <c r="BS6" i="34"/>
  <c r="M13" i="34"/>
  <c r="L13" i="34"/>
  <c r="K13" i="34"/>
  <c r="AZ9" i="34"/>
  <c r="AN9" i="34"/>
  <c r="AB9" i="34"/>
  <c r="L9" i="34"/>
  <c r="AY9" i="34"/>
  <c r="AM9" i="34"/>
  <c r="K9" i="34"/>
  <c r="AX9" i="34"/>
  <c r="AO9" i="34"/>
  <c r="AC9" i="34"/>
  <c r="M9" i="34"/>
  <c r="AD9" i="34"/>
  <c r="CJ15" i="34"/>
  <c r="CK15" i="34"/>
  <c r="CL15" i="34"/>
  <c r="D15" i="34"/>
  <c r="AZ7" i="34"/>
  <c r="AN7" i="34"/>
  <c r="AB7" i="34"/>
  <c r="L7" i="34"/>
  <c r="AY7" i="34"/>
  <c r="AM7" i="34"/>
  <c r="K7" i="34"/>
  <c r="AD7" i="34"/>
  <c r="AX7" i="34"/>
  <c r="AO7" i="34"/>
  <c r="AC7" i="34"/>
  <c r="M7" i="34"/>
  <c r="AY11" i="34"/>
  <c r="AM11" i="34"/>
  <c r="K11" i="34"/>
  <c r="AX11" i="34"/>
  <c r="AO11" i="34"/>
  <c r="AC11" i="34"/>
  <c r="M11" i="34"/>
  <c r="AZ11" i="34"/>
  <c r="AN11" i="34"/>
  <c r="AB11" i="34"/>
  <c r="L11" i="34"/>
  <c r="AD11" i="34"/>
  <c r="CJ10" i="34"/>
  <c r="CK10" i="34"/>
  <c r="CL10" i="34"/>
  <c r="D10" i="34"/>
  <c r="CJ17" i="34"/>
  <c r="CK17" i="34"/>
  <c r="CL17" i="34"/>
  <c r="D17" i="34"/>
  <c r="CJ8" i="34"/>
  <c r="CK8" i="34"/>
  <c r="CL8" i="34"/>
  <c r="D8" i="34"/>
  <c r="BM16" i="34"/>
  <c r="BL16" i="34"/>
  <c r="AO8" i="34"/>
  <c r="AC8" i="34"/>
  <c r="M8" i="34"/>
  <c r="AD19" i="34"/>
  <c r="BS8" i="34"/>
  <c r="AZ8" i="34"/>
  <c r="AN8" i="34"/>
  <c r="AB8" i="34"/>
  <c r="L8" i="34"/>
  <c r="AC19" i="34"/>
  <c r="BU8" i="34"/>
  <c r="BI8" i="34"/>
  <c r="BK8" i="34"/>
  <c r="AY8" i="34"/>
  <c r="AM8" i="34"/>
  <c r="K8" i="34"/>
  <c r="K18" i="34"/>
  <c r="AX8" i="34"/>
  <c r="BT8" i="34"/>
  <c r="BJ8" i="34"/>
  <c r="AD8" i="34"/>
  <c r="AD18" i="34"/>
  <c r="AF7" i="34"/>
  <c r="AE7" i="34"/>
  <c r="BB9" i="34"/>
  <c r="BA9" i="34"/>
  <c r="O13" i="34"/>
  <c r="N13" i="34"/>
  <c r="AQ14" i="34"/>
  <c r="AP14" i="34"/>
  <c r="AY17" i="34"/>
  <c r="AN17" i="34"/>
  <c r="AB17" i="34"/>
  <c r="AX17" i="34"/>
  <c r="AM17" i="34"/>
  <c r="AD17" i="34"/>
  <c r="AZ17" i="34"/>
  <c r="AO17" i="34"/>
  <c r="AC17" i="34"/>
  <c r="L17" i="34"/>
  <c r="L19" i="34"/>
  <c r="M17" i="34"/>
  <c r="M19" i="34"/>
  <c r="K17" i="34"/>
  <c r="N9" i="34"/>
  <c r="O9" i="34"/>
  <c r="BA6" i="34"/>
  <c r="BB6" i="34"/>
  <c r="O12" i="34"/>
  <c r="N12" i="34"/>
  <c r="BA14" i="34"/>
  <c r="BB14" i="34"/>
  <c r="N16" i="34"/>
  <c r="O16" i="34"/>
  <c r="BA7" i="34"/>
  <c r="BB7" i="34"/>
  <c r="BW12" i="34"/>
  <c r="BV12" i="34"/>
  <c r="N11" i="34"/>
  <c r="O11" i="34"/>
  <c r="BM12" i="34"/>
  <c r="BL12" i="34"/>
  <c r="AF11" i="34"/>
  <c r="AE11" i="34"/>
  <c r="AP11" i="34"/>
  <c r="AQ11" i="34"/>
  <c r="AP7" i="34"/>
  <c r="AQ7" i="34"/>
  <c r="AE9" i="34"/>
  <c r="AF9" i="34"/>
  <c r="BM6" i="34"/>
  <c r="BL6" i="34"/>
  <c r="AQ6" i="34"/>
  <c r="AP6" i="34"/>
  <c r="O14" i="34"/>
  <c r="N14" i="34"/>
  <c r="AP9" i="34"/>
  <c r="AQ9" i="34"/>
  <c r="BB11" i="34"/>
  <c r="BA11" i="34"/>
  <c r="BW6" i="34"/>
  <c r="BV6" i="34"/>
  <c r="O7" i="34"/>
  <c r="N7" i="34"/>
  <c r="O6" i="34"/>
  <c r="N6" i="34"/>
  <c r="L18" i="34"/>
  <c r="BU10" i="34"/>
  <c r="BJ10" i="34"/>
  <c r="M10" i="34"/>
  <c r="BT10" i="34"/>
  <c r="BI10" i="34"/>
  <c r="L10" i="34"/>
  <c r="BS10" i="34"/>
  <c r="K10" i="34"/>
  <c r="BK10" i="34"/>
  <c r="M15" i="34"/>
  <c r="K15" i="34"/>
  <c r="L15" i="34"/>
  <c r="AC18" i="34"/>
  <c r="AF14" i="34"/>
  <c r="AE14" i="34"/>
  <c r="AB18" i="34"/>
  <c r="AF6" i="34"/>
  <c r="AE6" i="34"/>
  <c r="BM14" i="34"/>
  <c r="BL14" i="34"/>
  <c r="BW14" i="34"/>
  <c r="BV14" i="34"/>
  <c r="BW16" i="34"/>
  <c r="BV16" i="34"/>
  <c r="O10" i="34"/>
  <c r="N10" i="34"/>
  <c r="N15" i="34"/>
  <c r="O15" i="34"/>
  <c r="AF17" i="34"/>
  <c r="AE17" i="34"/>
  <c r="AQ8" i="34"/>
  <c r="AP8" i="34"/>
  <c r="BM8" i="34"/>
  <c r="BL8" i="34"/>
  <c r="BW10" i="34"/>
  <c r="BV10" i="34"/>
  <c r="BL10" i="34"/>
  <c r="BM10" i="34"/>
  <c r="AE18" i="34"/>
  <c r="AF18" i="34"/>
  <c r="AP17" i="34"/>
  <c r="AQ17" i="34"/>
  <c r="BA8" i="34"/>
  <c r="BB8" i="34"/>
  <c r="AF8" i="34"/>
  <c r="AE8" i="34"/>
  <c r="BW8" i="34"/>
  <c r="BV8" i="34"/>
  <c r="O17" i="34"/>
  <c r="K19" i="34"/>
  <c r="N17" i="34"/>
  <c r="BB17" i="34"/>
  <c r="BA17" i="34"/>
  <c r="AB19" i="34"/>
  <c r="O8" i="34"/>
  <c r="N8" i="34"/>
  <c r="M18" i="34"/>
  <c r="O18" i="34"/>
  <c r="AE19" i="34"/>
  <c r="AF19" i="34"/>
  <c r="O19" i="34"/>
  <c r="N19" i="34"/>
  <c r="N18" i="34"/>
  <c r="T199" i="33"/>
  <c r="S199" i="33"/>
  <c r="R199" i="33"/>
  <c r="P199" i="33"/>
  <c r="O199" i="33"/>
  <c r="L199" i="33"/>
  <c r="J199" i="33"/>
  <c r="I199" i="33"/>
  <c r="F199" i="33"/>
  <c r="D197" i="33"/>
  <c r="D198" i="33"/>
  <c r="C197" i="33"/>
  <c r="C198" i="33"/>
  <c r="B197" i="33"/>
  <c r="B198" i="33"/>
  <c r="T196" i="33"/>
  <c r="T197" i="33"/>
  <c r="T198" i="33"/>
  <c r="S196" i="33"/>
  <c r="S197" i="33"/>
  <c r="S198" i="33"/>
  <c r="R196" i="33"/>
  <c r="R197" i="33"/>
  <c r="R198" i="33"/>
  <c r="R200" i="33"/>
  <c r="P196" i="33"/>
  <c r="P197" i="33"/>
  <c r="P198" i="33"/>
  <c r="O196" i="33"/>
  <c r="O197" i="33"/>
  <c r="O198" i="33"/>
  <c r="L196" i="33"/>
  <c r="L197" i="33"/>
  <c r="L198" i="33"/>
  <c r="J196" i="33"/>
  <c r="J197" i="33"/>
  <c r="J198" i="33"/>
  <c r="I196" i="33"/>
  <c r="I197" i="33"/>
  <c r="I198" i="33"/>
  <c r="F196" i="33"/>
  <c r="F197" i="33"/>
  <c r="F198" i="33"/>
  <c r="E191" i="33"/>
  <c r="D191" i="33"/>
  <c r="C191" i="33"/>
  <c r="P152" i="33"/>
  <c r="K152" i="33"/>
  <c r="O152" i="33"/>
  <c r="J152" i="33"/>
  <c r="L152" i="33"/>
  <c r="D152" i="33"/>
  <c r="P151" i="33"/>
  <c r="L151" i="33"/>
  <c r="J151" i="33"/>
  <c r="D151" i="33"/>
  <c r="P150" i="33"/>
  <c r="K150" i="33"/>
  <c r="O150" i="33"/>
  <c r="J150" i="33"/>
  <c r="L150" i="33"/>
  <c r="D150" i="33"/>
  <c r="P149" i="33"/>
  <c r="K149" i="33"/>
  <c r="O149" i="33"/>
  <c r="J149" i="33"/>
  <c r="L149" i="33"/>
  <c r="D149" i="33"/>
  <c r="P148" i="33"/>
  <c r="L148" i="33"/>
  <c r="K148" i="33"/>
  <c r="O148" i="33"/>
  <c r="J148" i="33"/>
  <c r="D148" i="33"/>
  <c r="P147" i="33"/>
  <c r="K147" i="33"/>
  <c r="O147" i="33"/>
  <c r="J147" i="33"/>
  <c r="L147" i="33"/>
  <c r="D147" i="33"/>
  <c r="P146" i="33"/>
  <c r="K146" i="33"/>
  <c r="O146" i="33"/>
  <c r="J146" i="33"/>
  <c r="L146" i="33"/>
  <c r="D146" i="33"/>
  <c r="P145" i="33"/>
  <c r="O145" i="33"/>
  <c r="K145" i="33"/>
  <c r="J145" i="33"/>
  <c r="L145" i="33"/>
  <c r="D145" i="33"/>
  <c r="P144" i="33"/>
  <c r="K144" i="33"/>
  <c r="O144" i="33"/>
  <c r="J144" i="33"/>
  <c r="L144" i="33"/>
  <c r="D144" i="33"/>
  <c r="P143" i="33"/>
  <c r="L143" i="33"/>
  <c r="K143" i="33"/>
  <c r="O143" i="33"/>
  <c r="J143" i="33"/>
  <c r="D143" i="33"/>
  <c r="P142" i="33"/>
  <c r="K142" i="33"/>
  <c r="O142" i="33"/>
  <c r="J142" i="33"/>
  <c r="L142" i="33"/>
  <c r="D142" i="33"/>
  <c r="P141" i="33"/>
  <c r="K141" i="33"/>
  <c r="O141" i="33"/>
  <c r="J141" i="33"/>
  <c r="L141" i="33"/>
  <c r="D141" i="33"/>
  <c r="P140" i="33"/>
  <c r="L140" i="33"/>
  <c r="K140" i="33"/>
  <c r="O140" i="33"/>
  <c r="J140" i="33"/>
  <c r="D140" i="33"/>
  <c r="P139" i="33"/>
  <c r="K139" i="33"/>
  <c r="O139" i="33"/>
  <c r="J139" i="33"/>
  <c r="L139" i="33"/>
  <c r="D139" i="33"/>
  <c r="P138" i="33"/>
  <c r="K138" i="33"/>
  <c r="O138" i="33"/>
  <c r="J138" i="33"/>
  <c r="L138" i="33"/>
  <c r="D138" i="33"/>
  <c r="P137" i="33"/>
  <c r="K137" i="33"/>
  <c r="O137" i="33"/>
  <c r="J137" i="33"/>
  <c r="L137" i="33"/>
  <c r="D137" i="33"/>
  <c r="P136" i="33"/>
  <c r="K136" i="33"/>
  <c r="O136" i="33"/>
  <c r="J136" i="33"/>
  <c r="L136" i="33"/>
  <c r="D136" i="33"/>
  <c r="P135" i="33"/>
  <c r="K135" i="33"/>
  <c r="O135" i="33"/>
  <c r="J135" i="33"/>
  <c r="L135" i="33"/>
  <c r="D135" i="33"/>
  <c r="P134" i="33"/>
  <c r="K134" i="33"/>
  <c r="O134" i="33"/>
  <c r="J134" i="33"/>
  <c r="L134" i="33"/>
  <c r="D134" i="33"/>
  <c r="P133" i="33"/>
  <c r="K133" i="33"/>
  <c r="O133" i="33"/>
  <c r="J133" i="33"/>
  <c r="L133" i="33"/>
  <c r="D133" i="33"/>
  <c r="P132" i="33"/>
  <c r="K132" i="33"/>
  <c r="O132" i="33"/>
  <c r="J132" i="33"/>
  <c r="L132" i="33"/>
  <c r="D132" i="33"/>
  <c r="BL129" i="33"/>
  <c r="BK129" i="33"/>
  <c r="BJ129" i="33"/>
  <c r="BI129" i="33"/>
  <c r="BH129" i="33"/>
  <c r="BG129" i="33"/>
  <c r="BF129" i="33"/>
  <c r="BE129" i="33"/>
  <c r="BD129" i="33"/>
  <c r="BC129" i="33"/>
  <c r="AM129" i="33"/>
  <c r="AL129" i="33"/>
  <c r="AK129" i="33"/>
  <c r="AJ129" i="33"/>
  <c r="AI129" i="33"/>
  <c r="AH129" i="33"/>
  <c r="AG129" i="33"/>
  <c r="AF129" i="33"/>
  <c r="AE129" i="33"/>
  <c r="AD129" i="33"/>
  <c r="AA129" i="33"/>
  <c r="Z129" i="33"/>
  <c r="Y129" i="33"/>
  <c r="X129" i="33"/>
  <c r="W129" i="33"/>
  <c r="V129" i="33"/>
  <c r="U129" i="33"/>
  <c r="T129" i="33"/>
  <c r="S129" i="33"/>
  <c r="R129" i="33"/>
  <c r="AM128" i="33"/>
  <c r="AL128" i="33"/>
  <c r="AK128" i="33"/>
  <c r="AJ128" i="33"/>
  <c r="AI128" i="33"/>
  <c r="AH128" i="33"/>
  <c r="AG128" i="33"/>
  <c r="AF128" i="33"/>
  <c r="AE128" i="33"/>
  <c r="AD128" i="33"/>
  <c r="AA128" i="33"/>
  <c r="Z128" i="33"/>
  <c r="Y128" i="33"/>
  <c r="X128" i="33"/>
  <c r="W128" i="33"/>
  <c r="V128" i="33"/>
  <c r="U128" i="33"/>
  <c r="T128" i="33"/>
  <c r="S128" i="33"/>
  <c r="R128" i="33"/>
  <c r="BL127" i="33"/>
  <c r="BK127" i="33"/>
  <c r="BJ127" i="33"/>
  <c r="BI127" i="33"/>
  <c r="BH127" i="33"/>
  <c r="BG127" i="33"/>
  <c r="BF127" i="33"/>
  <c r="BE127" i="33"/>
  <c r="BD127" i="33"/>
  <c r="BC127" i="33"/>
  <c r="AM127" i="33"/>
  <c r="AL127" i="33"/>
  <c r="AK127" i="33"/>
  <c r="AJ127" i="33"/>
  <c r="AI127" i="33"/>
  <c r="AH127" i="33"/>
  <c r="AG127" i="33"/>
  <c r="AF127" i="33"/>
  <c r="AE127" i="33"/>
  <c r="AD127" i="33"/>
  <c r="AA127" i="33"/>
  <c r="Z127" i="33"/>
  <c r="Y127" i="33"/>
  <c r="X127" i="33"/>
  <c r="W127" i="33"/>
  <c r="V127" i="33"/>
  <c r="U127" i="33"/>
  <c r="T127" i="33"/>
  <c r="S127" i="33"/>
  <c r="R127" i="33"/>
  <c r="AM126" i="33"/>
  <c r="AL126" i="33"/>
  <c r="AK126" i="33"/>
  <c r="AJ126" i="33"/>
  <c r="AI126" i="33"/>
  <c r="AH126" i="33"/>
  <c r="AG126" i="33"/>
  <c r="AF126" i="33"/>
  <c r="AE126" i="33"/>
  <c r="AD126" i="33"/>
  <c r="AA126" i="33"/>
  <c r="Z126" i="33"/>
  <c r="Y126" i="33"/>
  <c r="X126" i="33"/>
  <c r="W126" i="33"/>
  <c r="V126" i="33"/>
  <c r="U126" i="33"/>
  <c r="T126" i="33"/>
  <c r="S126" i="33"/>
  <c r="R126" i="33"/>
  <c r="BL125" i="33"/>
  <c r="BK125" i="33"/>
  <c r="BJ125" i="33"/>
  <c r="BI125" i="33"/>
  <c r="BH125" i="33"/>
  <c r="BG125" i="33"/>
  <c r="BF125" i="33"/>
  <c r="BE125" i="33"/>
  <c r="BD125" i="33"/>
  <c r="BC125" i="33"/>
  <c r="AM125" i="33"/>
  <c r="AL125" i="33"/>
  <c r="AK125" i="33"/>
  <c r="AJ125" i="33"/>
  <c r="AI125" i="33"/>
  <c r="AH125" i="33"/>
  <c r="AG125" i="33"/>
  <c r="AF125" i="33"/>
  <c r="AE125" i="33"/>
  <c r="AD125" i="33"/>
  <c r="AA125" i="33"/>
  <c r="Z125" i="33"/>
  <c r="Y125" i="33"/>
  <c r="X125" i="33"/>
  <c r="W125" i="33"/>
  <c r="V125" i="33"/>
  <c r="U125" i="33"/>
  <c r="T125" i="33"/>
  <c r="S125" i="33"/>
  <c r="R125" i="33"/>
  <c r="BL124" i="33"/>
  <c r="BK124" i="33"/>
  <c r="BJ124" i="33"/>
  <c r="BI124" i="33"/>
  <c r="BH124" i="33"/>
  <c r="BG124" i="33"/>
  <c r="BF124" i="33"/>
  <c r="BE124" i="33"/>
  <c r="BD124" i="33"/>
  <c r="BC124" i="33"/>
  <c r="AM124" i="33"/>
  <c r="AL124" i="33"/>
  <c r="AK124" i="33"/>
  <c r="AJ124" i="33"/>
  <c r="AI124" i="33"/>
  <c r="AH124" i="33"/>
  <c r="AG124" i="33"/>
  <c r="AF124" i="33"/>
  <c r="AE124" i="33"/>
  <c r="AD124" i="33"/>
  <c r="AA124" i="33"/>
  <c r="Z124" i="33"/>
  <c r="Y124" i="33"/>
  <c r="X124" i="33"/>
  <c r="W124" i="33"/>
  <c r="V124" i="33"/>
  <c r="U124" i="33"/>
  <c r="T124" i="33"/>
  <c r="S124" i="33"/>
  <c r="R124" i="33"/>
  <c r="AM123" i="33"/>
  <c r="AL123" i="33"/>
  <c r="AK123" i="33"/>
  <c r="AJ123" i="33"/>
  <c r="AI123" i="33"/>
  <c r="AH123" i="33"/>
  <c r="AG123" i="33"/>
  <c r="AF123" i="33"/>
  <c r="AE123" i="33"/>
  <c r="AD123" i="33"/>
  <c r="AA123" i="33"/>
  <c r="Z123" i="33"/>
  <c r="Y123" i="33"/>
  <c r="X123" i="33"/>
  <c r="W123" i="33"/>
  <c r="V123" i="33"/>
  <c r="U123" i="33"/>
  <c r="T123" i="33"/>
  <c r="S123" i="33"/>
  <c r="R123" i="33"/>
  <c r="BL122" i="33"/>
  <c r="BK122" i="33"/>
  <c r="BJ122" i="33"/>
  <c r="BI122" i="33"/>
  <c r="BH122" i="33"/>
  <c r="BG122" i="33"/>
  <c r="BF122" i="33"/>
  <c r="BE122" i="33"/>
  <c r="BD122" i="33"/>
  <c r="BC122" i="33"/>
  <c r="AM122" i="33"/>
  <c r="AL122" i="33"/>
  <c r="AK122" i="33"/>
  <c r="AJ122" i="33"/>
  <c r="AI122" i="33"/>
  <c r="AH122" i="33"/>
  <c r="AG122" i="33"/>
  <c r="AF122" i="33"/>
  <c r="AE122" i="33"/>
  <c r="AD122" i="33"/>
  <c r="AA122" i="33"/>
  <c r="Z122" i="33"/>
  <c r="Y122" i="33"/>
  <c r="X122" i="33"/>
  <c r="W122" i="33"/>
  <c r="V122" i="33"/>
  <c r="U122" i="33"/>
  <c r="T122" i="33"/>
  <c r="S122" i="33"/>
  <c r="R122" i="33"/>
  <c r="AM121" i="33"/>
  <c r="AL121" i="33"/>
  <c r="AK121" i="33"/>
  <c r="AJ121" i="33"/>
  <c r="AI121" i="33"/>
  <c r="AH121" i="33"/>
  <c r="AG121" i="33"/>
  <c r="AF121" i="33"/>
  <c r="AE121" i="33"/>
  <c r="AD121" i="33"/>
  <c r="AA121" i="33"/>
  <c r="Z121" i="33"/>
  <c r="Y121" i="33"/>
  <c r="X121" i="33"/>
  <c r="W121" i="33"/>
  <c r="V121" i="33"/>
  <c r="U121" i="33"/>
  <c r="T121" i="33"/>
  <c r="S121" i="33"/>
  <c r="R121" i="33"/>
  <c r="BL120" i="33"/>
  <c r="BK120" i="33"/>
  <c r="BJ120" i="33"/>
  <c r="BI120" i="33"/>
  <c r="BH120" i="33"/>
  <c r="BG120" i="33"/>
  <c r="BF120" i="33"/>
  <c r="BE120" i="33"/>
  <c r="BM120" i="33"/>
  <c r="BD120" i="33"/>
  <c r="BC120" i="33"/>
  <c r="AM120" i="33"/>
  <c r="AL120" i="33"/>
  <c r="AK120" i="33"/>
  <c r="AJ120" i="33"/>
  <c r="AI120" i="33"/>
  <c r="AH120" i="33"/>
  <c r="AG120" i="33"/>
  <c r="AF120" i="33"/>
  <c r="AE120" i="33"/>
  <c r="AD120" i="33"/>
  <c r="AA120" i="33"/>
  <c r="Z120" i="33"/>
  <c r="Y120" i="33"/>
  <c r="X120" i="33"/>
  <c r="W120" i="33"/>
  <c r="V120" i="33"/>
  <c r="U120" i="33"/>
  <c r="T120" i="33"/>
  <c r="S120" i="33"/>
  <c r="R120" i="33"/>
  <c r="AM119" i="33"/>
  <c r="AL119" i="33"/>
  <c r="AK119" i="33"/>
  <c r="AJ119" i="33"/>
  <c r="AI119" i="33"/>
  <c r="AH119" i="33"/>
  <c r="AG119" i="33"/>
  <c r="AF119" i="33"/>
  <c r="AE119" i="33"/>
  <c r="AD119" i="33"/>
  <c r="AN119" i="33"/>
  <c r="AA119" i="33"/>
  <c r="Z119" i="33"/>
  <c r="Y119" i="33"/>
  <c r="X119" i="33"/>
  <c r="W119" i="33"/>
  <c r="V119" i="33"/>
  <c r="U119" i="33"/>
  <c r="T119" i="33"/>
  <c r="AB119" i="33"/>
  <c r="S119" i="33"/>
  <c r="R119" i="33"/>
  <c r="BL118" i="33"/>
  <c r="BK118" i="33"/>
  <c r="BJ118" i="33"/>
  <c r="BI118" i="33"/>
  <c r="BH118" i="33"/>
  <c r="BG118" i="33"/>
  <c r="BF118" i="33"/>
  <c r="BE118" i="33"/>
  <c r="BD118" i="33"/>
  <c r="BC118" i="33"/>
  <c r="AM118" i="33"/>
  <c r="AL118" i="33"/>
  <c r="AK118" i="33"/>
  <c r="AJ118" i="33"/>
  <c r="AI118" i="33"/>
  <c r="AH118" i="33"/>
  <c r="AG118" i="33"/>
  <c r="AF118" i="33"/>
  <c r="AE118" i="33"/>
  <c r="AD118" i="33"/>
  <c r="AA118" i="33"/>
  <c r="Z118" i="33"/>
  <c r="Y118" i="33"/>
  <c r="X118" i="33"/>
  <c r="W118" i="33"/>
  <c r="V118" i="33"/>
  <c r="U118" i="33"/>
  <c r="T118" i="33"/>
  <c r="S118" i="33"/>
  <c r="R118" i="33"/>
  <c r="AB118" i="33"/>
  <c r="AM117" i="33"/>
  <c r="AL117" i="33"/>
  <c r="AK117" i="33"/>
  <c r="AJ117" i="33"/>
  <c r="AI117" i="33"/>
  <c r="AH117" i="33"/>
  <c r="AG117" i="33"/>
  <c r="AF117" i="33"/>
  <c r="AN117" i="33"/>
  <c r="AE117" i="33"/>
  <c r="AD117" i="33"/>
  <c r="AA117" i="33"/>
  <c r="Z117" i="33"/>
  <c r="Y117" i="33"/>
  <c r="X117" i="33"/>
  <c r="W117" i="33"/>
  <c r="V117" i="33"/>
  <c r="U117" i="33"/>
  <c r="T117" i="33"/>
  <c r="S117" i="33"/>
  <c r="R117" i="33"/>
  <c r="BL116" i="33"/>
  <c r="BK116" i="33"/>
  <c r="BJ116" i="33"/>
  <c r="BI116" i="33"/>
  <c r="BH116" i="33"/>
  <c r="BG116" i="33"/>
  <c r="BF116" i="33"/>
  <c r="BE116" i="33"/>
  <c r="BD116" i="33"/>
  <c r="BC116" i="33"/>
  <c r="AM116" i="33"/>
  <c r="AL116" i="33"/>
  <c r="AK116" i="33"/>
  <c r="AJ116" i="33"/>
  <c r="AI116" i="33"/>
  <c r="AH116" i="33"/>
  <c r="AG116" i="33"/>
  <c r="AF116" i="33"/>
  <c r="AE116" i="33"/>
  <c r="AD116" i="33"/>
  <c r="AN116" i="33"/>
  <c r="AQ145" i="33"/>
  <c r="AA116" i="33"/>
  <c r="Z116" i="33"/>
  <c r="Y116" i="33"/>
  <c r="X116" i="33"/>
  <c r="W116" i="33"/>
  <c r="V116" i="33"/>
  <c r="U116" i="33"/>
  <c r="T116" i="33"/>
  <c r="AB116" i="33"/>
  <c r="S116" i="33"/>
  <c r="R116" i="33"/>
  <c r="BL115" i="33"/>
  <c r="BK115" i="33"/>
  <c r="BJ115" i="33"/>
  <c r="BI115" i="33"/>
  <c r="BH115" i="33"/>
  <c r="BG115" i="33"/>
  <c r="BF115" i="33"/>
  <c r="BE115" i="33"/>
  <c r="BD115" i="33"/>
  <c r="BC115" i="33"/>
  <c r="AM115" i="33"/>
  <c r="AL115" i="33"/>
  <c r="AK115" i="33"/>
  <c r="AJ115" i="33"/>
  <c r="AI115" i="33"/>
  <c r="AH115" i="33"/>
  <c r="AG115" i="33"/>
  <c r="AF115" i="33"/>
  <c r="AE115" i="33"/>
  <c r="AD115" i="33"/>
  <c r="AA115" i="33"/>
  <c r="Z115" i="33"/>
  <c r="Y115" i="33"/>
  <c r="X115" i="33"/>
  <c r="W115" i="33"/>
  <c r="V115" i="33"/>
  <c r="U115" i="33"/>
  <c r="T115" i="33"/>
  <c r="S115" i="33"/>
  <c r="R115" i="33"/>
  <c r="AB115" i="33"/>
  <c r="BL114" i="33"/>
  <c r="BK114" i="33"/>
  <c r="BJ114" i="33"/>
  <c r="BI114" i="33"/>
  <c r="BH114" i="33"/>
  <c r="BG114" i="33"/>
  <c r="BF114" i="33"/>
  <c r="BE114" i="33"/>
  <c r="BM114" i="33"/>
  <c r="BD114" i="33"/>
  <c r="BC114" i="33"/>
  <c r="AM114" i="33"/>
  <c r="AL114" i="33"/>
  <c r="AK114" i="33"/>
  <c r="AJ114" i="33"/>
  <c r="AI114" i="33"/>
  <c r="AH114" i="33"/>
  <c r="AG114" i="33"/>
  <c r="AF114" i="33"/>
  <c r="AE114" i="33"/>
  <c r="AD114" i="33"/>
  <c r="AA114" i="33"/>
  <c r="Z114" i="33"/>
  <c r="Y114" i="33"/>
  <c r="X114" i="33"/>
  <c r="W114" i="33"/>
  <c r="V114" i="33"/>
  <c r="U114" i="33"/>
  <c r="T114" i="33"/>
  <c r="S114" i="33"/>
  <c r="R114" i="33"/>
  <c r="AM113" i="33"/>
  <c r="AL113" i="33"/>
  <c r="AK113" i="33"/>
  <c r="AJ113" i="33"/>
  <c r="AI113" i="33"/>
  <c r="AH113" i="33"/>
  <c r="AG113" i="33"/>
  <c r="AF113" i="33"/>
  <c r="AE113" i="33"/>
  <c r="AD113" i="33"/>
  <c r="AN113" i="33"/>
  <c r="AA113" i="33"/>
  <c r="Z113" i="33"/>
  <c r="Y113" i="33"/>
  <c r="X113" i="33"/>
  <c r="W113" i="33"/>
  <c r="V113" i="33"/>
  <c r="U113" i="33"/>
  <c r="T113" i="33"/>
  <c r="AB113" i="33"/>
  <c r="S113" i="33"/>
  <c r="R113" i="33"/>
  <c r="BL112" i="33"/>
  <c r="BK112" i="33"/>
  <c r="BJ112" i="33"/>
  <c r="BI112" i="33"/>
  <c r="BH112" i="33"/>
  <c r="BG112" i="33"/>
  <c r="BF112" i="33"/>
  <c r="BE112" i="33"/>
  <c r="BD112" i="33"/>
  <c r="BC112" i="33"/>
  <c r="AM112" i="33"/>
  <c r="AL112" i="33"/>
  <c r="AK112" i="33"/>
  <c r="AJ112" i="33"/>
  <c r="AI112" i="33"/>
  <c r="AH112" i="33"/>
  <c r="AG112" i="33"/>
  <c r="AF112" i="33"/>
  <c r="AE112" i="33"/>
  <c r="AD112" i="33"/>
  <c r="AA112" i="33"/>
  <c r="Z112" i="33"/>
  <c r="Y112" i="33"/>
  <c r="X112" i="33"/>
  <c r="W112" i="33"/>
  <c r="V112" i="33"/>
  <c r="U112" i="33"/>
  <c r="T112" i="33"/>
  <c r="S112" i="33"/>
  <c r="R112" i="33"/>
  <c r="AB112" i="33"/>
  <c r="BL111" i="33"/>
  <c r="BK111" i="33"/>
  <c r="BJ111" i="33"/>
  <c r="BI111" i="33"/>
  <c r="BH111" i="33"/>
  <c r="BG111" i="33"/>
  <c r="BF111" i="33"/>
  <c r="BE111" i="33"/>
  <c r="BM111" i="33"/>
  <c r="BD111" i="33"/>
  <c r="BC111" i="33"/>
  <c r="AM111" i="33"/>
  <c r="AL111" i="33"/>
  <c r="AK111" i="33"/>
  <c r="AJ111" i="33"/>
  <c r="AI111" i="33"/>
  <c r="AH111" i="33"/>
  <c r="AG111" i="33"/>
  <c r="AF111" i="33"/>
  <c r="AE111" i="33"/>
  <c r="AD111" i="33"/>
  <c r="AA111" i="33"/>
  <c r="Z111" i="33"/>
  <c r="Y111" i="33"/>
  <c r="X111" i="33"/>
  <c r="W111" i="33"/>
  <c r="V111" i="33"/>
  <c r="U111" i="33"/>
  <c r="T111" i="33"/>
  <c r="S111" i="33"/>
  <c r="R111" i="33"/>
  <c r="BL110" i="33"/>
  <c r="BK110" i="33"/>
  <c r="BJ110" i="33"/>
  <c r="BI110" i="33"/>
  <c r="BH110" i="33"/>
  <c r="BG110" i="33"/>
  <c r="BF110" i="33"/>
  <c r="BE110" i="33"/>
  <c r="BD110" i="33"/>
  <c r="BC110" i="33"/>
  <c r="BM110" i="33"/>
  <c r="AM110" i="33"/>
  <c r="AL110" i="33"/>
  <c r="AK110" i="33"/>
  <c r="AJ110" i="33"/>
  <c r="AI110" i="33"/>
  <c r="AH110" i="33"/>
  <c r="AG110" i="33"/>
  <c r="AF110" i="33"/>
  <c r="AN110" i="33"/>
  <c r="AQ142" i="33"/>
  <c r="AE110" i="33"/>
  <c r="AD110" i="33"/>
  <c r="AA110" i="33"/>
  <c r="Z110" i="33"/>
  <c r="Y110" i="33"/>
  <c r="X110" i="33"/>
  <c r="W110" i="33"/>
  <c r="V110" i="33"/>
  <c r="U110" i="33"/>
  <c r="T110" i="33"/>
  <c r="S110" i="33"/>
  <c r="R110" i="33"/>
  <c r="BL109" i="33"/>
  <c r="BK109" i="33"/>
  <c r="BJ109" i="33"/>
  <c r="BI109" i="33"/>
  <c r="BH109" i="33"/>
  <c r="BG109" i="33"/>
  <c r="BF109" i="33"/>
  <c r="BE109" i="33"/>
  <c r="BD109" i="33"/>
  <c r="BC109" i="33"/>
  <c r="BL108" i="33"/>
  <c r="BK108" i="33"/>
  <c r="BJ108" i="33"/>
  <c r="BI108" i="33"/>
  <c r="BH108" i="33"/>
  <c r="BG108" i="33"/>
  <c r="BF108" i="33"/>
  <c r="BE108" i="33"/>
  <c r="BD108" i="33"/>
  <c r="BC108" i="33"/>
  <c r="BM108" i="33"/>
  <c r="AM108" i="33"/>
  <c r="AL108" i="33"/>
  <c r="AK108" i="33"/>
  <c r="AJ108" i="33"/>
  <c r="AI108" i="33"/>
  <c r="AH108" i="33"/>
  <c r="AG108" i="33"/>
  <c r="AF108" i="33"/>
  <c r="AN108" i="33"/>
  <c r="AQ141" i="33"/>
  <c r="AE108" i="33"/>
  <c r="AD108" i="33"/>
  <c r="AA108" i="33"/>
  <c r="Z108" i="33"/>
  <c r="Y108" i="33"/>
  <c r="X108" i="33"/>
  <c r="W108" i="33"/>
  <c r="V108" i="33"/>
  <c r="U108" i="33"/>
  <c r="T108" i="33"/>
  <c r="S108" i="33"/>
  <c r="R108" i="33"/>
  <c r="AM107" i="33"/>
  <c r="AL107" i="33"/>
  <c r="AK107" i="33"/>
  <c r="AJ107" i="33"/>
  <c r="AI107" i="33"/>
  <c r="AH107" i="33"/>
  <c r="AG107" i="33"/>
  <c r="AF107" i="33"/>
  <c r="AE107" i="33"/>
  <c r="AD107" i="33"/>
  <c r="AA107" i="33"/>
  <c r="Z107" i="33"/>
  <c r="Y107" i="33"/>
  <c r="X107" i="33"/>
  <c r="W107" i="33"/>
  <c r="V107" i="33"/>
  <c r="U107" i="33"/>
  <c r="T107" i="33"/>
  <c r="S107" i="33"/>
  <c r="R107" i="33"/>
  <c r="AB107" i="33"/>
  <c r="BL106" i="33"/>
  <c r="BK106" i="33"/>
  <c r="BJ106" i="33"/>
  <c r="BI106" i="33"/>
  <c r="BH106" i="33"/>
  <c r="BG106" i="33"/>
  <c r="BF106" i="33"/>
  <c r="BE106" i="33"/>
  <c r="BM106" i="33"/>
  <c r="BD106" i="33"/>
  <c r="BC106" i="33"/>
  <c r="AM106" i="33"/>
  <c r="AL106" i="33"/>
  <c r="AK106" i="33"/>
  <c r="AJ106" i="33"/>
  <c r="AI106" i="33"/>
  <c r="AH106" i="33"/>
  <c r="AG106" i="33"/>
  <c r="AF106" i="33"/>
  <c r="AE106" i="33"/>
  <c r="AD106" i="33"/>
  <c r="AA106" i="33"/>
  <c r="Z106" i="33"/>
  <c r="Y106" i="33"/>
  <c r="X106" i="33"/>
  <c r="W106" i="33"/>
  <c r="V106" i="33"/>
  <c r="U106" i="33"/>
  <c r="T106" i="33"/>
  <c r="S106" i="33"/>
  <c r="R106" i="33"/>
  <c r="BL105" i="33"/>
  <c r="BK105" i="33"/>
  <c r="BJ105" i="33"/>
  <c r="BI105" i="33"/>
  <c r="BH105" i="33"/>
  <c r="BG105" i="33"/>
  <c r="BF105" i="33"/>
  <c r="BE105" i="33"/>
  <c r="BD105" i="33"/>
  <c r="BC105" i="33"/>
  <c r="BM105" i="33"/>
  <c r="AM105" i="33"/>
  <c r="AL105" i="33"/>
  <c r="AK105" i="33"/>
  <c r="AJ105" i="33"/>
  <c r="AI105" i="33"/>
  <c r="AH105" i="33"/>
  <c r="AG105" i="33"/>
  <c r="AF105" i="33"/>
  <c r="AN105" i="33"/>
  <c r="AE105" i="33"/>
  <c r="AD105" i="33"/>
  <c r="AA105" i="33"/>
  <c r="Z105" i="33"/>
  <c r="Y105" i="33"/>
  <c r="X105" i="33"/>
  <c r="W105" i="33"/>
  <c r="V105" i="33"/>
  <c r="U105" i="33"/>
  <c r="T105" i="33"/>
  <c r="S105" i="33"/>
  <c r="R105" i="33"/>
  <c r="BL104" i="33"/>
  <c r="BK104" i="33"/>
  <c r="BJ104" i="33"/>
  <c r="BI104" i="33"/>
  <c r="BH104" i="33"/>
  <c r="BG104" i="33"/>
  <c r="BF104" i="33"/>
  <c r="BE104" i="33"/>
  <c r="BD104" i="33"/>
  <c r="BC104" i="33"/>
  <c r="AM104" i="33"/>
  <c r="AL104" i="33"/>
  <c r="AK104" i="33"/>
  <c r="AJ104" i="33"/>
  <c r="AI104" i="33"/>
  <c r="AH104" i="33"/>
  <c r="AG104" i="33"/>
  <c r="AF104" i="33"/>
  <c r="AE104" i="33"/>
  <c r="AD104" i="33"/>
  <c r="AA104" i="33"/>
  <c r="Z104" i="33"/>
  <c r="Y104" i="33"/>
  <c r="X104" i="33"/>
  <c r="W104" i="33"/>
  <c r="V104" i="33"/>
  <c r="U104" i="33"/>
  <c r="T104" i="33"/>
  <c r="S104" i="33"/>
  <c r="R104" i="33"/>
  <c r="BL103" i="33"/>
  <c r="BK103" i="33"/>
  <c r="BJ103" i="33"/>
  <c r="BI103" i="33"/>
  <c r="BH103" i="33"/>
  <c r="BG103" i="33"/>
  <c r="BF103" i="33"/>
  <c r="BE103" i="33"/>
  <c r="BD103" i="33"/>
  <c r="BC103" i="33"/>
  <c r="AM103" i="33"/>
  <c r="AL103" i="33"/>
  <c r="AK103" i="33"/>
  <c r="AJ103" i="33"/>
  <c r="AI103" i="33"/>
  <c r="AH103" i="33"/>
  <c r="AG103" i="33"/>
  <c r="AF103" i="33"/>
  <c r="AE103" i="33"/>
  <c r="AD103" i="33"/>
  <c r="AA103" i="33"/>
  <c r="Z103" i="33"/>
  <c r="Y103" i="33"/>
  <c r="X103" i="33"/>
  <c r="W103" i="33"/>
  <c r="V103" i="33"/>
  <c r="U103" i="33"/>
  <c r="T103" i="33"/>
  <c r="S103" i="33"/>
  <c r="R103" i="33"/>
  <c r="BL102" i="33"/>
  <c r="BK102" i="33"/>
  <c r="BJ102" i="33"/>
  <c r="BI102" i="33"/>
  <c r="BH102" i="33"/>
  <c r="BG102" i="33"/>
  <c r="BF102" i="33"/>
  <c r="BE102" i="33"/>
  <c r="BM102" i="33"/>
  <c r="BD102" i="33"/>
  <c r="BC102" i="33"/>
  <c r="AM102" i="33"/>
  <c r="AL102" i="33"/>
  <c r="AK102" i="33"/>
  <c r="AJ102" i="33"/>
  <c r="AI102" i="33"/>
  <c r="AH102" i="33"/>
  <c r="AG102" i="33"/>
  <c r="AF102" i="33"/>
  <c r="AE102" i="33"/>
  <c r="AD102" i="33"/>
  <c r="AA102" i="33"/>
  <c r="Z102" i="33"/>
  <c r="Y102" i="33"/>
  <c r="X102" i="33"/>
  <c r="W102" i="33"/>
  <c r="V102" i="33"/>
  <c r="U102" i="33"/>
  <c r="T102" i="33"/>
  <c r="S102" i="33"/>
  <c r="R102" i="33"/>
  <c r="BL101" i="33"/>
  <c r="BK101" i="33"/>
  <c r="BJ101" i="33"/>
  <c r="BI101" i="33"/>
  <c r="BH101" i="33"/>
  <c r="BG101" i="33"/>
  <c r="BF101" i="33"/>
  <c r="BE101" i="33"/>
  <c r="BD101" i="33"/>
  <c r="BC101" i="33"/>
  <c r="BL100" i="33"/>
  <c r="BK100" i="33"/>
  <c r="BJ100" i="33"/>
  <c r="BI100" i="33"/>
  <c r="BH100" i="33"/>
  <c r="BG100" i="33"/>
  <c r="BF100" i="33"/>
  <c r="BE100" i="33"/>
  <c r="BD100" i="33"/>
  <c r="BC100" i="33"/>
  <c r="AM100" i="33"/>
  <c r="AL100" i="33"/>
  <c r="AK100" i="33"/>
  <c r="AJ100" i="33"/>
  <c r="AI100" i="33"/>
  <c r="AH100" i="33"/>
  <c r="AG100" i="33"/>
  <c r="AF100" i="33"/>
  <c r="AE100" i="33"/>
  <c r="AD100" i="33"/>
  <c r="AA100" i="33"/>
  <c r="Z100" i="33"/>
  <c r="Y100" i="33"/>
  <c r="X100" i="33"/>
  <c r="W100" i="33"/>
  <c r="V100" i="33"/>
  <c r="U100" i="33"/>
  <c r="T100" i="33"/>
  <c r="S100" i="33"/>
  <c r="R100" i="33"/>
  <c r="BL99" i="33"/>
  <c r="BK99" i="33"/>
  <c r="BJ99" i="33"/>
  <c r="BI99" i="33"/>
  <c r="BH99" i="33"/>
  <c r="BG99" i="33"/>
  <c r="BF99" i="33"/>
  <c r="BE99" i="33"/>
  <c r="BD99" i="33"/>
  <c r="BC99" i="33"/>
  <c r="AM99" i="33"/>
  <c r="AL99" i="33"/>
  <c r="AK99" i="33"/>
  <c r="AJ99" i="33"/>
  <c r="AI99" i="33"/>
  <c r="AH99" i="33"/>
  <c r="AG99" i="33"/>
  <c r="AF99" i="33"/>
  <c r="AN99" i="33"/>
  <c r="AE99" i="33"/>
  <c r="AD99" i="33"/>
  <c r="AA99" i="33"/>
  <c r="Z99" i="33"/>
  <c r="Y99" i="33"/>
  <c r="X99" i="33"/>
  <c r="W99" i="33"/>
  <c r="V99" i="33"/>
  <c r="U99" i="33"/>
  <c r="T99" i="33"/>
  <c r="S99" i="33"/>
  <c r="R99" i="33"/>
  <c r="BL98" i="33"/>
  <c r="BK98" i="33"/>
  <c r="BJ98" i="33"/>
  <c r="BI98" i="33"/>
  <c r="BH98" i="33"/>
  <c r="BG98" i="33"/>
  <c r="BF98" i="33"/>
  <c r="BE98" i="33"/>
  <c r="BD98" i="33"/>
  <c r="BC98" i="33"/>
  <c r="AM98" i="33"/>
  <c r="AL98" i="33"/>
  <c r="AK98" i="33"/>
  <c r="AJ98" i="33"/>
  <c r="AI98" i="33"/>
  <c r="AH98" i="33"/>
  <c r="AG98" i="33"/>
  <c r="AF98" i="33"/>
  <c r="AE98" i="33"/>
  <c r="AD98" i="33"/>
  <c r="AA98" i="33"/>
  <c r="Z98" i="33"/>
  <c r="Y98" i="33"/>
  <c r="X98" i="33"/>
  <c r="W98" i="33"/>
  <c r="V98" i="33"/>
  <c r="U98" i="33"/>
  <c r="T98" i="33"/>
  <c r="S98" i="33"/>
  <c r="R98" i="33"/>
  <c r="BL97" i="33"/>
  <c r="BK97" i="33"/>
  <c r="BJ97" i="33"/>
  <c r="BI97" i="33"/>
  <c r="BH97" i="33"/>
  <c r="BG97" i="33"/>
  <c r="BF97" i="33"/>
  <c r="BE97" i="33"/>
  <c r="BD97" i="33"/>
  <c r="BC97" i="33"/>
  <c r="AM97" i="33"/>
  <c r="AL97" i="33"/>
  <c r="AK97" i="33"/>
  <c r="AJ97" i="33"/>
  <c r="AI97" i="33"/>
  <c r="AH97" i="33"/>
  <c r="AG97" i="33"/>
  <c r="AF97" i="33"/>
  <c r="AE97" i="33"/>
  <c r="AD97" i="33"/>
  <c r="Z97" i="33"/>
  <c r="Y97" i="33"/>
  <c r="X97" i="33"/>
  <c r="W97" i="33"/>
  <c r="V97" i="33"/>
  <c r="U97" i="33"/>
  <c r="T97" i="33"/>
  <c r="S97" i="33"/>
  <c r="R97" i="33"/>
  <c r="BL96" i="33"/>
  <c r="BK96" i="33"/>
  <c r="BJ96" i="33"/>
  <c r="BI96" i="33"/>
  <c r="BH96" i="33"/>
  <c r="BG96" i="33"/>
  <c r="BF96" i="33"/>
  <c r="BE96" i="33"/>
  <c r="BD96" i="33"/>
  <c r="BC96" i="33"/>
  <c r="AM96" i="33"/>
  <c r="AL96" i="33"/>
  <c r="AK96" i="33"/>
  <c r="AJ96" i="33"/>
  <c r="AI96" i="33"/>
  <c r="AH96" i="33"/>
  <c r="AG96" i="33"/>
  <c r="AF96" i="33"/>
  <c r="AE96" i="33"/>
  <c r="AD96" i="33"/>
  <c r="AA96" i="33"/>
  <c r="Z96" i="33"/>
  <c r="Y96" i="33"/>
  <c r="X96" i="33"/>
  <c r="W96" i="33"/>
  <c r="V96" i="33"/>
  <c r="U96" i="33"/>
  <c r="T96" i="33"/>
  <c r="S96" i="33"/>
  <c r="R96" i="33"/>
  <c r="BL95" i="33"/>
  <c r="BK95" i="33"/>
  <c r="BJ95" i="33"/>
  <c r="BI95" i="33"/>
  <c r="BH95" i="33"/>
  <c r="BG95" i="33"/>
  <c r="BF95" i="33"/>
  <c r="BE95" i="33"/>
  <c r="BD95" i="33"/>
  <c r="BC95" i="33"/>
  <c r="AM95" i="33"/>
  <c r="AL95" i="33"/>
  <c r="AK95" i="33"/>
  <c r="AJ95" i="33"/>
  <c r="AI95" i="33"/>
  <c r="AH95" i="33"/>
  <c r="AG95" i="33"/>
  <c r="AF95" i="33"/>
  <c r="AE95" i="33"/>
  <c r="AD95" i="33"/>
  <c r="AA95" i="33"/>
  <c r="Z95" i="33"/>
  <c r="Y95" i="33"/>
  <c r="X95" i="33"/>
  <c r="W95" i="33"/>
  <c r="V95" i="33"/>
  <c r="U95" i="33"/>
  <c r="T95" i="33"/>
  <c r="S95" i="33"/>
  <c r="R95" i="33"/>
  <c r="AM92" i="33"/>
  <c r="AL92" i="33"/>
  <c r="AK92" i="33"/>
  <c r="AJ92" i="33"/>
  <c r="AI92" i="33"/>
  <c r="AH92" i="33"/>
  <c r="AG92" i="33"/>
  <c r="AF92" i="33"/>
  <c r="AE92" i="33"/>
  <c r="AD92" i="33"/>
  <c r="AA92" i="33"/>
  <c r="Z92" i="33"/>
  <c r="Y92" i="33"/>
  <c r="X92" i="33"/>
  <c r="W92" i="33"/>
  <c r="V92" i="33"/>
  <c r="U92" i="33"/>
  <c r="T92" i="33"/>
  <c r="S92" i="33"/>
  <c r="R92" i="33"/>
  <c r="AM91" i="33"/>
  <c r="AL91" i="33"/>
  <c r="AK91" i="33"/>
  <c r="AJ91" i="33"/>
  <c r="AI91" i="33"/>
  <c r="AH91" i="33"/>
  <c r="AG91" i="33"/>
  <c r="AF91" i="33"/>
  <c r="AE91" i="33"/>
  <c r="AD91" i="33"/>
  <c r="AA91" i="33"/>
  <c r="Z91" i="33"/>
  <c r="Y91" i="33"/>
  <c r="X91" i="33"/>
  <c r="W91" i="33"/>
  <c r="V91" i="33"/>
  <c r="U91" i="33"/>
  <c r="T91" i="33"/>
  <c r="S91" i="33"/>
  <c r="R91" i="33"/>
  <c r="AM90" i="33"/>
  <c r="AL90" i="33"/>
  <c r="AK90" i="33"/>
  <c r="AJ90" i="33"/>
  <c r="AI90" i="33"/>
  <c r="AH90" i="33"/>
  <c r="AG90" i="33"/>
  <c r="AF90" i="33"/>
  <c r="AE90" i="33"/>
  <c r="AD90" i="33"/>
  <c r="AA90" i="33"/>
  <c r="Z90" i="33"/>
  <c r="Y90" i="33"/>
  <c r="X90" i="33"/>
  <c r="W90" i="33"/>
  <c r="V90" i="33"/>
  <c r="U90" i="33"/>
  <c r="T90" i="33"/>
  <c r="S90" i="33"/>
  <c r="R90" i="33"/>
  <c r="AM89" i="33"/>
  <c r="AL89" i="33"/>
  <c r="AK89" i="33"/>
  <c r="AJ89" i="33"/>
  <c r="AI89" i="33"/>
  <c r="AH89" i="33"/>
  <c r="AG89" i="33"/>
  <c r="AF89" i="33"/>
  <c r="AE89" i="33"/>
  <c r="AD89" i="33"/>
  <c r="AA89" i="33"/>
  <c r="Z89" i="33"/>
  <c r="Y89" i="33"/>
  <c r="X89" i="33"/>
  <c r="W89" i="33"/>
  <c r="V89" i="33"/>
  <c r="U89" i="33"/>
  <c r="T89" i="33"/>
  <c r="S89" i="33"/>
  <c r="R89" i="33"/>
  <c r="AM88" i="33"/>
  <c r="AL88" i="33"/>
  <c r="AK88" i="33"/>
  <c r="AJ88" i="33"/>
  <c r="AI88" i="33"/>
  <c r="AH88" i="33"/>
  <c r="AG88" i="33"/>
  <c r="AF88" i="33"/>
  <c r="AE88" i="33"/>
  <c r="AD88" i="33"/>
  <c r="AA88" i="33"/>
  <c r="Z88" i="33"/>
  <c r="Y88" i="33"/>
  <c r="X88" i="33"/>
  <c r="W88" i="33"/>
  <c r="V88" i="33"/>
  <c r="U88" i="33"/>
  <c r="T88" i="33"/>
  <c r="S88" i="33"/>
  <c r="R88" i="33"/>
  <c r="AM87" i="33"/>
  <c r="AL87" i="33"/>
  <c r="AK87" i="33"/>
  <c r="AJ87" i="33"/>
  <c r="AI87" i="33"/>
  <c r="AH87" i="33"/>
  <c r="AG87" i="33"/>
  <c r="AF87" i="33"/>
  <c r="AE87" i="33"/>
  <c r="AD87" i="33"/>
  <c r="AA87" i="33"/>
  <c r="Z87" i="33"/>
  <c r="Y87" i="33"/>
  <c r="X87" i="33"/>
  <c r="W87" i="33"/>
  <c r="V87" i="33"/>
  <c r="U87" i="33"/>
  <c r="T87" i="33"/>
  <c r="S87" i="33"/>
  <c r="R87" i="33"/>
  <c r="AM86" i="33"/>
  <c r="AL86" i="33"/>
  <c r="AK86" i="33"/>
  <c r="AJ86" i="33"/>
  <c r="AI86" i="33"/>
  <c r="AH86" i="33"/>
  <c r="AG86" i="33"/>
  <c r="AF86" i="33"/>
  <c r="AE86" i="33"/>
  <c r="AD86" i="33"/>
  <c r="AA86" i="33"/>
  <c r="Z86" i="33"/>
  <c r="Y86" i="33"/>
  <c r="X86" i="33"/>
  <c r="W86" i="33"/>
  <c r="V86" i="33"/>
  <c r="U86" i="33"/>
  <c r="T86" i="33"/>
  <c r="S86" i="33"/>
  <c r="R86" i="33"/>
  <c r="AM85" i="33"/>
  <c r="AL85" i="33"/>
  <c r="AK85" i="33"/>
  <c r="AJ85" i="33"/>
  <c r="AI85" i="33"/>
  <c r="AH85" i="33"/>
  <c r="AG85" i="33"/>
  <c r="AF85" i="33"/>
  <c r="AE85" i="33"/>
  <c r="AD85" i="33"/>
  <c r="AA85" i="33"/>
  <c r="Z85" i="33"/>
  <c r="Y85" i="33"/>
  <c r="X85" i="33"/>
  <c r="W85" i="33"/>
  <c r="V85" i="33"/>
  <c r="U85" i="33"/>
  <c r="T85" i="33"/>
  <c r="S85" i="33"/>
  <c r="R85" i="33"/>
  <c r="AM84" i="33"/>
  <c r="AL84" i="33"/>
  <c r="AK84" i="33"/>
  <c r="AJ84" i="33"/>
  <c r="AI84" i="33"/>
  <c r="AH84" i="33"/>
  <c r="AG84" i="33"/>
  <c r="AF84" i="33"/>
  <c r="AE84" i="33"/>
  <c r="AD84" i="33"/>
  <c r="AA84" i="33"/>
  <c r="Z84" i="33"/>
  <c r="Y84" i="33"/>
  <c r="X84" i="33"/>
  <c r="W84" i="33"/>
  <c r="V84" i="33"/>
  <c r="U84" i="33"/>
  <c r="T84" i="33"/>
  <c r="S84" i="33"/>
  <c r="R84" i="33"/>
  <c r="AM83" i="33"/>
  <c r="AL83" i="33"/>
  <c r="AK83" i="33"/>
  <c r="AJ83" i="33"/>
  <c r="AI83" i="33"/>
  <c r="AH83" i="33"/>
  <c r="AG83" i="33"/>
  <c r="AF83" i="33"/>
  <c r="AE83" i="33"/>
  <c r="AD83" i="33"/>
  <c r="AA83" i="33"/>
  <c r="Z83" i="33"/>
  <c r="Y83" i="33"/>
  <c r="X83" i="33"/>
  <c r="W83" i="33"/>
  <c r="V83" i="33"/>
  <c r="U83" i="33"/>
  <c r="T83" i="33"/>
  <c r="S83" i="33"/>
  <c r="R83" i="33"/>
  <c r="AM82" i="33"/>
  <c r="AL82" i="33"/>
  <c r="AK82" i="33"/>
  <c r="AJ82" i="33"/>
  <c r="AI82" i="33"/>
  <c r="AH82" i="33"/>
  <c r="AG82" i="33"/>
  <c r="AF82" i="33"/>
  <c r="AE82" i="33"/>
  <c r="AD82" i="33"/>
  <c r="AA82" i="33"/>
  <c r="Z82" i="33"/>
  <c r="Y82" i="33"/>
  <c r="X82" i="33"/>
  <c r="W82" i="33"/>
  <c r="V82" i="33"/>
  <c r="U82" i="33"/>
  <c r="T82" i="33"/>
  <c r="S82" i="33"/>
  <c r="R82" i="33"/>
  <c r="AM81" i="33"/>
  <c r="AL81" i="33"/>
  <c r="AK81" i="33"/>
  <c r="AJ81" i="33"/>
  <c r="AI81" i="33"/>
  <c r="AH81" i="33"/>
  <c r="AG81" i="33"/>
  <c r="AF81" i="33"/>
  <c r="AE81" i="33"/>
  <c r="AD81" i="33"/>
  <c r="AA81" i="33"/>
  <c r="Z81" i="33"/>
  <c r="Y81" i="33"/>
  <c r="X81" i="33"/>
  <c r="W81" i="33"/>
  <c r="V81" i="33"/>
  <c r="U81" i="33"/>
  <c r="R81" i="33"/>
  <c r="AM80" i="33"/>
  <c r="AL80" i="33"/>
  <c r="AK80" i="33"/>
  <c r="AJ80" i="33"/>
  <c r="AI80" i="33"/>
  <c r="AH80" i="33"/>
  <c r="AG80" i="33"/>
  <c r="AF80" i="33"/>
  <c r="AE80" i="33"/>
  <c r="AD80" i="33"/>
  <c r="AA80" i="33"/>
  <c r="Z80" i="33"/>
  <c r="Y80" i="33"/>
  <c r="X80" i="33"/>
  <c r="W80" i="33"/>
  <c r="V80" i="33"/>
  <c r="U80" i="33"/>
  <c r="T80" i="33"/>
  <c r="S80" i="33"/>
  <c r="R80" i="33"/>
  <c r="AM79" i="33"/>
  <c r="AL79" i="33"/>
  <c r="AK79" i="33"/>
  <c r="AJ79" i="33"/>
  <c r="AI79" i="33"/>
  <c r="AH79" i="33"/>
  <c r="AG79" i="33"/>
  <c r="AF79" i="33"/>
  <c r="AE79" i="33"/>
  <c r="AD79" i="33"/>
  <c r="AA79" i="33"/>
  <c r="Z79" i="33"/>
  <c r="Y79" i="33"/>
  <c r="X79" i="33"/>
  <c r="W79" i="33"/>
  <c r="V79" i="33"/>
  <c r="U79" i="33"/>
  <c r="T79" i="33"/>
  <c r="S79" i="33"/>
  <c r="R79" i="33"/>
  <c r="AM78" i="33"/>
  <c r="AL78" i="33"/>
  <c r="AK78" i="33"/>
  <c r="AJ78" i="33"/>
  <c r="AI78" i="33"/>
  <c r="AH78" i="33"/>
  <c r="AG78" i="33"/>
  <c r="AF78" i="33"/>
  <c r="AE78" i="33"/>
  <c r="AD78" i="33"/>
  <c r="AA78" i="33"/>
  <c r="Z78" i="33"/>
  <c r="Y78" i="33"/>
  <c r="X78" i="33"/>
  <c r="W78" i="33"/>
  <c r="V78" i="33"/>
  <c r="U78" i="33"/>
  <c r="T78" i="33"/>
  <c r="S78" i="33"/>
  <c r="AM77" i="33"/>
  <c r="AL77" i="33"/>
  <c r="AK77" i="33"/>
  <c r="AJ77" i="33"/>
  <c r="AI77" i="33"/>
  <c r="AH77" i="33"/>
  <c r="AG77" i="33"/>
  <c r="AF77" i="33"/>
  <c r="AE77" i="33"/>
  <c r="AD77" i="33"/>
  <c r="AA77" i="33"/>
  <c r="Z77" i="33"/>
  <c r="Y77" i="33"/>
  <c r="X77" i="33"/>
  <c r="W77" i="33"/>
  <c r="V77" i="33"/>
  <c r="U77" i="33"/>
  <c r="T77" i="33"/>
  <c r="S77" i="33"/>
  <c r="R77" i="33"/>
  <c r="AB77" i="33"/>
  <c r="AJ9" i="33"/>
  <c r="AM76" i="33"/>
  <c r="AL76" i="33"/>
  <c r="AK76" i="33"/>
  <c r="AJ76" i="33"/>
  <c r="AI76" i="33"/>
  <c r="AH76" i="33"/>
  <c r="AG76" i="33"/>
  <c r="AF76" i="33"/>
  <c r="AE76" i="33"/>
  <c r="AD76" i="33"/>
  <c r="AA76" i="33"/>
  <c r="Z76" i="33"/>
  <c r="Y76" i="33"/>
  <c r="X76" i="33"/>
  <c r="W76" i="33"/>
  <c r="V76" i="33"/>
  <c r="U76" i="33"/>
  <c r="T76" i="33"/>
  <c r="S76" i="33"/>
  <c r="R76" i="33"/>
  <c r="AM75" i="33"/>
  <c r="AL75" i="33"/>
  <c r="AK75" i="33"/>
  <c r="AJ75" i="33"/>
  <c r="AI75" i="33"/>
  <c r="AH75" i="33"/>
  <c r="AG75" i="33"/>
  <c r="AF75" i="33"/>
  <c r="AE75" i="33"/>
  <c r="AD75" i="33"/>
  <c r="AA75" i="33"/>
  <c r="Z75" i="33"/>
  <c r="Y75" i="33"/>
  <c r="X75" i="33"/>
  <c r="W75" i="33"/>
  <c r="V75" i="33"/>
  <c r="U75" i="33"/>
  <c r="T75" i="33"/>
  <c r="S75" i="33"/>
  <c r="R75" i="33"/>
  <c r="AB75" i="33"/>
  <c r="AM74" i="33"/>
  <c r="AL74" i="33"/>
  <c r="AK74" i="33"/>
  <c r="AJ74" i="33"/>
  <c r="AI74" i="33"/>
  <c r="AH74" i="33"/>
  <c r="AG74" i="33"/>
  <c r="AF74" i="33"/>
  <c r="AE74" i="33"/>
  <c r="AD74" i="33"/>
  <c r="AA74" i="33"/>
  <c r="Z74" i="33"/>
  <c r="Y74" i="33"/>
  <c r="X74" i="33"/>
  <c r="W74" i="33"/>
  <c r="V74" i="33"/>
  <c r="U74" i="33"/>
  <c r="T74" i="33"/>
  <c r="S74" i="33"/>
  <c r="R74" i="33"/>
  <c r="AM73" i="33"/>
  <c r="AL73" i="33"/>
  <c r="AK73" i="33"/>
  <c r="AJ73" i="33"/>
  <c r="AI73" i="33"/>
  <c r="AH73" i="33"/>
  <c r="AG73" i="33"/>
  <c r="AF73" i="33"/>
  <c r="AE73" i="33"/>
  <c r="AD73" i="33"/>
  <c r="AA73" i="33"/>
  <c r="Z73" i="33"/>
  <c r="Y73" i="33"/>
  <c r="X73" i="33"/>
  <c r="W73" i="33"/>
  <c r="V73" i="33"/>
  <c r="U73" i="33"/>
  <c r="T73" i="33"/>
  <c r="S73" i="33"/>
  <c r="R73" i="33"/>
  <c r="AM72" i="33"/>
  <c r="AL72" i="33"/>
  <c r="AK72" i="33"/>
  <c r="AJ72" i="33"/>
  <c r="AI72" i="33"/>
  <c r="AH72" i="33"/>
  <c r="AG72" i="33"/>
  <c r="AF72" i="33"/>
  <c r="AE72" i="33"/>
  <c r="AD72" i="33"/>
  <c r="AA72" i="33"/>
  <c r="Z72" i="33"/>
  <c r="Y72" i="33"/>
  <c r="X72" i="33"/>
  <c r="W72" i="33"/>
  <c r="V72" i="33"/>
  <c r="U72" i="33"/>
  <c r="T72" i="33"/>
  <c r="S72" i="33"/>
  <c r="R72" i="33"/>
  <c r="AM71" i="33"/>
  <c r="AL71" i="33"/>
  <c r="AK71" i="33"/>
  <c r="AJ71" i="33"/>
  <c r="AI71" i="33"/>
  <c r="AH71" i="33"/>
  <c r="AG71" i="33"/>
  <c r="AF71" i="33"/>
  <c r="AE71" i="33"/>
  <c r="AD71" i="33"/>
  <c r="AA71" i="33"/>
  <c r="Z71" i="33"/>
  <c r="Y71" i="33"/>
  <c r="X71" i="33"/>
  <c r="W71" i="33"/>
  <c r="V71" i="33"/>
  <c r="U71" i="33"/>
  <c r="T71" i="33"/>
  <c r="S71" i="33"/>
  <c r="R71" i="33"/>
  <c r="AM70" i="33"/>
  <c r="AL70" i="33"/>
  <c r="AK70" i="33"/>
  <c r="AJ70" i="33"/>
  <c r="AI70" i="33"/>
  <c r="AH70" i="33"/>
  <c r="AG70" i="33"/>
  <c r="AF70" i="33"/>
  <c r="AE70" i="33"/>
  <c r="AD70" i="33"/>
  <c r="AA70" i="33"/>
  <c r="Z70" i="33"/>
  <c r="Y70" i="33"/>
  <c r="X70" i="33"/>
  <c r="W70" i="33"/>
  <c r="V70" i="33"/>
  <c r="U70" i="33"/>
  <c r="T70" i="33"/>
  <c r="S70" i="33"/>
  <c r="R70" i="33"/>
  <c r="AM69" i="33"/>
  <c r="AL69" i="33"/>
  <c r="AK69" i="33"/>
  <c r="AJ69" i="33"/>
  <c r="AI69" i="33"/>
  <c r="AH69" i="33"/>
  <c r="AG69" i="33"/>
  <c r="AF69" i="33"/>
  <c r="AE69" i="33"/>
  <c r="AD69" i="33"/>
  <c r="AA69" i="33"/>
  <c r="Z69" i="33"/>
  <c r="Y69" i="33"/>
  <c r="X69" i="33"/>
  <c r="W69" i="33"/>
  <c r="V69" i="33"/>
  <c r="U69" i="33"/>
  <c r="T69" i="33"/>
  <c r="S69" i="33"/>
  <c r="R69" i="33"/>
  <c r="AM68" i="33"/>
  <c r="AL68" i="33"/>
  <c r="AK68" i="33"/>
  <c r="AJ68" i="33"/>
  <c r="AI68" i="33"/>
  <c r="AH68" i="33"/>
  <c r="AG68" i="33"/>
  <c r="AF68" i="33"/>
  <c r="AE68" i="33"/>
  <c r="AD68" i="33"/>
  <c r="AA68" i="33"/>
  <c r="Z68" i="33"/>
  <c r="Y68" i="33"/>
  <c r="X68" i="33"/>
  <c r="W68" i="33"/>
  <c r="V68" i="33"/>
  <c r="U68" i="33"/>
  <c r="T68" i="33"/>
  <c r="S68" i="33"/>
  <c r="R68" i="33"/>
  <c r="AM67" i="33"/>
  <c r="AL67" i="33"/>
  <c r="AK67" i="33"/>
  <c r="AJ67" i="33"/>
  <c r="AI67" i="33"/>
  <c r="AH67" i="33"/>
  <c r="AG67" i="33"/>
  <c r="AF67" i="33"/>
  <c r="AE67" i="33"/>
  <c r="AD67" i="33"/>
  <c r="AA67" i="33"/>
  <c r="Z67" i="33"/>
  <c r="Y67" i="33"/>
  <c r="X67" i="33"/>
  <c r="W67" i="33"/>
  <c r="V67" i="33"/>
  <c r="U67" i="33"/>
  <c r="T67" i="33"/>
  <c r="S67" i="33"/>
  <c r="R67" i="33"/>
  <c r="AB67" i="33"/>
  <c r="AM66" i="33"/>
  <c r="AL66" i="33"/>
  <c r="AK66" i="33"/>
  <c r="AJ66" i="33"/>
  <c r="AI66" i="33"/>
  <c r="AH66" i="33"/>
  <c r="AG66" i="33"/>
  <c r="AF66" i="33"/>
  <c r="AE66" i="33"/>
  <c r="AD66" i="33"/>
  <c r="AA66" i="33"/>
  <c r="Z66" i="33"/>
  <c r="Y66" i="33"/>
  <c r="X66" i="33"/>
  <c r="W66" i="33"/>
  <c r="V66" i="33"/>
  <c r="U66" i="33"/>
  <c r="T66" i="33"/>
  <c r="S66" i="33"/>
  <c r="R66" i="33"/>
  <c r="AM65" i="33"/>
  <c r="AL65" i="33"/>
  <c r="AK65" i="33"/>
  <c r="AJ65" i="33"/>
  <c r="AI65" i="33"/>
  <c r="AH65" i="33"/>
  <c r="AG65" i="33"/>
  <c r="AF65" i="33"/>
  <c r="AE65" i="33"/>
  <c r="AD65" i="33"/>
  <c r="AA65" i="33"/>
  <c r="Z65" i="33"/>
  <c r="Y65" i="33"/>
  <c r="X65" i="33"/>
  <c r="W65" i="33"/>
  <c r="V65" i="33"/>
  <c r="U65" i="33"/>
  <c r="T65" i="33"/>
  <c r="S65" i="33"/>
  <c r="R65" i="33"/>
  <c r="AM64" i="33"/>
  <c r="AL64" i="33"/>
  <c r="AK64" i="33"/>
  <c r="AJ64" i="33"/>
  <c r="AI64" i="33"/>
  <c r="AH64" i="33"/>
  <c r="AG64" i="33"/>
  <c r="AF64" i="33"/>
  <c r="AE64" i="33"/>
  <c r="AD64" i="33"/>
  <c r="AA64" i="33"/>
  <c r="Z64" i="33"/>
  <c r="Y64" i="33"/>
  <c r="X64" i="33"/>
  <c r="W64" i="33"/>
  <c r="V64" i="33"/>
  <c r="U64" i="33"/>
  <c r="T64" i="33"/>
  <c r="S64" i="33"/>
  <c r="R64" i="33"/>
  <c r="AM63" i="33"/>
  <c r="AL63" i="33"/>
  <c r="AK63" i="33"/>
  <c r="AJ63" i="33"/>
  <c r="AI63" i="33"/>
  <c r="AH63" i="33"/>
  <c r="AG63" i="33"/>
  <c r="AF63" i="33"/>
  <c r="AE63" i="33"/>
  <c r="AD63" i="33"/>
  <c r="AA63" i="33"/>
  <c r="Z63" i="33"/>
  <c r="Y63" i="33"/>
  <c r="X63" i="33"/>
  <c r="W63" i="33"/>
  <c r="V63" i="33"/>
  <c r="U63" i="33"/>
  <c r="T63" i="33"/>
  <c r="S63" i="33"/>
  <c r="R63" i="33"/>
  <c r="AM62" i="33"/>
  <c r="AL62" i="33"/>
  <c r="AK62" i="33"/>
  <c r="AJ62" i="33"/>
  <c r="AI62" i="33"/>
  <c r="AH62" i="33"/>
  <c r="AG62" i="33"/>
  <c r="AF62" i="33"/>
  <c r="AE62" i="33"/>
  <c r="AD62" i="33"/>
  <c r="AA62" i="33"/>
  <c r="Z62" i="33"/>
  <c r="Y62" i="33"/>
  <c r="X62" i="33"/>
  <c r="W62" i="33"/>
  <c r="V62" i="33"/>
  <c r="U62" i="33"/>
  <c r="T62" i="33"/>
  <c r="S62" i="33"/>
  <c r="R62" i="33"/>
  <c r="AM61" i="33"/>
  <c r="AL61" i="33"/>
  <c r="AK61" i="33"/>
  <c r="AJ61" i="33"/>
  <c r="AI61" i="33"/>
  <c r="AH61" i="33"/>
  <c r="AG61" i="33"/>
  <c r="AF61" i="33"/>
  <c r="AE61" i="33"/>
  <c r="AD61" i="33"/>
  <c r="AA61" i="33"/>
  <c r="Z61" i="33"/>
  <c r="Y61" i="33"/>
  <c r="X61" i="33"/>
  <c r="W61" i="33"/>
  <c r="U61" i="33"/>
  <c r="T61" i="33"/>
  <c r="S61" i="33"/>
  <c r="R61" i="33"/>
  <c r="AM60" i="33"/>
  <c r="AL60" i="33"/>
  <c r="AK60" i="33"/>
  <c r="AJ60" i="33"/>
  <c r="AI60" i="33"/>
  <c r="AH60" i="33"/>
  <c r="AG60" i="33"/>
  <c r="AF60" i="33"/>
  <c r="AE60" i="33"/>
  <c r="AD60" i="33"/>
  <c r="AA60" i="33"/>
  <c r="Z60" i="33"/>
  <c r="Y60" i="33"/>
  <c r="X60" i="33"/>
  <c r="W60" i="33"/>
  <c r="V60" i="33"/>
  <c r="U60" i="33"/>
  <c r="T60" i="33"/>
  <c r="S60" i="33"/>
  <c r="R60" i="33"/>
  <c r="AM59" i="33"/>
  <c r="AL59" i="33"/>
  <c r="AK59" i="33"/>
  <c r="AJ59" i="33"/>
  <c r="AI59" i="33"/>
  <c r="AH59" i="33"/>
  <c r="AG59" i="33"/>
  <c r="AF59" i="33"/>
  <c r="AE59" i="33"/>
  <c r="AD59" i="33"/>
  <c r="AA59" i="33"/>
  <c r="Z59" i="33"/>
  <c r="Y59" i="33"/>
  <c r="X59" i="33"/>
  <c r="W59" i="33"/>
  <c r="V59" i="33"/>
  <c r="U59" i="33"/>
  <c r="T59" i="33"/>
  <c r="S59" i="33"/>
  <c r="R59" i="33"/>
  <c r="AM58" i="33"/>
  <c r="AL58" i="33"/>
  <c r="AK58" i="33"/>
  <c r="AJ58" i="33"/>
  <c r="AI58" i="33"/>
  <c r="AH58" i="33"/>
  <c r="AG58" i="33"/>
  <c r="AF58" i="33"/>
  <c r="AE58" i="33"/>
  <c r="AD58" i="33"/>
  <c r="AA58" i="33"/>
  <c r="Z58" i="33"/>
  <c r="Y58" i="33"/>
  <c r="X58" i="33"/>
  <c r="W58" i="33"/>
  <c r="V58" i="33"/>
  <c r="U58" i="33"/>
  <c r="T58" i="33"/>
  <c r="S58" i="33"/>
  <c r="R58" i="33"/>
  <c r="AM57" i="33"/>
  <c r="AL57" i="33"/>
  <c r="AK57" i="33"/>
  <c r="AJ57" i="33"/>
  <c r="AI57" i="33"/>
  <c r="AH57" i="33"/>
  <c r="AG57" i="33"/>
  <c r="AF57" i="33"/>
  <c r="AE57" i="33"/>
  <c r="AD57" i="33"/>
  <c r="Z57" i="33"/>
  <c r="Y57" i="33"/>
  <c r="X57" i="33"/>
  <c r="W57" i="33"/>
  <c r="V57" i="33"/>
  <c r="U57" i="33"/>
  <c r="T57" i="33"/>
  <c r="S57" i="33"/>
  <c r="R57" i="33"/>
  <c r="AM56" i="33"/>
  <c r="AL56" i="33"/>
  <c r="AK56" i="33"/>
  <c r="AJ56" i="33"/>
  <c r="AI56" i="33"/>
  <c r="AH56" i="33"/>
  <c r="AG56" i="33"/>
  <c r="AF56" i="33"/>
  <c r="AE56" i="33"/>
  <c r="AD56" i="33"/>
  <c r="AN56" i="33"/>
  <c r="AA56" i="33"/>
  <c r="Z56" i="33"/>
  <c r="Y56" i="33"/>
  <c r="X56" i="33"/>
  <c r="W56" i="33"/>
  <c r="V56" i="33"/>
  <c r="U56" i="33"/>
  <c r="T56" i="33"/>
  <c r="S56" i="33"/>
  <c r="R56" i="33"/>
  <c r="AM55" i="33"/>
  <c r="AL55" i="33"/>
  <c r="AK55" i="33"/>
  <c r="AJ55" i="33"/>
  <c r="AI55" i="33"/>
  <c r="AH55" i="33"/>
  <c r="AG55" i="33"/>
  <c r="AF55" i="33"/>
  <c r="AE55" i="33"/>
  <c r="AD55" i="33"/>
  <c r="AA55" i="33"/>
  <c r="Z55" i="33"/>
  <c r="Y55" i="33"/>
  <c r="X55" i="33"/>
  <c r="W55" i="33"/>
  <c r="V55" i="33"/>
  <c r="U55" i="33"/>
  <c r="T55" i="33"/>
  <c r="S55" i="33"/>
  <c r="R55" i="33"/>
  <c r="AD15" i="33"/>
  <c r="O14" i="33"/>
  <c r="N14" i="33"/>
  <c r="F14" i="33"/>
  <c r="F16" i="33"/>
  <c r="E14" i="33"/>
  <c r="E16" i="33"/>
  <c r="D14" i="33"/>
  <c r="C14" i="33"/>
  <c r="AE13" i="33"/>
  <c r="AD13" i="33"/>
  <c r="AC13" i="33"/>
  <c r="AB13" i="33"/>
  <c r="Y13" i="33"/>
  <c r="X13" i="33"/>
  <c r="W13" i="33"/>
  <c r="V13" i="33"/>
  <c r="AA13" i="33"/>
  <c r="S13" i="33"/>
  <c r="R13" i="33"/>
  <c r="Q13" i="33"/>
  <c r="P13" i="33"/>
  <c r="U13" i="33"/>
  <c r="O13" i="33"/>
  <c r="N13" i="33"/>
  <c r="F13" i="33"/>
  <c r="E13" i="33"/>
  <c r="D13" i="33"/>
  <c r="C13" i="33"/>
  <c r="AE12" i="33"/>
  <c r="AD12" i="33"/>
  <c r="AC12" i="33"/>
  <c r="AB12" i="33"/>
  <c r="AG12" i="33"/>
  <c r="Y12" i="33"/>
  <c r="X12" i="33"/>
  <c r="W12" i="33"/>
  <c r="V12" i="33"/>
  <c r="S12" i="33"/>
  <c r="R12" i="33"/>
  <c r="Q12" i="33"/>
  <c r="P12" i="33"/>
  <c r="U12" i="33"/>
  <c r="O12" i="33"/>
  <c r="N12" i="33"/>
  <c r="F12" i="33"/>
  <c r="E12" i="33"/>
  <c r="D12" i="33"/>
  <c r="H12" i="33"/>
  <c r="C12" i="33"/>
  <c r="AE11" i="33"/>
  <c r="AD11" i="33"/>
  <c r="AC11" i="33"/>
  <c r="AB11" i="33"/>
  <c r="AG11" i="33"/>
  <c r="Y11" i="33"/>
  <c r="X11" i="33"/>
  <c r="AA11" i="33"/>
  <c r="W11" i="33"/>
  <c r="V11" i="33"/>
  <c r="S11" i="33"/>
  <c r="R11" i="33"/>
  <c r="Q11" i="33"/>
  <c r="U11" i="33"/>
  <c r="P11" i="33"/>
  <c r="T11" i="33"/>
  <c r="O11" i="33"/>
  <c r="N11" i="33"/>
  <c r="F11" i="33"/>
  <c r="E11" i="33"/>
  <c r="D11" i="33"/>
  <c r="I11" i="33"/>
  <c r="C11" i="33"/>
  <c r="AE10" i="33"/>
  <c r="AD10" i="33"/>
  <c r="AC10" i="33"/>
  <c r="AG10" i="33"/>
  <c r="AB10" i="33"/>
  <c r="Y10" i="33"/>
  <c r="X10" i="33"/>
  <c r="W10" i="33"/>
  <c r="V10" i="33"/>
  <c r="S10" i="33"/>
  <c r="R10" i="33"/>
  <c r="Q10" i="33"/>
  <c r="P10" i="33"/>
  <c r="O10" i="33"/>
  <c r="N10" i="33"/>
  <c r="F10" i="33"/>
  <c r="R16" i="33"/>
  <c r="E10" i="33"/>
  <c r="Q16" i="33"/>
  <c r="D10" i="33"/>
  <c r="C10" i="33"/>
  <c r="AE9" i="33"/>
  <c r="AD9" i="33"/>
  <c r="AC9" i="33"/>
  <c r="AB9" i="33"/>
  <c r="AG9" i="33"/>
  <c r="Y9" i="33"/>
  <c r="X9" i="33"/>
  <c r="AA9" i="33"/>
  <c r="W9" i="33"/>
  <c r="V9" i="33"/>
  <c r="S9" i="33"/>
  <c r="R9" i="33"/>
  <c r="Q9" i="33"/>
  <c r="P9" i="33"/>
  <c r="O9" i="33"/>
  <c r="N9" i="33"/>
  <c r="I9" i="33"/>
  <c r="H9" i="33"/>
  <c r="C9" i="33"/>
  <c r="AE8" i="33"/>
  <c r="AD8" i="33"/>
  <c r="AC8" i="33"/>
  <c r="AB8" i="33"/>
  <c r="AA8" i="33"/>
  <c r="Y8" i="33"/>
  <c r="X8" i="33"/>
  <c r="W8" i="33"/>
  <c r="V8" i="33"/>
  <c r="Z8" i="33"/>
  <c r="S8" i="33"/>
  <c r="R8" i="33"/>
  <c r="U8" i="33"/>
  <c r="Q8" i="33"/>
  <c r="P8" i="33"/>
  <c r="O8" i="33"/>
  <c r="N8" i="33"/>
  <c r="I8" i="33"/>
  <c r="H8" i="33"/>
  <c r="C8" i="33"/>
  <c r="AE7" i="33"/>
  <c r="AD7" i="33"/>
  <c r="AC7" i="33"/>
  <c r="AB7" i="33"/>
  <c r="AG7" i="33"/>
  <c r="Y7" i="33"/>
  <c r="X7" i="33"/>
  <c r="W7" i="33"/>
  <c r="V7" i="33"/>
  <c r="U7" i="33"/>
  <c r="S7" i="33"/>
  <c r="R7" i="33"/>
  <c r="R15" i="33"/>
  <c r="Q7" i="33"/>
  <c r="P7" i="33"/>
  <c r="P15" i="33"/>
  <c r="O7" i="33"/>
  <c r="N7" i="33"/>
  <c r="I7" i="33"/>
  <c r="H7" i="33"/>
  <c r="C7" i="33"/>
  <c r="AE6" i="33"/>
  <c r="AD6" i="33"/>
  <c r="AC6" i="33"/>
  <c r="AB6" i="33"/>
  <c r="Y6" i="33"/>
  <c r="X6" i="33"/>
  <c r="W6" i="33"/>
  <c r="V6" i="33"/>
  <c r="S6" i="33"/>
  <c r="R6" i="33"/>
  <c r="Q6" i="33"/>
  <c r="U6" i="33"/>
  <c r="P6" i="33"/>
  <c r="O6" i="33"/>
  <c r="N6" i="33"/>
  <c r="I6" i="33"/>
  <c r="H6" i="33"/>
  <c r="C6" i="33"/>
  <c r="K20" i="32"/>
  <c r="J20" i="32"/>
  <c r="F20" i="32"/>
  <c r="L20" i="32"/>
  <c r="E20" i="32"/>
  <c r="D20" i="32"/>
  <c r="E18" i="32"/>
  <c r="P17" i="32"/>
  <c r="P19" i="32"/>
  <c r="O16" i="32"/>
  <c r="N16" i="32"/>
  <c r="F16" i="32"/>
  <c r="E16" i="32"/>
  <c r="D16" i="32"/>
  <c r="C16" i="32"/>
  <c r="O15" i="32"/>
  <c r="N15" i="32"/>
  <c r="F15" i="32"/>
  <c r="F18" i="32"/>
  <c r="E15" i="32"/>
  <c r="D15" i="32"/>
  <c r="D18" i="32"/>
  <c r="C15" i="32"/>
  <c r="O14" i="32"/>
  <c r="N14" i="32"/>
  <c r="F14" i="32"/>
  <c r="E14" i="32"/>
  <c r="D14" i="32"/>
  <c r="I14" i="32"/>
  <c r="C14" i="32"/>
  <c r="O13" i="32"/>
  <c r="N13" i="32"/>
  <c r="I13" i="32"/>
  <c r="H13" i="32"/>
  <c r="C13" i="32"/>
  <c r="O12" i="32"/>
  <c r="N12" i="32"/>
  <c r="I12" i="32"/>
  <c r="H12" i="32"/>
  <c r="C12" i="32"/>
  <c r="O11" i="32"/>
  <c r="N11" i="32"/>
  <c r="I11" i="32"/>
  <c r="H11" i="32"/>
  <c r="C11" i="32"/>
  <c r="O10" i="32"/>
  <c r="N10" i="32"/>
  <c r="I10" i="32"/>
  <c r="H10" i="32"/>
  <c r="C10" i="32"/>
  <c r="O9" i="32"/>
  <c r="N9" i="32"/>
  <c r="I9" i="32"/>
  <c r="H9" i="32"/>
  <c r="C9" i="32"/>
  <c r="E17" i="32"/>
  <c r="O8" i="32"/>
  <c r="N8" i="32"/>
  <c r="I8" i="32"/>
  <c r="H8" i="32"/>
  <c r="C8" i="32"/>
  <c r="Z19" i="31"/>
  <c r="Y19" i="31"/>
  <c r="Y21" i="31"/>
  <c r="X19" i="31"/>
  <c r="W19" i="31"/>
  <c r="O19" i="31"/>
  <c r="N19" i="31"/>
  <c r="M19" i="31"/>
  <c r="Q19" i="31"/>
  <c r="D19" i="31"/>
  <c r="X24" i="31"/>
  <c r="AA18" i="31"/>
  <c r="Z18" i="31"/>
  <c r="V18" i="31"/>
  <c r="U18" i="31"/>
  <c r="Q18" i="31"/>
  <c r="P18" i="31"/>
  <c r="L18" i="31"/>
  <c r="K18" i="31"/>
  <c r="E18" i="31"/>
  <c r="G18" i="31"/>
  <c r="D18" i="31"/>
  <c r="C18" i="31"/>
  <c r="AA17" i="31"/>
  <c r="Z17" i="31"/>
  <c r="V17" i="31"/>
  <c r="U17" i="31"/>
  <c r="Q17" i="31"/>
  <c r="P17" i="31"/>
  <c r="L17" i="31"/>
  <c r="K17" i="31"/>
  <c r="E17" i="31"/>
  <c r="E20" i="31"/>
  <c r="D17" i="31"/>
  <c r="D20" i="31"/>
  <c r="C17" i="31"/>
  <c r="AA16" i="31"/>
  <c r="Z16" i="31"/>
  <c r="V16" i="31"/>
  <c r="U16" i="31"/>
  <c r="Q16" i="31"/>
  <c r="P16" i="31"/>
  <c r="L16" i="31"/>
  <c r="K16" i="31"/>
  <c r="G16" i="31"/>
  <c r="E16" i="31"/>
  <c r="D16" i="31"/>
  <c r="C16" i="31"/>
  <c r="AA15" i="31"/>
  <c r="Z15" i="31"/>
  <c r="V15" i="31"/>
  <c r="U15" i="31"/>
  <c r="Q15" i="31"/>
  <c r="P15" i="31"/>
  <c r="L15" i="31"/>
  <c r="K15" i="31"/>
  <c r="E15" i="31"/>
  <c r="D15" i="31"/>
  <c r="G15" i="31"/>
  <c r="C15" i="31"/>
  <c r="C20" i="31"/>
  <c r="AA14" i="31"/>
  <c r="Z14" i="31"/>
  <c r="V14" i="31"/>
  <c r="U14" i="31"/>
  <c r="Q14" i="31"/>
  <c r="P14" i="31"/>
  <c r="L14" i="31"/>
  <c r="K14" i="31"/>
  <c r="E14" i="31"/>
  <c r="F14" i="31"/>
  <c r="D14" i="31"/>
  <c r="C14" i="31"/>
  <c r="AA13" i="31"/>
  <c r="Z13" i="31"/>
  <c r="V13" i="31"/>
  <c r="U13" i="31"/>
  <c r="Q13" i="31"/>
  <c r="P13" i="31"/>
  <c r="L13" i="31"/>
  <c r="K13" i="31"/>
  <c r="E13" i="31"/>
  <c r="D13" i="31"/>
  <c r="C13" i="31"/>
  <c r="AA12" i="31"/>
  <c r="Z12" i="31"/>
  <c r="V12" i="31"/>
  <c r="U12" i="31"/>
  <c r="Q12" i="31"/>
  <c r="P12" i="31"/>
  <c r="L12" i="31"/>
  <c r="K12" i="31"/>
  <c r="E12" i="31"/>
  <c r="O20" i="31"/>
  <c r="D12" i="31"/>
  <c r="N20" i="31"/>
  <c r="N21" i="31"/>
  <c r="C12" i="31"/>
  <c r="AA11" i="31"/>
  <c r="Z11" i="31"/>
  <c r="V11" i="31"/>
  <c r="U11" i="31"/>
  <c r="Q11" i="31"/>
  <c r="P11" i="31"/>
  <c r="L11" i="31"/>
  <c r="K11" i="31"/>
  <c r="G11" i="31"/>
  <c r="F11" i="31"/>
  <c r="AA10" i="31"/>
  <c r="Z10" i="31"/>
  <c r="V10" i="31"/>
  <c r="U10" i="31"/>
  <c r="Q10" i="31"/>
  <c r="P10" i="31"/>
  <c r="L10" i="31"/>
  <c r="K10" i="31"/>
  <c r="G10" i="31"/>
  <c r="F10" i="31"/>
  <c r="AA9" i="31"/>
  <c r="Z9" i="31"/>
  <c r="V9" i="31"/>
  <c r="U9" i="31"/>
  <c r="Q9" i="31"/>
  <c r="P9" i="31"/>
  <c r="L9" i="31"/>
  <c r="K9" i="31"/>
  <c r="G9" i="31"/>
  <c r="F9" i="31"/>
  <c r="AA8" i="31"/>
  <c r="Z8" i="31"/>
  <c r="V8" i="31"/>
  <c r="U8" i="31"/>
  <c r="Q8" i="31"/>
  <c r="P8" i="31"/>
  <c r="L8" i="31"/>
  <c r="K8" i="31"/>
  <c r="G8" i="31"/>
  <c r="F8" i="31"/>
  <c r="AA7" i="31"/>
  <c r="Z7" i="31"/>
  <c r="V7" i="31"/>
  <c r="U7" i="31"/>
  <c r="Q7" i="31"/>
  <c r="P7" i="31"/>
  <c r="L7" i="31"/>
  <c r="K7" i="31"/>
  <c r="G7" i="31"/>
  <c r="F7" i="31"/>
  <c r="AA6" i="31"/>
  <c r="Z6" i="31"/>
  <c r="V6" i="31"/>
  <c r="U6" i="31"/>
  <c r="Q6" i="31"/>
  <c r="P6" i="31"/>
  <c r="L6" i="31"/>
  <c r="K6" i="31"/>
  <c r="G6" i="31"/>
  <c r="F6" i="31"/>
  <c r="W83" i="30"/>
  <c r="V83" i="30"/>
  <c r="U83" i="30"/>
  <c r="T83" i="30"/>
  <c r="S83" i="30"/>
  <c r="R83" i="30"/>
  <c r="Q83" i="30"/>
  <c r="P83" i="30"/>
  <c r="O83" i="30"/>
  <c r="N83" i="30"/>
  <c r="W82" i="30"/>
  <c r="V82" i="30"/>
  <c r="U82" i="30"/>
  <c r="T82" i="30"/>
  <c r="S82" i="30"/>
  <c r="R82" i="30"/>
  <c r="Q82" i="30"/>
  <c r="P82" i="30"/>
  <c r="O82" i="30"/>
  <c r="N82" i="30"/>
  <c r="W81" i="30"/>
  <c r="V81" i="30"/>
  <c r="U81" i="30"/>
  <c r="T81" i="30"/>
  <c r="S81" i="30"/>
  <c r="R81" i="30"/>
  <c r="Q81" i="30"/>
  <c r="P81" i="30"/>
  <c r="O81" i="30"/>
  <c r="N81" i="30"/>
  <c r="X81" i="30"/>
  <c r="AG13" i="30"/>
  <c r="W80" i="30"/>
  <c r="V80" i="30"/>
  <c r="U80" i="30"/>
  <c r="T80" i="30"/>
  <c r="S80" i="30"/>
  <c r="R80" i="30"/>
  <c r="Q80" i="30"/>
  <c r="P80" i="30"/>
  <c r="O80" i="30"/>
  <c r="N80" i="30"/>
  <c r="W79" i="30"/>
  <c r="V79" i="30"/>
  <c r="U79" i="30"/>
  <c r="T79" i="30"/>
  <c r="S79" i="30"/>
  <c r="R79" i="30"/>
  <c r="Q79" i="30"/>
  <c r="P79" i="30"/>
  <c r="O79" i="30"/>
  <c r="N79" i="30"/>
  <c r="X79" i="30"/>
  <c r="AH11" i="30"/>
  <c r="W78" i="30"/>
  <c r="V78" i="30"/>
  <c r="U78" i="30"/>
  <c r="T78" i="30"/>
  <c r="S78" i="30"/>
  <c r="R78" i="30"/>
  <c r="Q78" i="30"/>
  <c r="P78" i="30"/>
  <c r="O78" i="30"/>
  <c r="N78" i="30"/>
  <c r="W77" i="30"/>
  <c r="V77" i="30"/>
  <c r="U77" i="30"/>
  <c r="T77" i="30"/>
  <c r="S77" i="30"/>
  <c r="R77" i="30"/>
  <c r="Q77" i="30"/>
  <c r="P77" i="30"/>
  <c r="O77" i="30"/>
  <c r="N77" i="30"/>
  <c r="W76" i="30"/>
  <c r="V76" i="30"/>
  <c r="U76" i="30"/>
  <c r="T76" i="30"/>
  <c r="S76" i="30"/>
  <c r="R76" i="30"/>
  <c r="Q76" i="30"/>
  <c r="P76" i="30"/>
  <c r="O76" i="30"/>
  <c r="N76" i="30"/>
  <c r="W75" i="30"/>
  <c r="V75" i="30"/>
  <c r="U75" i="30"/>
  <c r="T75" i="30"/>
  <c r="S75" i="30"/>
  <c r="R75" i="30"/>
  <c r="Q75" i="30"/>
  <c r="P75" i="30"/>
  <c r="O75" i="30"/>
  <c r="N75" i="30"/>
  <c r="X75" i="30"/>
  <c r="AG9" i="30"/>
  <c r="W74" i="30"/>
  <c r="V74" i="30"/>
  <c r="U74" i="30"/>
  <c r="T74" i="30"/>
  <c r="S74" i="30"/>
  <c r="R74" i="30"/>
  <c r="Q74" i="30"/>
  <c r="P74" i="30"/>
  <c r="X74" i="30"/>
  <c r="AI8" i="30"/>
  <c r="O74" i="30"/>
  <c r="N74" i="30"/>
  <c r="W73" i="30"/>
  <c r="V73" i="30"/>
  <c r="U73" i="30"/>
  <c r="T73" i="30"/>
  <c r="S73" i="30"/>
  <c r="R73" i="30"/>
  <c r="Q73" i="30"/>
  <c r="P73" i="30"/>
  <c r="O73" i="30"/>
  <c r="N73" i="30"/>
  <c r="W72" i="30"/>
  <c r="V72" i="30"/>
  <c r="U72" i="30"/>
  <c r="T72" i="30"/>
  <c r="S72" i="30"/>
  <c r="R72" i="30"/>
  <c r="Q72" i="30"/>
  <c r="P72" i="30"/>
  <c r="O72" i="30"/>
  <c r="N72" i="30"/>
  <c r="W71" i="30"/>
  <c r="V71" i="30"/>
  <c r="U71" i="30"/>
  <c r="T71" i="30"/>
  <c r="S71" i="30"/>
  <c r="R71" i="30"/>
  <c r="Q71" i="30"/>
  <c r="P71" i="30"/>
  <c r="O71" i="30"/>
  <c r="N71" i="30"/>
  <c r="X71" i="30"/>
  <c r="AI7" i="30"/>
  <c r="W70" i="30"/>
  <c r="V70" i="30"/>
  <c r="U70" i="30"/>
  <c r="T70" i="30"/>
  <c r="S70" i="30"/>
  <c r="R70" i="30"/>
  <c r="Q70" i="30"/>
  <c r="P70" i="30"/>
  <c r="O70" i="30"/>
  <c r="N70" i="30"/>
  <c r="W69" i="30"/>
  <c r="V69" i="30"/>
  <c r="U69" i="30"/>
  <c r="T69" i="30"/>
  <c r="S69" i="30"/>
  <c r="R69" i="30"/>
  <c r="Q69" i="30"/>
  <c r="P69" i="30"/>
  <c r="O69" i="30"/>
  <c r="N69" i="30"/>
  <c r="W68" i="30"/>
  <c r="V68" i="30"/>
  <c r="U68" i="30"/>
  <c r="T68" i="30"/>
  <c r="S68" i="30"/>
  <c r="R68" i="30"/>
  <c r="Q68" i="30"/>
  <c r="P68" i="30"/>
  <c r="O68" i="30"/>
  <c r="N68" i="30"/>
  <c r="W67" i="30"/>
  <c r="V67" i="30"/>
  <c r="U67" i="30"/>
  <c r="T67" i="30"/>
  <c r="S67" i="30"/>
  <c r="R67" i="30"/>
  <c r="Q67" i="30"/>
  <c r="P67" i="30"/>
  <c r="O67" i="30"/>
  <c r="N67" i="30"/>
  <c r="X67" i="30"/>
  <c r="AH6" i="30"/>
  <c r="W66" i="30"/>
  <c r="V66" i="30"/>
  <c r="U66" i="30"/>
  <c r="T66" i="30"/>
  <c r="S66" i="30"/>
  <c r="R66" i="30"/>
  <c r="Q66" i="30"/>
  <c r="P66" i="30"/>
  <c r="X66" i="30"/>
  <c r="AG6" i="30"/>
  <c r="O66" i="30"/>
  <c r="N66" i="30"/>
  <c r="W63" i="30"/>
  <c r="V63" i="30"/>
  <c r="U63" i="30"/>
  <c r="T63" i="30"/>
  <c r="S63" i="30"/>
  <c r="R63" i="30"/>
  <c r="Q63" i="30"/>
  <c r="P63" i="30"/>
  <c r="O63" i="30"/>
  <c r="N63" i="30"/>
  <c r="W62" i="30"/>
  <c r="V62" i="30"/>
  <c r="U62" i="30"/>
  <c r="T62" i="30"/>
  <c r="S62" i="30"/>
  <c r="R62" i="30"/>
  <c r="Q62" i="30"/>
  <c r="P62" i="30"/>
  <c r="O62" i="30"/>
  <c r="N62" i="30"/>
  <c r="W61" i="30"/>
  <c r="V61" i="30"/>
  <c r="U61" i="30"/>
  <c r="T61" i="30"/>
  <c r="S61" i="30"/>
  <c r="R61" i="30"/>
  <c r="Q61" i="30"/>
  <c r="P61" i="30"/>
  <c r="O61" i="30"/>
  <c r="N61" i="30"/>
  <c r="X61" i="30"/>
  <c r="AB13" i="30"/>
  <c r="W60" i="30"/>
  <c r="V60" i="30"/>
  <c r="U60" i="30"/>
  <c r="T60" i="30"/>
  <c r="S60" i="30"/>
  <c r="R60" i="30"/>
  <c r="Q60" i="30"/>
  <c r="P60" i="30"/>
  <c r="O60" i="30"/>
  <c r="N60" i="30"/>
  <c r="W59" i="30"/>
  <c r="V59" i="30"/>
  <c r="U59" i="30"/>
  <c r="T59" i="30"/>
  <c r="S59" i="30"/>
  <c r="R59" i="30"/>
  <c r="Q59" i="30"/>
  <c r="P59" i="30"/>
  <c r="O59" i="30"/>
  <c r="N59" i="30"/>
  <c r="W58" i="30"/>
  <c r="V58" i="30"/>
  <c r="U58" i="30"/>
  <c r="T58" i="30"/>
  <c r="S58" i="30"/>
  <c r="R58" i="30"/>
  <c r="Q58" i="30"/>
  <c r="P58" i="30"/>
  <c r="O58" i="30"/>
  <c r="N58" i="30"/>
  <c r="W57" i="30"/>
  <c r="V57" i="30"/>
  <c r="U57" i="30"/>
  <c r="T57" i="30"/>
  <c r="S57" i="30"/>
  <c r="R57" i="30"/>
  <c r="Q57" i="30"/>
  <c r="P57" i="30"/>
  <c r="O57" i="30"/>
  <c r="N57" i="30"/>
  <c r="X57" i="30"/>
  <c r="AD9" i="30"/>
  <c r="W56" i="30"/>
  <c r="V56" i="30"/>
  <c r="U56" i="30"/>
  <c r="T56" i="30"/>
  <c r="S56" i="30"/>
  <c r="R56" i="30"/>
  <c r="Q56" i="30"/>
  <c r="P56" i="30"/>
  <c r="O56" i="30"/>
  <c r="N56" i="30"/>
  <c r="W55" i="30"/>
  <c r="V55" i="30"/>
  <c r="U55" i="30"/>
  <c r="T55" i="30"/>
  <c r="S55" i="30"/>
  <c r="R55" i="30"/>
  <c r="Q55" i="30"/>
  <c r="P55" i="30"/>
  <c r="O55" i="30"/>
  <c r="N55" i="30"/>
  <c r="W54" i="30"/>
  <c r="V54" i="30"/>
  <c r="U54" i="30"/>
  <c r="T54" i="30"/>
  <c r="S54" i="30"/>
  <c r="R54" i="30"/>
  <c r="Q54" i="30"/>
  <c r="P54" i="30"/>
  <c r="O54" i="30"/>
  <c r="N54" i="30"/>
  <c r="W53" i="30"/>
  <c r="V53" i="30"/>
  <c r="U53" i="30"/>
  <c r="T53" i="30"/>
  <c r="S53" i="30"/>
  <c r="R53" i="30"/>
  <c r="Q53" i="30"/>
  <c r="P53" i="30"/>
  <c r="O53" i="30"/>
  <c r="N53" i="30"/>
  <c r="X53" i="30"/>
  <c r="AC8" i="30"/>
  <c r="W52" i="30"/>
  <c r="V52" i="30"/>
  <c r="U52" i="30"/>
  <c r="T52" i="30"/>
  <c r="S52" i="30"/>
  <c r="R52" i="30"/>
  <c r="Q52" i="30"/>
  <c r="P52" i="30"/>
  <c r="O52" i="30"/>
  <c r="N52" i="30"/>
  <c r="W51" i="30"/>
  <c r="V51" i="30"/>
  <c r="U51" i="30"/>
  <c r="T51" i="30"/>
  <c r="S51" i="30"/>
  <c r="R51" i="30"/>
  <c r="Q51" i="30"/>
  <c r="P51" i="30"/>
  <c r="O51" i="30"/>
  <c r="N51" i="30"/>
  <c r="W50" i="30"/>
  <c r="V50" i="30"/>
  <c r="U50" i="30"/>
  <c r="T50" i="30"/>
  <c r="S50" i="30"/>
  <c r="R50" i="30"/>
  <c r="Q50" i="30"/>
  <c r="P50" i="30"/>
  <c r="O50" i="30"/>
  <c r="N50" i="30"/>
  <c r="W49" i="30"/>
  <c r="V49" i="30"/>
  <c r="U49" i="30"/>
  <c r="T49" i="30"/>
  <c r="S49" i="30"/>
  <c r="R49" i="30"/>
  <c r="Q49" i="30"/>
  <c r="P49" i="30"/>
  <c r="O49" i="30"/>
  <c r="N49" i="30"/>
  <c r="X49" i="30"/>
  <c r="AB7" i="30"/>
  <c r="W48" i="30"/>
  <c r="V48" i="30"/>
  <c r="U48" i="30"/>
  <c r="T48" i="30"/>
  <c r="S48" i="30"/>
  <c r="R48" i="30"/>
  <c r="Q48" i="30"/>
  <c r="P48" i="30"/>
  <c r="O48" i="30"/>
  <c r="N48" i="30"/>
  <c r="W47" i="30"/>
  <c r="V47" i="30"/>
  <c r="U47" i="30"/>
  <c r="T47" i="30"/>
  <c r="S47" i="30"/>
  <c r="R47" i="30"/>
  <c r="Q47" i="30"/>
  <c r="P47" i="30"/>
  <c r="O47" i="30"/>
  <c r="N47" i="30"/>
  <c r="W46" i="30"/>
  <c r="V46" i="30"/>
  <c r="U46" i="30"/>
  <c r="T46" i="30"/>
  <c r="S46" i="30"/>
  <c r="R46" i="30"/>
  <c r="Q46" i="30"/>
  <c r="P46" i="30"/>
  <c r="O46" i="30"/>
  <c r="N46" i="30"/>
  <c r="Q25" i="30"/>
  <c r="P24" i="30"/>
  <c r="R17" i="30"/>
  <c r="L22" i="30"/>
  <c r="Q17" i="30"/>
  <c r="P17" i="30"/>
  <c r="P18" i="30"/>
  <c r="F17" i="30"/>
  <c r="E17" i="30"/>
  <c r="D17" i="30"/>
  <c r="X16" i="30"/>
  <c r="X18" i="30"/>
  <c r="W16" i="30"/>
  <c r="V16" i="30"/>
  <c r="V24" i="30"/>
  <c r="R16" i="30"/>
  <c r="R24" i="30"/>
  <c r="Q16" i="30"/>
  <c r="P16" i="30"/>
  <c r="U16" i="30"/>
  <c r="O15" i="30"/>
  <c r="N15" i="30"/>
  <c r="I15" i="30"/>
  <c r="H15" i="30"/>
  <c r="C15" i="30"/>
  <c r="O14" i="30"/>
  <c r="N14" i="30"/>
  <c r="I14" i="30"/>
  <c r="H14" i="30"/>
  <c r="C14" i="30"/>
  <c r="AA13" i="30"/>
  <c r="Z13" i="30"/>
  <c r="U13" i="30"/>
  <c r="T13" i="30"/>
  <c r="O13" i="30"/>
  <c r="N13" i="30"/>
  <c r="I13" i="30"/>
  <c r="H13" i="30"/>
  <c r="C13" i="30"/>
  <c r="O12" i="30"/>
  <c r="N12" i="30"/>
  <c r="I12" i="30"/>
  <c r="H12" i="30"/>
  <c r="C12" i="30"/>
  <c r="O11" i="30"/>
  <c r="N11" i="30"/>
  <c r="I11" i="30"/>
  <c r="H11" i="30"/>
  <c r="C11" i="30"/>
  <c r="O10" i="30"/>
  <c r="N10" i="30"/>
  <c r="F10" i="30"/>
  <c r="E10" i="30"/>
  <c r="D10" i="30"/>
  <c r="C10" i="30"/>
  <c r="AA9" i="30"/>
  <c r="Z9" i="30"/>
  <c r="U9" i="30"/>
  <c r="T9" i="30"/>
  <c r="O9" i="30"/>
  <c r="N9" i="30"/>
  <c r="I9" i="30"/>
  <c r="H9" i="30"/>
  <c r="C9" i="30"/>
  <c r="O8" i="30"/>
  <c r="N8" i="30"/>
  <c r="I8" i="30"/>
  <c r="H8" i="30"/>
  <c r="C8" i="30"/>
  <c r="AA7" i="30"/>
  <c r="Z7" i="30"/>
  <c r="U7" i="30"/>
  <c r="T7" i="30"/>
  <c r="O7" i="30"/>
  <c r="N7" i="30"/>
  <c r="I7" i="30"/>
  <c r="H7" i="30"/>
  <c r="C7" i="30"/>
  <c r="I6" i="30"/>
  <c r="H6" i="30"/>
  <c r="C6" i="30"/>
  <c r="W89" i="29"/>
  <c r="V89" i="29"/>
  <c r="U89" i="29"/>
  <c r="T89" i="29"/>
  <c r="S89" i="29"/>
  <c r="R89" i="29"/>
  <c r="Q89" i="29"/>
  <c r="P89" i="29"/>
  <c r="O89" i="29"/>
  <c r="N89" i="29"/>
  <c r="X89" i="29"/>
  <c r="AI12" i="29"/>
  <c r="W88" i="29"/>
  <c r="V88" i="29"/>
  <c r="U88" i="29"/>
  <c r="T88" i="29"/>
  <c r="S88" i="29"/>
  <c r="R88" i="29"/>
  <c r="Q88" i="29"/>
  <c r="P88" i="29"/>
  <c r="X88" i="29"/>
  <c r="AH12" i="29"/>
  <c r="O88" i="29"/>
  <c r="N88" i="29"/>
  <c r="W87" i="29"/>
  <c r="V87" i="29"/>
  <c r="U87" i="29"/>
  <c r="T87" i="29"/>
  <c r="S87" i="29"/>
  <c r="R87" i="29"/>
  <c r="Q87" i="29"/>
  <c r="P87" i="29"/>
  <c r="O87" i="29"/>
  <c r="N87" i="29"/>
  <c r="X87" i="29"/>
  <c r="AG12" i="29"/>
  <c r="W86" i="29"/>
  <c r="V86" i="29"/>
  <c r="U86" i="29"/>
  <c r="T86" i="29"/>
  <c r="S86" i="29"/>
  <c r="R86" i="29"/>
  <c r="Q86" i="29"/>
  <c r="P86" i="29"/>
  <c r="O86" i="29"/>
  <c r="N86" i="29"/>
  <c r="W85" i="29"/>
  <c r="V85" i="29"/>
  <c r="U85" i="29"/>
  <c r="T85" i="29"/>
  <c r="S85" i="29"/>
  <c r="R85" i="29"/>
  <c r="Q85" i="29"/>
  <c r="P85" i="29"/>
  <c r="O85" i="29"/>
  <c r="N85" i="29"/>
  <c r="W84" i="29"/>
  <c r="V84" i="29"/>
  <c r="U84" i="29"/>
  <c r="T84" i="29"/>
  <c r="S84" i="29"/>
  <c r="R84" i="29"/>
  <c r="Q84" i="29"/>
  <c r="P84" i="29"/>
  <c r="O84" i="29"/>
  <c r="N84" i="29"/>
  <c r="W83" i="29"/>
  <c r="V83" i="29"/>
  <c r="U83" i="29"/>
  <c r="T83" i="29"/>
  <c r="S83" i="29"/>
  <c r="R83" i="29"/>
  <c r="Q83" i="29"/>
  <c r="P83" i="29"/>
  <c r="O83" i="29"/>
  <c r="N83" i="29"/>
  <c r="W82" i="29"/>
  <c r="V82" i="29"/>
  <c r="U82" i="29"/>
  <c r="T82" i="29"/>
  <c r="S82" i="29"/>
  <c r="R82" i="29"/>
  <c r="Q82" i="29"/>
  <c r="P82" i="29"/>
  <c r="O82" i="29"/>
  <c r="N82" i="29"/>
  <c r="W81" i="29"/>
  <c r="V81" i="29"/>
  <c r="U81" i="29"/>
  <c r="T81" i="29"/>
  <c r="S81" i="29"/>
  <c r="R81" i="29"/>
  <c r="Q81" i="29"/>
  <c r="P81" i="29"/>
  <c r="O81" i="29"/>
  <c r="N81" i="29"/>
  <c r="W80" i="29"/>
  <c r="V80" i="29"/>
  <c r="U80" i="29"/>
  <c r="T80" i="29"/>
  <c r="S80" i="29"/>
  <c r="R80" i="29"/>
  <c r="Q80" i="29"/>
  <c r="P80" i="29"/>
  <c r="O80" i="29"/>
  <c r="N80" i="29"/>
  <c r="W79" i="29"/>
  <c r="V79" i="29"/>
  <c r="U79" i="29"/>
  <c r="T79" i="29"/>
  <c r="S79" i="29"/>
  <c r="R79" i="29"/>
  <c r="Q79" i="29"/>
  <c r="P79" i="29"/>
  <c r="O79" i="29"/>
  <c r="N79" i="29"/>
  <c r="W78" i="29"/>
  <c r="V78" i="29"/>
  <c r="U78" i="29"/>
  <c r="T78" i="29"/>
  <c r="S78" i="29"/>
  <c r="R78" i="29"/>
  <c r="Q78" i="29"/>
  <c r="P78" i="29"/>
  <c r="O78" i="29"/>
  <c r="N78" i="29"/>
  <c r="W77" i="29"/>
  <c r="V77" i="29"/>
  <c r="U77" i="29"/>
  <c r="T77" i="29"/>
  <c r="S77" i="29"/>
  <c r="R77" i="29"/>
  <c r="Q77" i="29"/>
  <c r="P77" i="29"/>
  <c r="O77" i="29"/>
  <c r="N77" i="29"/>
  <c r="W76" i="29"/>
  <c r="V76" i="29"/>
  <c r="U76" i="29"/>
  <c r="T76" i="29"/>
  <c r="S76" i="29"/>
  <c r="R76" i="29"/>
  <c r="Q76" i="29"/>
  <c r="P76" i="29"/>
  <c r="O76" i="29"/>
  <c r="N76" i="29"/>
  <c r="W75" i="29"/>
  <c r="V75" i="29"/>
  <c r="U75" i="29"/>
  <c r="T75" i="29"/>
  <c r="S75" i="29"/>
  <c r="R75" i="29"/>
  <c r="Q75" i="29"/>
  <c r="P75" i="29"/>
  <c r="O75" i="29"/>
  <c r="N75" i="29"/>
  <c r="W74" i="29"/>
  <c r="V74" i="29"/>
  <c r="U74" i="29"/>
  <c r="T74" i="29"/>
  <c r="S74" i="29"/>
  <c r="R74" i="29"/>
  <c r="Q74" i="29"/>
  <c r="P74" i="29"/>
  <c r="O74" i="29"/>
  <c r="N74" i="29"/>
  <c r="W73" i="29"/>
  <c r="V73" i="29"/>
  <c r="U73" i="29"/>
  <c r="T73" i="29"/>
  <c r="S73" i="29"/>
  <c r="R73" i="29"/>
  <c r="Q73" i="29"/>
  <c r="P73" i="29"/>
  <c r="O73" i="29"/>
  <c r="N73" i="29"/>
  <c r="W72" i="29"/>
  <c r="V72" i="29"/>
  <c r="U72" i="29"/>
  <c r="T72" i="29"/>
  <c r="S72" i="29"/>
  <c r="R72" i="29"/>
  <c r="Q72" i="29"/>
  <c r="P72" i="29"/>
  <c r="O72" i="29"/>
  <c r="N72" i="29"/>
  <c r="W69" i="29"/>
  <c r="V69" i="29"/>
  <c r="U69" i="29"/>
  <c r="T69" i="29"/>
  <c r="S69" i="29"/>
  <c r="R69" i="29"/>
  <c r="Q69" i="29"/>
  <c r="P69" i="29"/>
  <c r="O69" i="29"/>
  <c r="N69" i="29"/>
  <c r="W68" i="29"/>
  <c r="V68" i="29"/>
  <c r="U68" i="29"/>
  <c r="T68" i="29"/>
  <c r="S68" i="29"/>
  <c r="R68" i="29"/>
  <c r="Q68" i="29"/>
  <c r="P68" i="29"/>
  <c r="O68" i="29"/>
  <c r="N68" i="29"/>
  <c r="W67" i="29"/>
  <c r="V67" i="29"/>
  <c r="U67" i="29"/>
  <c r="T67" i="29"/>
  <c r="S67" i="29"/>
  <c r="R67" i="29"/>
  <c r="Q67" i="29"/>
  <c r="P67" i="29"/>
  <c r="O67" i="29"/>
  <c r="N67" i="29"/>
  <c r="W66" i="29"/>
  <c r="V66" i="29"/>
  <c r="U66" i="29"/>
  <c r="T66" i="29"/>
  <c r="S66" i="29"/>
  <c r="R66" i="29"/>
  <c r="Q66" i="29"/>
  <c r="P66" i="29"/>
  <c r="O66" i="29"/>
  <c r="N66" i="29"/>
  <c r="W65" i="29"/>
  <c r="V65" i="29"/>
  <c r="U65" i="29"/>
  <c r="T65" i="29"/>
  <c r="S65" i="29"/>
  <c r="R65" i="29"/>
  <c r="Q65" i="29"/>
  <c r="P65" i="29"/>
  <c r="O65" i="29"/>
  <c r="N65" i="29"/>
  <c r="W64" i="29"/>
  <c r="V64" i="29"/>
  <c r="U64" i="29"/>
  <c r="T64" i="29"/>
  <c r="S64" i="29"/>
  <c r="R64" i="29"/>
  <c r="Q64" i="29"/>
  <c r="P64" i="29"/>
  <c r="O64" i="29"/>
  <c r="N64" i="29"/>
  <c r="X64" i="29"/>
  <c r="AB10" i="29"/>
  <c r="W63" i="29"/>
  <c r="V63" i="29"/>
  <c r="U63" i="29"/>
  <c r="T63" i="29"/>
  <c r="S63" i="29"/>
  <c r="R63" i="29"/>
  <c r="Q63" i="29"/>
  <c r="P63" i="29"/>
  <c r="O63" i="29"/>
  <c r="N63" i="29"/>
  <c r="W62" i="29"/>
  <c r="V62" i="29"/>
  <c r="U62" i="29"/>
  <c r="T62" i="29"/>
  <c r="S62" i="29"/>
  <c r="R62" i="29"/>
  <c r="Q62" i="29"/>
  <c r="P62" i="29"/>
  <c r="O62" i="29"/>
  <c r="N62" i="29"/>
  <c r="W61" i="29"/>
  <c r="V61" i="29"/>
  <c r="U61" i="29"/>
  <c r="T61" i="29"/>
  <c r="S61" i="29"/>
  <c r="R61" i="29"/>
  <c r="Q61" i="29"/>
  <c r="P61" i="29"/>
  <c r="O61" i="29"/>
  <c r="N61" i="29"/>
  <c r="W60" i="29"/>
  <c r="V60" i="29"/>
  <c r="U60" i="29"/>
  <c r="T60" i="29"/>
  <c r="S60" i="29"/>
  <c r="R60" i="29"/>
  <c r="Q60" i="29"/>
  <c r="P60" i="29"/>
  <c r="O60" i="29"/>
  <c r="N60" i="29"/>
  <c r="W59" i="29"/>
  <c r="V59" i="29"/>
  <c r="U59" i="29"/>
  <c r="T59" i="29"/>
  <c r="S59" i="29"/>
  <c r="R59" i="29"/>
  <c r="Q59" i="29"/>
  <c r="P59" i="29"/>
  <c r="O59" i="29"/>
  <c r="N59" i="29"/>
  <c r="W58" i="29"/>
  <c r="V58" i="29"/>
  <c r="U58" i="29"/>
  <c r="T58" i="29"/>
  <c r="S58" i="29"/>
  <c r="R58" i="29"/>
  <c r="Q58" i="29"/>
  <c r="P58" i="29"/>
  <c r="O58" i="29"/>
  <c r="N58" i="29"/>
  <c r="AU57" i="29"/>
  <c r="AT57" i="29"/>
  <c r="AS57" i="29"/>
  <c r="AR57" i="29"/>
  <c r="AQ57" i="29"/>
  <c r="AP57" i="29"/>
  <c r="AO57" i="29"/>
  <c r="AN57" i="29"/>
  <c r="AM57" i="29"/>
  <c r="AL57" i="29"/>
  <c r="W57" i="29"/>
  <c r="V57" i="29"/>
  <c r="U57" i="29"/>
  <c r="T57" i="29"/>
  <c r="S57" i="29"/>
  <c r="R57" i="29"/>
  <c r="Q57" i="29"/>
  <c r="P57" i="29"/>
  <c r="O57" i="29"/>
  <c r="N57" i="29"/>
  <c r="X57" i="29"/>
  <c r="AD7" i="29"/>
  <c r="AU56" i="29"/>
  <c r="AT56" i="29"/>
  <c r="AS56" i="29"/>
  <c r="AR56" i="29"/>
  <c r="AQ56" i="29"/>
  <c r="AP56" i="29"/>
  <c r="AO56" i="29"/>
  <c r="AN56" i="29"/>
  <c r="AM56" i="29"/>
  <c r="AL56" i="29"/>
  <c r="W56" i="29"/>
  <c r="V56" i="29"/>
  <c r="U56" i="29"/>
  <c r="T56" i="29"/>
  <c r="S56" i="29"/>
  <c r="R56" i="29"/>
  <c r="Q56" i="29"/>
  <c r="P56" i="29"/>
  <c r="O56" i="29"/>
  <c r="N56" i="29"/>
  <c r="AU55" i="29"/>
  <c r="AT55" i="29"/>
  <c r="AS55" i="29"/>
  <c r="AR55" i="29"/>
  <c r="AQ55" i="29"/>
  <c r="AP55" i="29"/>
  <c r="AO55" i="29"/>
  <c r="AN55" i="29"/>
  <c r="AM55" i="29"/>
  <c r="AL55" i="29"/>
  <c r="W55" i="29"/>
  <c r="V55" i="29"/>
  <c r="U55" i="29"/>
  <c r="T55" i="29"/>
  <c r="S55" i="29"/>
  <c r="R55" i="29"/>
  <c r="Q55" i="29"/>
  <c r="P55" i="29"/>
  <c r="O55" i="29"/>
  <c r="N55" i="29"/>
  <c r="AU54" i="29"/>
  <c r="AT54" i="29"/>
  <c r="AS54" i="29"/>
  <c r="AR54" i="29"/>
  <c r="AQ54" i="29"/>
  <c r="AP54" i="29"/>
  <c r="AO54" i="29"/>
  <c r="AN54" i="29"/>
  <c r="AM54" i="29"/>
  <c r="AL54" i="29"/>
  <c r="W54" i="29"/>
  <c r="V54" i="29"/>
  <c r="U54" i="29"/>
  <c r="T54" i="29"/>
  <c r="S54" i="29"/>
  <c r="R54" i="29"/>
  <c r="Q54" i="29"/>
  <c r="P54" i="29"/>
  <c r="O54" i="29"/>
  <c r="N54" i="29"/>
  <c r="AU53" i="29"/>
  <c r="AT53" i="29"/>
  <c r="AS53" i="29"/>
  <c r="AR53" i="29"/>
  <c r="AQ53" i="29"/>
  <c r="AP53" i="29"/>
  <c r="AO53" i="29"/>
  <c r="AN53" i="29"/>
  <c r="AM53" i="29"/>
  <c r="AL53" i="29"/>
  <c r="W53" i="29"/>
  <c r="V53" i="29"/>
  <c r="U53" i="29"/>
  <c r="T53" i="29"/>
  <c r="S53" i="29"/>
  <c r="R53" i="29"/>
  <c r="Q53" i="29"/>
  <c r="P53" i="29"/>
  <c r="O53" i="29"/>
  <c r="N53" i="29"/>
  <c r="AU52" i="29"/>
  <c r="AT52" i="29"/>
  <c r="AS52" i="29"/>
  <c r="AR52" i="29"/>
  <c r="AQ52" i="29"/>
  <c r="AP52" i="29"/>
  <c r="AO52" i="29"/>
  <c r="AN52" i="29"/>
  <c r="AM52" i="29"/>
  <c r="AL52" i="29"/>
  <c r="W52" i="29"/>
  <c r="V52" i="29"/>
  <c r="U52" i="29"/>
  <c r="T52" i="29"/>
  <c r="S52" i="29"/>
  <c r="R52" i="29"/>
  <c r="Q52" i="29"/>
  <c r="P52" i="29"/>
  <c r="O52" i="29"/>
  <c r="N52" i="29"/>
  <c r="X22" i="29"/>
  <c r="X26" i="29"/>
  <c r="Q16" i="29"/>
  <c r="R15" i="29"/>
  <c r="L20" i="29"/>
  <c r="Q15" i="29"/>
  <c r="Q23" i="29"/>
  <c r="Q27" i="29"/>
  <c r="P15" i="29"/>
  <c r="F15" i="29"/>
  <c r="E15" i="29"/>
  <c r="D15" i="29"/>
  <c r="I15" i="29"/>
  <c r="X14" i="29"/>
  <c r="W14" i="29"/>
  <c r="W22" i="29"/>
  <c r="W26" i="29"/>
  <c r="V14" i="29"/>
  <c r="V16" i="29"/>
  <c r="R14" i="29"/>
  <c r="R22" i="29"/>
  <c r="Q14" i="29"/>
  <c r="P14" i="29"/>
  <c r="AW13" i="29"/>
  <c r="O13" i="29"/>
  <c r="N13" i="29"/>
  <c r="I13" i="29"/>
  <c r="H13" i="29"/>
  <c r="AV13" i="29"/>
  <c r="C13" i="29"/>
  <c r="AA12" i="29"/>
  <c r="Z12" i="29"/>
  <c r="U12" i="29"/>
  <c r="T12" i="29"/>
  <c r="O12" i="29"/>
  <c r="N12" i="29"/>
  <c r="I12" i="29"/>
  <c r="AW12" i="29"/>
  <c r="H12" i="29"/>
  <c r="AV12" i="29"/>
  <c r="C12" i="29"/>
  <c r="AW11" i="29"/>
  <c r="O11" i="29"/>
  <c r="N11" i="29"/>
  <c r="I11" i="29"/>
  <c r="H11" i="29"/>
  <c r="AV11" i="29"/>
  <c r="C11" i="29"/>
  <c r="O10" i="29"/>
  <c r="N10" i="29"/>
  <c r="I10" i="29"/>
  <c r="AW10" i="29"/>
  <c r="H10" i="29"/>
  <c r="AV10" i="29"/>
  <c r="C10" i="29"/>
  <c r="AA9" i="29"/>
  <c r="Z9" i="29"/>
  <c r="U9" i="29"/>
  <c r="T9" i="29"/>
  <c r="O9" i="29"/>
  <c r="N9" i="29"/>
  <c r="I9" i="29"/>
  <c r="AW9" i="29"/>
  <c r="H9" i="29"/>
  <c r="AV9" i="29"/>
  <c r="C9" i="29"/>
  <c r="O8" i="29"/>
  <c r="N8" i="29"/>
  <c r="I8" i="29"/>
  <c r="AW8" i="29"/>
  <c r="H8" i="29"/>
  <c r="AV8" i="29"/>
  <c r="C8" i="29"/>
  <c r="AA7" i="29"/>
  <c r="Z7" i="29"/>
  <c r="U7" i="29"/>
  <c r="T7" i="29"/>
  <c r="O7" i="29"/>
  <c r="N7" i="29"/>
  <c r="I7" i="29"/>
  <c r="AW7" i="29"/>
  <c r="H7" i="29"/>
  <c r="AV7" i="29"/>
  <c r="C7" i="29"/>
  <c r="O6" i="29"/>
  <c r="N6" i="29"/>
  <c r="I6" i="29"/>
  <c r="AW6" i="29"/>
  <c r="H6" i="29"/>
  <c r="AV6" i="29"/>
  <c r="C6" i="29"/>
  <c r="W81" i="28"/>
  <c r="V81" i="28"/>
  <c r="U81" i="28"/>
  <c r="T81" i="28"/>
  <c r="S81" i="28"/>
  <c r="R81" i="28"/>
  <c r="Q81" i="28"/>
  <c r="P81" i="28"/>
  <c r="O81" i="28"/>
  <c r="N81" i="28"/>
  <c r="W80" i="28"/>
  <c r="V80" i="28"/>
  <c r="U80" i="28"/>
  <c r="T80" i="28"/>
  <c r="S80" i="28"/>
  <c r="R80" i="28"/>
  <c r="Q80" i="28"/>
  <c r="P80" i="28"/>
  <c r="O80" i="28"/>
  <c r="N80" i="28"/>
  <c r="W79" i="28"/>
  <c r="V79" i="28"/>
  <c r="U79" i="28"/>
  <c r="T79" i="28"/>
  <c r="S79" i="28"/>
  <c r="R79" i="28"/>
  <c r="Q79" i="28"/>
  <c r="P79" i="28"/>
  <c r="O79" i="28"/>
  <c r="N79" i="28"/>
  <c r="W78" i="28"/>
  <c r="V78" i="28"/>
  <c r="U78" i="28"/>
  <c r="T78" i="28"/>
  <c r="S78" i="28"/>
  <c r="R78" i="28"/>
  <c r="Q78" i="28"/>
  <c r="P78" i="28"/>
  <c r="O78" i="28"/>
  <c r="N78" i="28"/>
  <c r="W77" i="28"/>
  <c r="V77" i="28"/>
  <c r="U77" i="28"/>
  <c r="T77" i="28"/>
  <c r="S77" i="28"/>
  <c r="R77" i="28"/>
  <c r="Q77" i="28"/>
  <c r="P77" i="28"/>
  <c r="O77" i="28"/>
  <c r="N77" i="28"/>
  <c r="W76" i="28"/>
  <c r="V76" i="28"/>
  <c r="U76" i="28"/>
  <c r="T76" i="28"/>
  <c r="S76" i="28"/>
  <c r="R76" i="28"/>
  <c r="Q76" i="28"/>
  <c r="P76" i="28"/>
  <c r="O76" i="28"/>
  <c r="N76" i="28"/>
  <c r="W75" i="28"/>
  <c r="V75" i="28"/>
  <c r="U75" i="28"/>
  <c r="T75" i="28"/>
  <c r="S75" i="28"/>
  <c r="R75" i="28"/>
  <c r="Q75" i="28"/>
  <c r="P75" i="28"/>
  <c r="O75" i="28"/>
  <c r="N75" i="28"/>
  <c r="W74" i="28"/>
  <c r="V74" i="28"/>
  <c r="U74" i="28"/>
  <c r="T74" i="28"/>
  <c r="S74" i="28"/>
  <c r="R74" i="28"/>
  <c r="Q74" i="28"/>
  <c r="P74" i="28"/>
  <c r="O74" i="28"/>
  <c r="N74" i="28"/>
  <c r="W73" i="28"/>
  <c r="V73" i="28"/>
  <c r="U73" i="28"/>
  <c r="T73" i="28"/>
  <c r="S73" i="28"/>
  <c r="R73" i="28"/>
  <c r="Q73" i="28"/>
  <c r="P73" i="28"/>
  <c r="O73" i="28"/>
  <c r="N73" i="28"/>
  <c r="W72" i="28"/>
  <c r="V72" i="28"/>
  <c r="U72" i="28"/>
  <c r="T72" i="28"/>
  <c r="S72" i="28"/>
  <c r="R72" i="28"/>
  <c r="Q72" i="28"/>
  <c r="P72" i="28"/>
  <c r="O72" i="28"/>
  <c r="N72" i="28"/>
  <c r="W71" i="28"/>
  <c r="V71" i="28"/>
  <c r="U71" i="28"/>
  <c r="T71" i="28"/>
  <c r="S71" i="28"/>
  <c r="R71" i="28"/>
  <c r="Q71" i="28"/>
  <c r="P71" i="28"/>
  <c r="O71" i="28"/>
  <c r="N71" i="28"/>
  <c r="W70" i="28"/>
  <c r="V70" i="28"/>
  <c r="U70" i="28"/>
  <c r="T70" i="28"/>
  <c r="S70" i="28"/>
  <c r="R70" i="28"/>
  <c r="Q70" i="28"/>
  <c r="P70" i="28"/>
  <c r="O70" i="28"/>
  <c r="N70" i="28"/>
  <c r="W69" i="28"/>
  <c r="V69" i="28"/>
  <c r="U69" i="28"/>
  <c r="T69" i="28"/>
  <c r="S69" i="28"/>
  <c r="R69" i="28"/>
  <c r="Q69" i="28"/>
  <c r="P69" i="28"/>
  <c r="O69" i="28"/>
  <c r="N69" i="28"/>
  <c r="W68" i="28"/>
  <c r="V68" i="28"/>
  <c r="U68" i="28"/>
  <c r="T68" i="28"/>
  <c r="S68" i="28"/>
  <c r="R68" i="28"/>
  <c r="Q68" i="28"/>
  <c r="P68" i="28"/>
  <c r="O68" i="28"/>
  <c r="N68" i="28"/>
  <c r="W67" i="28"/>
  <c r="V67" i="28"/>
  <c r="U67" i="28"/>
  <c r="T67" i="28"/>
  <c r="S67" i="28"/>
  <c r="R67" i="28"/>
  <c r="Q67" i="28"/>
  <c r="P67" i="28"/>
  <c r="O67" i="28"/>
  <c r="N67" i="28"/>
  <c r="W66" i="28"/>
  <c r="V66" i="28"/>
  <c r="U66" i="28"/>
  <c r="T66" i="28"/>
  <c r="S66" i="28"/>
  <c r="R66" i="28"/>
  <c r="Q66" i="28"/>
  <c r="P66" i="28"/>
  <c r="O66" i="28"/>
  <c r="N66" i="28"/>
  <c r="W65" i="28"/>
  <c r="V65" i="28"/>
  <c r="U65" i="28"/>
  <c r="T65" i="28"/>
  <c r="S65" i="28"/>
  <c r="R65" i="28"/>
  <c r="Q65" i="28"/>
  <c r="P65" i="28"/>
  <c r="O65" i="28"/>
  <c r="N65" i="28"/>
  <c r="W64" i="28"/>
  <c r="V64" i="28"/>
  <c r="U64" i="28"/>
  <c r="T64" i="28"/>
  <c r="S64" i="28"/>
  <c r="R64" i="28"/>
  <c r="Q64" i="28"/>
  <c r="P64" i="28"/>
  <c r="O64" i="28"/>
  <c r="N64" i="28"/>
  <c r="W61" i="28"/>
  <c r="V61" i="28"/>
  <c r="U61" i="28"/>
  <c r="T61" i="28"/>
  <c r="S61" i="28"/>
  <c r="R61" i="28"/>
  <c r="Q61" i="28"/>
  <c r="P61" i="28"/>
  <c r="O61" i="28"/>
  <c r="N61" i="28"/>
  <c r="W60" i="28"/>
  <c r="V60" i="28"/>
  <c r="U60" i="28"/>
  <c r="T60" i="28"/>
  <c r="S60" i="28"/>
  <c r="R60" i="28"/>
  <c r="Q60" i="28"/>
  <c r="P60" i="28"/>
  <c r="O60" i="28"/>
  <c r="N60" i="28"/>
  <c r="W59" i="28"/>
  <c r="V59" i="28"/>
  <c r="U59" i="28"/>
  <c r="T59" i="28"/>
  <c r="S59" i="28"/>
  <c r="R59" i="28"/>
  <c r="Q59" i="28"/>
  <c r="P59" i="28"/>
  <c r="O59" i="28"/>
  <c r="N59" i="28"/>
  <c r="W58" i="28"/>
  <c r="V58" i="28"/>
  <c r="U58" i="28"/>
  <c r="T58" i="28"/>
  <c r="S58" i="28"/>
  <c r="R58" i="28"/>
  <c r="Q58" i="28"/>
  <c r="P58" i="28"/>
  <c r="O58" i="28"/>
  <c r="N58" i="28"/>
  <c r="W57" i="28"/>
  <c r="V57" i="28"/>
  <c r="U57" i="28"/>
  <c r="T57" i="28"/>
  <c r="S57" i="28"/>
  <c r="R57" i="28"/>
  <c r="Q57" i="28"/>
  <c r="P57" i="28"/>
  <c r="O57" i="28"/>
  <c r="N57" i="28"/>
  <c r="W56" i="28"/>
  <c r="V56" i="28"/>
  <c r="U56" i="28"/>
  <c r="T56" i="28"/>
  <c r="S56" i="28"/>
  <c r="R56" i="28"/>
  <c r="Q56" i="28"/>
  <c r="P56" i="28"/>
  <c r="O56" i="28"/>
  <c r="N56" i="28"/>
  <c r="W55" i="28"/>
  <c r="V55" i="28"/>
  <c r="U55" i="28"/>
  <c r="T55" i="28"/>
  <c r="S55" i="28"/>
  <c r="R55" i="28"/>
  <c r="Q55" i="28"/>
  <c r="P55" i="28"/>
  <c r="O55" i="28"/>
  <c r="N55" i="28"/>
  <c r="W54" i="28"/>
  <c r="V54" i="28"/>
  <c r="U54" i="28"/>
  <c r="T54" i="28"/>
  <c r="S54" i="28"/>
  <c r="R54" i="28"/>
  <c r="Q54" i="28"/>
  <c r="P54" i="28"/>
  <c r="O54" i="28"/>
  <c r="N54" i="28"/>
  <c r="W53" i="28"/>
  <c r="V53" i="28"/>
  <c r="U53" i="28"/>
  <c r="T53" i="28"/>
  <c r="S53" i="28"/>
  <c r="R53" i="28"/>
  <c r="Q53" i="28"/>
  <c r="P53" i="28"/>
  <c r="X53" i="28"/>
  <c r="AB9" i="28"/>
  <c r="O53" i="28"/>
  <c r="N53" i="28"/>
  <c r="W52" i="28"/>
  <c r="V52" i="28"/>
  <c r="U52" i="28"/>
  <c r="T52" i="28"/>
  <c r="S52" i="28"/>
  <c r="R52" i="28"/>
  <c r="Q52" i="28"/>
  <c r="P52" i="28"/>
  <c r="O52" i="28"/>
  <c r="N52" i="28"/>
  <c r="AU51" i="28"/>
  <c r="AT51" i="28"/>
  <c r="AS51" i="28"/>
  <c r="AR51" i="28"/>
  <c r="AQ51" i="28"/>
  <c r="AP51" i="28"/>
  <c r="AO51" i="28"/>
  <c r="AN51" i="28"/>
  <c r="AM51" i="28"/>
  <c r="AL51" i="28"/>
  <c r="W51" i="28"/>
  <c r="V51" i="28"/>
  <c r="U51" i="28"/>
  <c r="T51" i="28"/>
  <c r="S51" i="28"/>
  <c r="R51" i="28"/>
  <c r="Q51" i="28"/>
  <c r="P51" i="28"/>
  <c r="O51" i="28"/>
  <c r="N51" i="28"/>
  <c r="X51" i="28"/>
  <c r="AC8" i="28"/>
  <c r="W50" i="28"/>
  <c r="V50" i="28"/>
  <c r="U50" i="28"/>
  <c r="T50" i="28"/>
  <c r="S50" i="28"/>
  <c r="R50" i="28"/>
  <c r="Q50" i="28"/>
  <c r="P50" i="28"/>
  <c r="X50" i="28"/>
  <c r="AB8" i="28"/>
  <c r="O50" i="28"/>
  <c r="N50" i="28"/>
  <c r="AU49" i="28"/>
  <c r="AT49" i="28"/>
  <c r="AS49" i="28"/>
  <c r="AR49" i="28"/>
  <c r="AQ49" i="28"/>
  <c r="AP49" i="28"/>
  <c r="AO49" i="28"/>
  <c r="AN49" i="28"/>
  <c r="AM49" i="28"/>
  <c r="AL49" i="28"/>
  <c r="W49" i="28"/>
  <c r="V49" i="28"/>
  <c r="U49" i="28"/>
  <c r="T49" i="28"/>
  <c r="S49" i="28"/>
  <c r="R49" i="28"/>
  <c r="Q49" i="28"/>
  <c r="P49" i="28"/>
  <c r="O49" i="28"/>
  <c r="N49" i="28"/>
  <c r="AU48" i="28"/>
  <c r="AT48" i="28"/>
  <c r="AS48" i="28"/>
  <c r="AR48" i="28"/>
  <c r="AQ48" i="28"/>
  <c r="AP48" i="28"/>
  <c r="AO48" i="28"/>
  <c r="AN48" i="28"/>
  <c r="AM48" i="28"/>
  <c r="AL48" i="28"/>
  <c r="AV48" i="28"/>
  <c r="W48" i="28"/>
  <c r="V48" i="28"/>
  <c r="U48" i="28"/>
  <c r="T48" i="28"/>
  <c r="S48" i="28"/>
  <c r="R48" i="28"/>
  <c r="Q48" i="28"/>
  <c r="P48" i="28"/>
  <c r="X48" i="28"/>
  <c r="AC7" i="28"/>
  <c r="O48" i="28"/>
  <c r="N48" i="28"/>
  <c r="AU47" i="28"/>
  <c r="AT47" i="28"/>
  <c r="AS47" i="28"/>
  <c r="AR47" i="28"/>
  <c r="AQ47" i="28"/>
  <c r="AP47" i="28"/>
  <c r="AO47" i="28"/>
  <c r="AN47" i="28"/>
  <c r="AM47" i="28"/>
  <c r="AL47" i="28"/>
  <c r="W47" i="28"/>
  <c r="V47" i="28"/>
  <c r="U47" i="28"/>
  <c r="T47" i="28"/>
  <c r="S47" i="28"/>
  <c r="R47" i="28"/>
  <c r="Q47" i="28"/>
  <c r="P47" i="28"/>
  <c r="O47" i="28"/>
  <c r="N47" i="28"/>
  <c r="AU46" i="28"/>
  <c r="AT46" i="28"/>
  <c r="AS46" i="28"/>
  <c r="AR46" i="28"/>
  <c r="AQ46" i="28"/>
  <c r="AP46" i="28"/>
  <c r="AO46" i="28"/>
  <c r="AN46" i="28"/>
  <c r="AM46" i="28"/>
  <c r="AL46" i="28"/>
  <c r="AV46" i="28"/>
  <c r="W46" i="28"/>
  <c r="V46" i="28"/>
  <c r="U46" i="28"/>
  <c r="T46" i="28"/>
  <c r="S46" i="28"/>
  <c r="R46" i="28"/>
  <c r="Q46" i="28"/>
  <c r="P46" i="28"/>
  <c r="X46" i="28"/>
  <c r="AD6" i="28"/>
  <c r="O46" i="28"/>
  <c r="N46" i="28"/>
  <c r="AU45" i="28"/>
  <c r="AT45" i="28"/>
  <c r="AS45" i="28"/>
  <c r="AR45" i="28"/>
  <c r="AQ45" i="28"/>
  <c r="AP45" i="28"/>
  <c r="AO45" i="28"/>
  <c r="AN45" i="28"/>
  <c r="AM45" i="28"/>
  <c r="AL45" i="28"/>
  <c r="W45" i="28"/>
  <c r="V45" i="28"/>
  <c r="U45" i="28"/>
  <c r="T45" i="28"/>
  <c r="S45" i="28"/>
  <c r="R45" i="28"/>
  <c r="Q45" i="28"/>
  <c r="P45" i="28"/>
  <c r="O45" i="28"/>
  <c r="N45" i="28"/>
  <c r="AU44" i="28"/>
  <c r="AT44" i="28"/>
  <c r="AS44" i="28"/>
  <c r="AR44" i="28"/>
  <c r="AQ44" i="28"/>
  <c r="AP44" i="28"/>
  <c r="AO44" i="28"/>
  <c r="AN44" i="28"/>
  <c r="AM44" i="28"/>
  <c r="AL44" i="28"/>
  <c r="AV44" i="28"/>
  <c r="W44" i="28"/>
  <c r="V44" i="28"/>
  <c r="U44" i="28"/>
  <c r="T44" i="28"/>
  <c r="S44" i="28"/>
  <c r="R44" i="28"/>
  <c r="Q44" i="28"/>
  <c r="P44" i="28"/>
  <c r="X44" i="28"/>
  <c r="AB6" i="28"/>
  <c r="O44" i="28"/>
  <c r="N44" i="28"/>
  <c r="R23" i="28"/>
  <c r="P23" i="28"/>
  <c r="P16" i="28"/>
  <c r="R15" i="28"/>
  <c r="L20" i="28"/>
  <c r="Q15" i="28"/>
  <c r="P15" i="28"/>
  <c r="J20" i="28"/>
  <c r="F15" i="28"/>
  <c r="E15" i="28"/>
  <c r="D15" i="28"/>
  <c r="AA14" i="28"/>
  <c r="Z14" i="28"/>
  <c r="X14" i="28"/>
  <c r="X16" i="28"/>
  <c r="W14" i="28"/>
  <c r="W17" i="28"/>
  <c r="V14" i="28"/>
  <c r="V22" i="28"/>
  <c r="U14" i="28"/>
  <c r="R14" i="28"/>
  <c r="R22" i="28"/>
  <c r="Q14" i="28"/>
  <c r="W16" i="28"/>
  <c r="P14" i="28"/>
  <c r="V16" i="28"/>
  <c r="I13" i="28"/>
  <c r="H13" i="28"/>
  <c r="C13" i="28"/>
  <c r="AA12" i="28"/>
  <c r="Z12" i="28"/>
  <c r="U12" i="28"/>
  <c r="T12" i="28"/>
  <c r="O12" i="28"/>
  <c r="N12" i="28"/>
  <c r="I12" i="28"/>
  <c r="H12" i="28"/>
  <c r="C12" i="28"/>
  <c r="O11" i="28"/>
  <c r="N11" i="28"/>
  <c r="I11" i="28"/>
  <c r="H11" i="28"/>
  <c r="C11" i="28"/>
  <c r="AA10" i="28"/>
  <c r="Z10" i="28"/>
  <c r="U10" i="28"/>
  <c r="T10" i="28"/>
  <c r="O10" i="28"/>
  <c r="N10" i="28"/>
  <c r="I10" i="28"/>
  <c r="H10" i="28"/>
  <c r="C10" i="28"/>
  <c r="O9" i="28"/>
  <c r="N9" i="28"/>
  <c r="I9" i="28"/>
  <c r="H9" i="28"/>
  <c r="C9" i="28"/>
  <c r="O8" i="28"/>
  <c r="N8" i="28"/>
  <c r="I8" i="28"/>
  <c r="H8" i="28"/>
  <c r="C8" i="28"/>
  <c r="U7" i="28"/>
  <c r="T7" i="28"/>
  <c r="O7" i="28"/>
  <c r="N7" i="28"/>
  <c r="I7" i="28"/>
  <c r="H7" i="28"/>
  <c r="C7" i="28"/>
  <c r="F14" i="28"/>
  <c r="O6" i="28"/>
  <c r="N6" i="28"/>
  <c r="I6" i="28"/>
  <c r="H6" i="28"/>
  <c r="C6" i="28"/>
  <c r="W83" i="27"/>
  <c r="V83" i="27"/>
  <c r="U83" i="27"/>
  <c r="T83" i="27"/>
  <c r="S83" i="27"/>
  <c r="R83" i="27"/>
  <c r="Q83" i="27"/>
  <c r="P83" i="27"/>
  <c r="O83" i="27"/>
  <c r="N83" i="27"/>
  <c r="W82" i="27"/>
  <c r="V82" i="27"/>
  <c r="U82" i="27"/>
  <c r="T82" i="27"/>
  <c r="S82" i="27"/>
  <c r="R82" i="27"/>
  <c r="Q82" i="27"/>
  <c r="P82" i="27"/>
  <c r="O82" i="27"/>
  <c r="N82" i="27"/>
  <c r="W81" i="27"/>
  <c r="V81" i="27"/>
  <c r="U81" i="27"/>
  <c r="T81" i="27"/>
  <c r="S81" i="27"/>
  <c r="R81" i="27"/>
  <c r="Q81" i="27"/>
  <c r="P81" i="27"/>
  <c r="O81" i="27"/>
  <c r="N81" i="27"/>
  <c r="W80" i="27"/>
  <c r="V80" i="27"/>
  <c r="U80" i="27"/>
  <c r="T80" i="27"/>
  <c r="S80" i="27"/>
  <c r="R80" i="27"/>
  <c r="Q80" i="27"/>
  <c r="P80" i="27"/>
  <c r="O80" i="27"/>
  <c r="N80" i="27"/>
  <c r="W79" i="27"/>
  <c r="V79" i="27"/>
  <c r="U79" i="27"/>
  <c r="T79" i="27"/>
  <c r="S79" i="27"/>
  <c r="R79" i="27"/>
  <c r="Q79" i="27"/>
  <c r="P79" i="27"/>
  <c r="O79" i="27"/>
  <c r="N79" i="27"/>
  <c r="W78" i="27"/>
  <c r="V78" i="27"/>
  <c r="U78" i="27"/>
  <c r="T78" i="27"/>
  <c r="S78" i="27"/>
  <c r="R78" i="27"/>
  <c r="Q78" i="27"/>
  <c r="P78" i="27"/>
  <c r="O78" i="27"/>
  <c r="N78" i="27"/>
  <c r="W77" i="27"/>
  <c r="V77" i="27"/>
  <c r="U77" i="27"/>
  <c r="T77" i="27"/>
  <c r="S77" i="27"/>
  <c r="R77" i="27"/>
  <c r="Q77" i="27"/>
  <c r="P77" i="27"/>
  <c r="O77" i="27"/>
  <c r="N77" i="27"/>
  <c r="W76" i="27"/>
  <c r="V76" i="27"/>
  <c r="U76" i="27"/>
  <c r="T76" i="27"/>
  <c r="S76" i="27"/>
  <c r="R76" i="27"/>
  <c r="Q76" i="27"/>
  <c r="P76" i="27"/>
  <c r="O76" i="27"/>
  <c r="N76" i="27"/>
  <c r="W75" i="27"/>
  <c r="V75" i="27"/>
  <c r="U75" i="27"/>
  <c r="T75" i="27"/>
  <c r="S75" i="27"/>
  <c r="R75" i="27"/>
  <c r="Q75" i="27"/>
  <c r="P75" i="27"/>
  <c r="O75" i="27"/>
  <c r="N75" i="27"/>
  <c r="W74" i="27"/>
  <c r="V74" i="27"/>
  <c r="U74" i="27"/>
  <c r="T74" i="27"/>
  <c r="S74" i="27"/>
  <c r="R74" i="27"/>
  <c r="Q74" i="27"/>
  <c r="P74" i="27"/>
  <c r="O74" i="27"/>
  <c r="N74" i="27"/>
  <c r="W73" i="27"/>
  <c r="V73" i="27"/>
  <c r="U73" i="27"/>
  <c r="T73" i="27"/>
  <c r="S73" i="27"/>
  <c r="R73" i="27"/>
  <c r="Q73" i="27"/>
  <c r="P73" i="27"/>
  <c r="O73" i="27"/>
  <c r="N73" i="27"/>
  <c r="X73" i="27"/>
  <c r="AH9" i="27"/>
  <c r="AR9" i="27"/>
  <c r="W72" i="27"/>
  <c r="V72" i="27"/>
  <c r="U72" i="27"/>
  <c r="T72" i="27"/>
  <c r="S72" i="27"/>
  <c r="R72" i="27"/>
  <c r="Q72" i="27"/>
  <c r="P72" i="27"/>
  <c r="O72" i="27"/>
  <c r="N72" i="27"/>
  <c r="W71" i="27"/>
  <c r="V71" i="27"/>
  <c r="U71" i="27"/>
  <c r="T71" i="27"/>
  <c r="S71" i="27"/>
  <c r="R71" i="27"/>
  <c r="Q71" i="27"/>
  <c r="P71" i="27"/>
  <c r="O71" i="27"/>
  <c r="N71" i="27"/>
  <c r="W70" i="27"/>
  <c r="V70" i="27"/>
  <c r="U70" i="27"/>
  <c r="T70" i="27"/>
  <c r="S70" i="27"/>
  <c r="R70" i="27"/>
  <c r="Q70" i="27"/>
  <c r="P70" i="27"/>
  <c r="O70" i="27"/>
  <c r="N70" i="27"/>
  <c r="W69" i="27"/>
  <c r="V69" i="27"/>
  <c r="U69" i="27"/>
  <c r="T69" i="27"/>
  <c r="S69" i="27"/>
  <c r="R69" i="27"/>
  <c r="Q69" i="27"/>
  <c r="P69" i="27"/>
  <c r="O69" i="27"/>
  <c r="N69" i="27"/>
  <c r="W68" i="27"/>
  <c r="V68" i="27"/>
  <c r="U68" i="27"/>
  <c r="T68" i="27"/>
  <c r="S68" i="27"/>
  <c r="R68" i="27"/>
  <c r="Q68" i="27"/>
  <c r="P68" i="27"/>
  <c r="O68" i="27"/>
  <c r="N68" i="27"/>
  <c r="X68" i="27"/>
  <c r="AI7" i="27"/>
  <c r="W67" i="27"/>
  <c r="V67" i="27"/>
  <c r="U67" i="27"/>
  <c r="T67" i="27"/>
  <c r="S67" i="27"/>
  <c r="R67" i="27"/>
  <c r="Q67" i="27"/>
  <c r="P67" i="27"/>
  <c r="O67" i="27"/>
  <c r="N67" i="27"/>
  <c r="W66" i="27"/>
  <c r="V66" i="27"/>
  <c r="U66" i="27"/>
  <c r="T66" i="27"/>
  <c r="S66" i="27"/>
  <c r="R66" i="27"/>
  <c r="Q66" i="27"/>
  <c r="P66" i="27"/>
  <c r="O66" i="27"/>
  <c r="N66" i="27"/>
  <c r="W63" i="27"/>
  <c r="V63" i="27"/>
  <c r="U63" i="27"/>
  <c r="T63" i="27"/>
  <c r="S63" i="27"/>
  <c r="R63" i="27"/>
  <c r="Q63" i="27"/>
  <c r="P63" i="27"/>
  <c r="O63" i="27"/>
  <c r="N63" i="27"/>
  <c r="W62" i="27"/>
  <c r="V62" i="27"/>
  <c r="U62" i="27"/>
  <c r="T62" i="27"/>
  <c r="S62" i="27"/>
  <c r="R62" i="27"/>
  <c r="Q62" i="27"/>
  <c r="P62" i="27"/>
  <c r="O62" i="27"/>
  <c r="N62" i="27"/>
  <c r="W61" i="27"/>
  <c r="V61" i="27"/>
  <c r="U61" i="27"/>
  <c r="T61" i="27"/>
  <c r="S61" i="27"/>
  <c r="R61" i="27"/>
  <c r="Q61" i="27"/>
  <c r="P61" i="27"/>
  <c r="O61" i="27"/>
  <c r="N61" i="27"/>
  <c r="W60" i="27"/>
  <c r="V60" i="27"/>
  <c r="U60" i="27"/>
  <c r="T60" i="27"/>
  <c r="S60" i="27"/>
  <c r="R60" i="27"/>
  <c r="Q60" i="27"/>
  <c r="P60" i="27"/>
  <c r="O60" i="27"/>
  <c r="N60" i="27"/>
  <c r="W59" i="27"/>
  <c r="V59" i="27"/>
  <c r="U59" i="27"/>
  <c r="T59" i="27"/>
  <c r="S59" i="27"/>
  <c r="R59" i="27"/>
  <c r="Q59" i="27"/>
  <c r="P59" i="27"/>
  <c r="O59" i="27"/>
  <c r="N59" i="27"/>
  <c r="W58" i="27"/>
  <c r="V58" i="27"/>
  <c r="U58" i="27"/>
  <c r="T58" i="27"/>
  <c r="S58" i="27"/>
  <c r="R58" i="27"/>
  <c r="Q58" i="27"/>
  <c r="P58" i="27"/>
  <c r="O58" i="27"/>
  <c r="N58" i="27"/>
  <c r="X58" i="27"/>
  <c r="AB11" i="27"/>
  <c r="AU57" i="27"/>
  <c r="AT57" i="27"/>
  <c r="AS57" i="27"/>
  <c r="AR57" i="27"/>
  <c r="AQ57" i="27"/>
  <c r="AP57" i="27"/>
  <c r="AO57" i="27"/>
  <c r="AN57" i="27"/>
  <c r="AM57" i="27"/>
  <c r="AL57" i="27"/>
  <c r="W57" i="27"/>
  <c r="V57" i="27"/>
  <c r="U57" i="27"/>
  <c r="T57" i="27"/>
  <c r="S57" i="27"/>
  <c r="R57" i="27"/>
  <c r="Q57" i="27"/>
  <c r="P57" i="27"/>
  <c r="O57" i="27"/>
  <c r="N57" i="27"/>
  <c r="W56" i="27"/>
  <c r="V56" i="27"/>
  <c r="U56" i="27"/>
  <c r="T56" i="27"/>
  <c r="S56" i="27"/>
  <c r="R56" i="27"/>
  <c r="Q56" i="27"/>
  <c r="P56" i="27"/>
  <c r="O56" i="27"/>
  <c r="N56" i="27"/>
  <c r="W55" i="27"/>
  <c r="V55" i="27"/>
  <c r="U55" i="27"/>
  <c r="T55" i="27"/>
  <c r="S55" i="27"/>
  <c r="R55" i="27"/>
  <c r="Q55" i="27"/>
  <c r="P55" i="27"/>
  <c r="O55" i="27"/>
  <c r="N55" i="27"/>
  <c r="AU54" i="27"/>
  <c r="AT54" i="27"/>
  <c r="AS54" i="27"/>
  <c r="AR54" i="27"/>
  <c r="AQ54" i="27"/>
  <c r="AP54" i="27"/>
  <c r="AO54" i="27"/>
  <c r="AN54" i="27"/>
  <c r="AM54" i="27"/>
  <c r="AL54" i="27"/>
  <c r="W54" i="27"/>
  <c r="V54" i="27"/>
  <c r="U54" i="27"/>
  <c r="T54" i="27"/>
  <c r="S54" i="27"/>
  <c r="R54" i="27"/>
  <c r="Q54" i="27"/>
  <c r="P54" i="27"/>
  <c r="O54" i="27"/>
  <c r="N54" i="27"/>
  <c r="AU53" i="27"/>
  <c r="AT53" i="27"/>
  <c r="AS53" i="27"/>
  <c r="AR53" i="27"/>
  <c r="AQ53" i="27"/>
  <c r="AP53" i="27"/>
  <c r="AO53" i="27"/>
  <c r="AN53" i="27"/>
  <c r="AM53" i="27"/>
  <c r="AL53" i="27"/>
  <c r="W53" i="27"/>
  <c r="V53" i="27"/>
  <c r="U53" i="27"/>
  <c r="T53" i="27"/>
  <c r="S53" i="27"/>
  <c r="R53" i="27"/>
  <c r="Q53" i="27"/>
  <c r="P53" i="27"/>
  <c r="O53" i="27"/>
  <c r="N53" i="27"/>
  <c r="X53" i="27"/>
  <c r="AC9" i="27"/>
  <c r="AU52" i="27"/>
  <c r="AT52" i="27"/>
  <c r="AS52" i="27"/>
  <c r="AR52" i="27"/>
  <c r="AQ52" i="27"/>
  <c r="AP52" i="27"/>
  <c r="AO52" i="27"/>
  <c r="AN52" i="27"/>
  <c r="AM52" i="27"/>
  <c r="AL52" i="27"/>
  <c r="W52" i="27"/>
  <c r="V52" i="27"/>
  <c r="U52" i="27"/>
  <c r="T52" i="27"/>
  <c r="S52" i="27"/>
  <c r="R52" i="27"/>
  <c r="Q52" i="27"/>
  <c r="P52" i="27"/>
  <c r="O52" i="27"/>
  <c r="N52" i="27"/>
  <c r="AU51" i="27"/>
  <c r="AT51" i="27"/>
  <c r="AS51" i="27"/>
  <c r="AR51" i="27"/>
  <c r="AQ51" i="27"/>
  <c r="AP51" i="27"/>
  <c r="AO51" i="27"/>
  <c r="AN51" i="27"/>
  <c r="AM51" i="27"/>
  <c r="AL51" i="27"/>
  <c r="W51" i="27"/>
  <c r="V51" i="27"/>
  <c r="U51" i="27"/>
  <c r="T51" i="27"/>
  <c r="S51" i="27"/>
  <c r="R51" i="27"/>
  <c r="Q51" i="27"/>
  <c r="P51" i="27"/>
  <c r="O51" i="27"/>
  <c r="N51" i="27"/>
  <c r="AU50" i="27"/>
  <c r="AT50" i="27"/>
  <c r="AS50" i="27"/>
  <c r="AR50" i="27"/>
  <c r="AQ50" i="27"/>
  <c r="AP50" i="27"/>
  <c r="AO50" i="27"/>
  <c r="AN50" i="27"/>
  <c r="AM50" i="27"/>
  <c r="AL50" i="27"/>
  <c r="W50" i="27"/>
  <c r="V50" i="27"/>
  <c r="U50" i="27"/>
  <c r="T50" i="27"/>
  <c r="S50" i="27"/>
  <c r="R50" i="27"/>
  <c r="Q50" i="27"/>
  <c r="P50" i="27"/>
  <c r="O50" i="27"/>
  <c r="N50" i="27"/>
  <c r="AU49" i="27"/>
  <c r="AT49" i="27"/>
  <c r="AS49" i="27"/>
  <c r="AR49" i="27"/>
  <c r="AQ49" i="27"/>
  <c r="AP49" i="27"/>
  <c r="AO49" i="27"/>
  <c r="AN49" i="27"/>
  <c r="AM49" i="27"/>
  <c r="AL49" i="27"/>
  <c r="W49" i="27"/>
  <c r="V49" i="27"/>
  <c r="U49" i="27"/>
  <c r="T49" i="27"/>
  <c r="S49" i="27"/>
  <c r="R49" i="27"/>
  <c r="Q49" i="27"/>
  <c r="P49" i="27"/>
  <c r="O49" i="27"/>
  <c r="N49" i="27"/>
  <c r="X49" i="27"/>
  <c r="AB8" i="27"/>
  <c r="AU48" i="27"/>
  <c r="AT48" i="27"/>
  <c r="AS48" i="27"/>
  <c r="AR48" i="27"/>
  <c r="AQ48" i="27"/>
  <c r="AP48" i="27"/>
  <c r="AO48" i="27"/>
  <c r="AN48" i="27"/>
  <c r="AM48" i="27"/>
  <c r="AL48" i="27"/>
  <c r="W48" i="27"/>
  <c r="V48" i="27"/>
  <c r="U48" i="27"/>
  <c r="T48" i="27"/>
  <c r="S48" i="27"/>
  <c r="R48" i="27"/>
  <c r="Q48" i="27"/>
  <c r="P48" i="27"/>
  <c r="O48" i="27"/>
  <c r="N48" i="27"/>
  <c r="AU47" i="27"/>
  <c r="AT47" i="27"/>
  <c r="AS47" i="27"/>
  <c r="AR47" i="27"/>
  <c r="AQ47" i="27"/>
  <c r="AP47" i="27"/>
  <c r="AO47" i="27"/>
  <c r="AN47" i="27"/>
  <c r="AM47" i="27"/>
  <c r="AL47" i="27"/>
  <c r="W47" i="27"/>
  <c r="V47" i="27"/>
  <c r="U47" i="27"/>
  <c r="T47" i="27"/>
  <c r="S47" i="27"/>
  <c r="R47" i="27"/>
  <c r="Q47" i="27"/>
  <c r="P47" i="27"/>
  <c r="O47" i="27"/>
  <c r="N47" i="27"/>
  <c r="AU46" i="27"/>
  <c r="AT46" i="27"/>
  <c r="AS46" i="27"/>
  <c r="AR46" i="27"/>
  <c r="AQ46" i="27"/>
  <c r="AP46" i="27"/>
  <c r="AO46" i="27"/>
  <c r="AN46" i="27"/>
  <c r="AM46" i="27"/>
  <c r="AL46" i="27"/>
  <c r="W46" i="27"/>
  <c r="V46" i="27"/>
  <c r="U46" i="27"/>
  <c r="T46" i="27"/>
  <c r="S46" i="27"/>
  <c r="R46" i="27"/>
  <c r="Q46" i="27"/>
  <c r="P46" i="27"/>
  <c r="O46" i="27"/>
  <c r="N46" i="27"/>
  <c r="Q24" i="27"/>
  <c r="Q18" i="27"/>
  <c r="R17" i="27"/>
  <c r="U17" i="27"/>
  <c r="Q17" i="27"/>
  <c r="K22" i="27"/>
  <c r="P17" i="27"/>
  <c r="J22" i="27"/>
  <c r="F17" i="27"/>
  <c r="E17" i="27"/>
  <c r="D17" i="27"/>
  <c r="X16" i="27"/>
  <c r="X24" i="27"/>
  <c r="W16" i="27"/>
  <c r="W24" i="27"/>
  <c r="V16" i="27"/>
  <c r="R16" i="27"/>
  <c r="X18" i="27"/>
  <c r="Q16" i="27"/>
  <c r="P16" i="27"/>
  <c r="P24" i="27"/>
  <c r="I15" i="27"/>
  <c r="H15" i="27"/>
  <c r="C15" i="27"/>
  <c r="AA14" i="27"/>
  <c r="Z14" i="27"/>
  <c r="U14" i="27"/>
  <c r="T14" i="27"/>
  <c r="O14" i="27"/>
  <c r="N14" i="27"/>
  <c r="I14" i="27"/>
  <c r="H14" i="27"/>
  <c r="C14" i="27"/>
  <c r="O13" i="27"/>
  <c r="N13" i="27"/>
  <c r="I13" i="27"/>
  <c r="H13" i="27"/>
  <c r="C13" i="27"/>
  <c r="AA12" i="27"/>
  <c r="Z12" i="27"/>
  <c r="U12" i="27"/>
  <c r="T12" i="27"/>
  <c r="O12" i="27"/>
  <c r="N12" i="27"/>
  <c r="I12" i="27"/>
  <c r="H12" i="27"/>
  <c r="C12" i="27"/>
  <c r="O11" i="27"/>
  <c r="N11" i="27"/>
  <c r="I11" i="27"/>
  <c r="H11" i="27"/>
  <c r="C11" i="27"/>
  <c r="O10" i="27"/>
  <c r="N10" i="27"/>
  <c r="I10" i="27"/>
  <c r="H10" i="27"/>
  <c r="C10" i="27"/>
  <c r="O9" i="27"/>
  <c r="N9" i="27"/>
  <c r="I9" i="27"/>
  <c r="H9" i="27"/>
  <c r="C9" i="27"/>
  <c r="U8" i="27"/>
  <c r="T8" i="27"/>
  <c r="O8" i="27"/>
  <c r="N8" i="27"/>
  <c r="I8" i="27"/>
  <c r="H8" i="27"/>
  <c r="C8" i="27"/>
  <c r="F16" i="27"/>
  <c r="X20" i="27"/>
  <c r="O7" i="27"/>
  <c r="N7" i="27"/>
  <c r="I7" i="27"/>
  <c r="H7" i="27"/>
  <c r="C7" i="27"/>
  <c r="R23" i="26"/>
  <c r="W22" i="26"/>
  <c r="R15" i="26"/>
  <c r="L20" i="26"/>
  <c r="Q15" i="26"/>
  <c r="K20" i="26"/>
  <c r="P15" i="26"/>
  <c r="F15" i="26"/>
  <c r="E15" i="26"/>
  <c r="D15" i="26"/>
  <c r="X14" i="26"/>
  <c r="X22" i="26"/>
  <c r="W14" i="26"/>
  <c r="W17" i="26"/>
  <c r="V14" i="26"/>
  <c r="R14" i="26"/>
  <c r="R22" i="26"/>
  <c r="Q14" i="26"/>
  <c r="Q22" i="26"/>
  <c r="P14" i="26"/>
  <c r="P22" i="26"/>
  <c r="O13" i="26"/>
  <c r="N13" i="26"/>
  <c r="I13" i="26"/>
  <c r="H13" i="26"/>
  <c r="C13" i="26"/>
  <c r="O12" i="26"/>
  <c r="N12" i="26"/>
  <c r="I12" i="26"/>
  <c r="H12" i="26"/>
  <c r="C12" i="26"/>
  <c r="AA11" i="26"/>
  <c r="Z11" i="26"/>
  <c r="U11" i="26"/>
  <c r="T11" i="26"/>
  <c r="O11" i="26"/>
  <c r="N11" i="26"/>
  <c r="I11" i="26"/>
  <c r="H11" i="26"/>
  <c r="C11" i="26"/>
  <c r="O10" i="26"/>
  <c r="N10" i="26"/>
  <c r="I10" i="26"/>
  <c r="H10" i="26"/>
  <c r="C10" i="26"/>
  <c r="O9" i="26"/>
  <c r="N9" i="26"/>
  <c r="I9" i="26"/>
  <c r="H9" i="26"/>
  <c r="C9" i="26"/>
  <c r="O8" i="26"/>
  <c r="N8" i="26"/>
  <c r="I8" i="26"/>
  <c r="H8" i="26"/>
  <c r="C8" i="26"/>
  <c r="AA7" i="26"/>
  <c r="Z7" i="26"/>
  <c r="U7" i="26"/>
  <c r="T7" i="26"/>
  <c r="O7" i="26"/>
  <c r="N7" i="26"/>
  <c r="I7" i="26"/>
  <c r="H7" i="26"/>
  <c r="C7" i="26"/>
  <c r="O6" i="26"/>
  <c r="N6" i="26"/>
  <c r="I6" i="26"/>
  <c r="H6" i="26"/>
  <c r="C6" i="26"/>
  <c r="W23" i="25"/>
  <c r="W27" i="25"/>
  <c r="V23" i="25"/>
  <c r="V27" i="25"/>
  <c r="W18" i="25"/>
  <c r="R16" i="25"/>
  <c r="L21" i="25"/>
  <c r="Q16" i="25"/>
  <c r="P16" i="25"/>
  <c r="P17" i="25"/>
  <c r="F16" i="25"/>
  <c r="E16" i="25"/>
  <c r="H16" i="25"/>
  <c r="D16" i="25"/>
  <c r="X15" i="25"/>
  <c r="W15" i="25"/>
  <c r="W17" i="25"/>
  <c r="V15" i="25"/>
  <c r="V17" i="25"/>
  <c r="T15" i="25"/>
  <c r="R15" i="25"/>
  <c r="R23" i="25"/>
  <c r="Q15" i="25"/>
  <c r="Q23" i="25"/>
  <c r="Q27" i="25"/>
  <c r="P15" i="25"/>
  <c r="P23" i="25"/>
  <c r="AC14" i="25"/>
  <c r="O14" i="25"/>
  <c r="N14" i="25"/>
  <c r="I14" i="25"/>
  <c r="H14" i="25"/>
  <c r="AB14" i="25"/>
  <c r="C14" i="25"/>
  <c r="AA13" i="25"/>
  <c r="Z13" i="25"/>
  <c r="U13" i="25"/>
  <c r="T13" i="25"/>
  <c r="O13" i="25"/>
  <c r="N13" i="25"/>
  <c r="I13" i="25"/>
  <c r="AC13" i="25"/>
  <c r="H13" i="25"/>
  <c r="AB13" i="25"/>
  <c r="C13" i="25"/>
  <c r="AA12" i="25"/>
  <c r="Z12" i="25"/>
  <c r="U12" i="25"/>
  <c r="T12" i="25"/>
  <c r="O12" i="25"/>
  <c r="N12" i="25"/>
  <c r="I12" i="25"/>
  <c r="AC12" i="25"/>
  <c r="H12" i="25"/>
  <c r="AB12" i="25"/>
  <c r="C12" i="25"/>
  <c r="AA11" i="25"/>
  <c r="Z11" i="25"/>
  <c r="U11" i="25"/>
  <c r="T11" i="25"/>
  <c r="O11" i="25"/>
  <c r="N11" i="25"/>
  <c r="I11" i="25"/>
  <c r="AC11" i="25"/>
  <c r="H11" i="25"/>
  <c r="AB11" i="25"/>
  <c r="C11" i="25"/>
  <c r="O10" i="25"/>
  <c r="N10" i="25"/>
  <c r="I10" i="25"/>
  <c r="AC10" i="25"/>
  <c r="H10" i="25"/>
  <c r="AB10" i="25"/>
  <c r="C10" i="25"/>
  <c r="O9" i="25"/>
  <c r="N9" i="25"/>
  <c r="I9" i="25"/>
  <c r="AC9" i="25"/>
  <c r="H9" i="25"/>
  <c r="AB9" i="25"/>
  <c r="C9" i="25"/>
  <c r="AC8" i="25"/>
  <c r="O8" i="25"/>
  <c r="N8" i="25"/>
  <c r="I8" i="25"/>
  <c r="H8" i="25"/>
  <c r="AB8" i="25"/>
  <c r="C8" i="25"/>
  <c r="AA7" i="25"/>
  <c r="Z7" i="25"/>
  <c r="U7" i="25"/>
  <c r="T7" i="25"/>
  <c r="O7" i="25"/>
  <c r="N7" i="25"/>
  <c r="I7" i="25"/>
  <c r="AC7" i="25"/>
  <c r="H7" i="25"/>
  <c r="AB7" i="25"/>
  <c r="C7" i="25"/>
  <c r="U6" i="25"/>
  <c r="T6" i="25"/>
  <c r="O6" i="25"/>
  <c r="N6" i="25"/>
  <c r="I6" i="25"/>
  <c r="AC6" i="25"/>
  <c r="H6" i="25"/>
  <c r="AB6" i="25"/>
  <c r="C6" i="25"/>
  <c r="Q23" i="24"/>
  <c r="P23" i="24"/>
  <c r="W22" i="24"/>
  <c r="P22" i="24"/>
  <c r="U15" i="24"/>
  <c r="R15" i="24"/>
  <c r="L20" i="24"/>
  <c r="Q15" i="24"/>
  <c r="K20" i="24"/>
  <c r="P15" i="24"/>
  <c r="J20" i="24"/>
  <c r="F15" i="24"/>
  <c r="E15" i="24"/>
  <c r="D15" i="24"/>
  <c r="AA14" i="24"/>
  <c r="X14" i="24"/>
  <c r="X22" i="24"/>
  <c r="W14" i="24"/>
  <c r="W16" i="24"/>
  <c r="V14" i="24"/>
  <c r="V17" i="24"/>
  <c r="R14" i="24"/>
  <c r="R22" i="24"/>
  <c r="Q14" i="24"/>
  <c r="Q22" i="24"/>
  <c r="P14" i="24"/>
  <c r="O13" i="24"/>
  <c r="N13" i="24"/>
  <c r="I13" i="24"/>
  <c r="H13" i="24"/>
  <c r="C13" i="24"/>
  <c r="AA12" i="24"/>
  <c r="Z12" i="24"/>
  <c r="U12" i="24"/>
  <c r="T12" i="24"/>
  <c r="O12" i="24"/>
  <c r="N12" i="24"/>
  <c r="I12" i="24"/>
  <c r="H12" i="24"/>
  <c r="C12" i="24"/>
  <c r="AA11" i="24"/>
  <c r="Z11" i="24"/>
  <c r="U11" i="24"/>
  <c r="T11" i="24"/>
  <c r="O11" i="24"/>
  <c r="N11" i="24"/>
  <c r="I11" i="24"/>
  <c r="H11" i="24"/>
  <c r="C11" i="24"/>
  <c r="AA10" i="24"/>
  <c r="Z10" i="24"/>
  <c r="U10" i="24"/>
  <c r="T10" i="24"/>
  <c r="O10" i="24"/>
  <c r="N10" i="24"/>
  <c r="I10" i="24"/>
  <c r="H10" i="24"/>
  <c r="C10" i="24"/>
  <c r="E14" i="24"/>
  <c r="O9" i="24"/>
  <c r="N9" i="24"/>
  <c r="I9" i="24"/>
  <c r="H9" i="24"/>
  <c r="C9" i="24"/>
  <c r="O8" i="24"/>
  <c r="N8" i="24"/>
  <c r="I8" i="24"/>
  <c r="H8" i="24"/>
  <c r="C8" i="24"/>
  <c r="AA7" i="24"/>
  <c r="Z7" i="24"/>
  <c r="U7" i="24"/>
  <c r="T7" i="24"/>
  <c r="O7" i="24"/>
  <c r="N7" i="24"/>
  <c r="I7" i="24"/>
  <c r="H7" i="24"/>
  <c r="C7" i="24"/>
  <c r="U6" i="24"/>
  <c r="T6" i="24"/>
  <c r="O6" i="24"/>
  <c r="N6" i="24"/>
  <c r="I6" i="24"/>
  <c r="H6" i="24"/>
  <c r="C6" i="24"/>
  <c r="Q23" i="23"/>
  <c r="P22" i="23"/>
  <c r="P16" i="23"/>
  <c r="R15" i="23"/>
  <c r="L20" i="23"/>
  <c r="Q15" i="23"/>
  <c r="K20" i="23"/>
  <c r="P15" i="23"/>
  <c r="J20" i="23"/>
  <c r="F15" i="23"/>
  <c r="E15" i="23"/>
  <c r="D15" i="23"/>
  <c r="X14" i="23"/>
  <c r="Z14" i="23"/>
  <c r="W14" i="23"/>
  <c r="W22" i="23"/>
  <c r="V14" i="23"/>
  <c r="V17" i="23"/>
  <c r="T14" i="23"/>
  <c r="R14" i="23"/>
  <c r="R22" i="23"/>
  <c r="Q14" i="23"/>
  <c r="Q22" i="23"/>
  <c r="P14" i="23"/>
  <c r="V16" i="23"/>
  <c r="O13" i="23"/>
  <c r="N13" i="23"/>
  <c r="I13" i="23"/>
  <c r="H13" i="23"/>
  <c r="C13" i="23"/>
  <c r="AA12" i="23"/>
  <c r="Z12" i="23"/>
  <c r="U12" i="23"/>
  <c r="T12" i="23"/>
  <c r="O12" i="23"/>
  <c r="N12" i="23"/>
  <c r="I12" i="23"/>
  <c r="H12" i="23"/>
  <c r="C12" i="23"/>
  <c r="AA11" i="23"/>
  <c r="Z11" i="23"/>
  <c r="U11" i="23"/>
  <c r="T11" i="23"/>
  <c r="O11" i="23"/>
  <c r="N11" i="23"/>
  <c r="I11" i="23"/>
  <c r="H11" i="23"/>
  <c r="C11" i="23"/>
  <c r="AA10" i="23"/>
  <c r="Z10" i="23"/>
  <c r="U10" i="23"/>
  <c r="T10" i="23"/>
  <c r="O10" i="23"/>
  <c r="N10" i="23"/>
  <c r="I10" i="23"/>
  <c r="H10" i="23"/>
  <c r="C10" i="23"/>
  <c r="E14" i="23"/>
  <c r="O9" i="23"/>
  <c r="N9" i="23"/>
  <c r="I9" i="23"/>
  <c r="H9" i="23"/>
  <c r="C9" i="23"/>
  <c r="O8" i="23"/>
  <c r="N8" i="23"/>
  <c r="I8" i="23"/>
  <c r="H8" i="23"/>
  <c r="C8" i="23"/>
  <c r="AA7" i="23"/>
  <c r="Z7" i="23"/>
  <c r="U7" i="23"/>
  <c r="T7" i="23"/>
  <c r="O7" i="23"/>
  <c r="N7" i="23"/>
  <c r="I7" i="23"/>
  <c r="H7" i="23"/>
  <c r="C7" i="23"/>
  <c r="U6" i="23"/>
  <c r="T6" i="23"/>
  <c r="O6" i="23"/>
  <c r="N6" i="23"/>
  <c r="I6" i="23"/>
  <c r="H6" i="23"/>
  <c r="C6" i="23"/>
  <c r="AV119" i="22"/>
  <c r="AU119" i="22"/>
  <c r="AT119" i="22"/>
  <c r="AS119" i="22"/>
  <c r="AR119" i="22"/>
  <c r="AQ119" i="22"/>
  <c r="AP119" i="22"/>
  <c r="AO119" i="22"/>
  <c r="AN119" i="22"/>
  <c r="AM119" i="22"/>
  <c r="AW119" i="22"/>
  <c r="AV118" i="22"/>
  <c r="AU118" i="22"/>
  <c r="AT118" i="22"/>
  <c r="AS118" i="22"/>
  <c r="AR118" i="22"/>
  <c r="AQ118" i="22"/>
  <c r="AP118" i="22"/>
  <c r="AO118" i="22"/>
  <c r="AW118" i="22"/>
  <c r="AN118" i="22"/>
  <c r="AM118" i="22"/>
  <c r="X118" i="22"/>
  <c r="W118" i="22"/>
  <c r="V118" i="22"/>
  <c r="U118" i="22"/>
  <c r="T118" i="22"/>
  <c r="S118" i="22"/>
  <c r="R118" i="22"/>
  <c r="Q118" i="22"/>
  <c r="P118" i="22"/>
  <c r="O118" i="22"/>
  <c r="N118" i="22"/>
  <c r="AV117" i="22"/>
  <c r="AU117" i="22"/>
  <c r="AT117" i="22"/>
  <c r="AS117" i="22"/>
  <c r="AR117" i="22"/>
  <c r="AQ117" i="22"/>
  <c r="AP117" i="22"/>
  <c r="AO117" i="22"/>
  <c r="AN117" i="22"/>
  <c r="AM117" i="22"/>
  <c r="AV116" i="22"/>
  <c r="AU116" i="22"/>
  <c r="AT116" i="22"/>
  <c r="AS116" i="22"/>
  <c r="AR116" i="22"/>
  <c r="AQ116" i="22"/>
  <c r="AP116" i="22"/>
  <c r="AO116" i="22"/>
  <c r="AN116" i="22"/>
  <c r="AM116" i="22"/>
  <c r="X116" i="22"/>
  <c r="W116" i="22"/>
  <c r="V116" i="22"/>
  <c r="U116" i="22"/>
  <c r="T116" i="22"/>
  <c r="S116" i="22"/>
  <c r="R116" i="22"/>
  <c r="Q116" i="22"/>
  <c r="P116" i="22"/>
  <c r="O116" i="22"/>
  <c r="N116" i="22"/>
  <c r="AV115" i="22"/>
  <c r="AU115" i="22"/>
  <c r="AT115" i="22"/>
  <c r="AS115" i="22"/>
  <c r="AR115" i="22"/>
  <c r="AQ115" i="22"/>
  <c r="AP115" i="22"/>
  <c r="AO115" i="22"/>
  <c r="AN115" i="22"/>
  <c r="AM115" i="22"/>
  <c r="AV114" i="22"/>
  <c r="AU114" i="22"/>
  <c r="AT114" i="22"/>
  <c r="AS114" i="22"/>
  <c r="AR114" i="22"/>
  <c r="AQ114" i="22"/>
  <c r="AP114" i="22"/>
  <c r="AO114" i="22"/>
  <c r="AN114" i="22"/>
  <c r="AM114" i="22"/>
  <c r="X114" i="22"/>
  <c r="W114" i="22"/>
  <c r="V114" i="22"/>
  <c r="U114" i="22"/>
  <c r="T114" i="22"/>
  <c r="S114" i="22"/>
  <c r="R114" i="22"/>
  <c r="Q114" i="22"/>
  <c r="Y114" i="22"/>
  <c r="P114" i="22"/>
  <c r="O114" i="22"/>
  <c r="N114" i="22"/>
  <c r="AV113" i="22"/>
  <c r="AU113" i="22"/>
  <c r="AT113" i="22"/>
  <c r="AS113" i="22"/>
  <c r="AR113" i="22"/>
  <c r="AQ113" i="22"/>
  <c r="AP113" i="22"/>
  <c r="AO113" i="22"/>
  <c r="AN113" i="22"/>
  <c r="AM113" i="22"/>
  <c r="X113" i="22"/>
  <c r="W113" i="22"/>
  <c r="V113" i="22"/>
  <c r="U113" i="22"/>
  <c r="T113" i="22"/>
  <c r="S113" i="22"/>
  <c r="R113" i="22"/>
  <c r="Q113" i="22"/>
  <c r="P113" i="22"/>
  <c r="O113" i="22"/>
  <c r="N113" i="22"/>
  <c r="AV112" i="22"/>
  <c r="AU112" i="22"/>
  <c r="AT112" i="22"/>
  <c r="AS112" i="22"/>
  <c r="AR112" i="22"/>
  <c r="AQ112" i="22"/>
  <c r="AP112" i="22"/>
  <c r="AO112" i="22"/>
  <c r="AN112" i="22"/>
  <c r="AM112" i="22"/>
  <c r="X112" i="22"/>
  <c r="W112" i="22"/>
  <c r="V112" i="22"/>
  <c r="U112" i="22"/>
  <c r="T112" i="22"/>
  <c r="S112" i="22"/>
  <c r="R112" i="22"/>
  <c r="Q112" i="22"/>
  <c r="P112" i="22"/>
  <c r="O112" i="22"/>
  <c r="N112" i="22"/>
  <c r="AV111" i="22"/>
  <c r="AU111" i="22"/>
  <c r="AT111" i="22"/>
  <c r="AS111" i="22"/>
  <c r="AR111" i="22"/>
  <c r="AQ111" i="22"/>
  <c r="AP111" i="22"/>
  <c r="AO111" i="22"/>
  <c r="AN111" i="22"/>
  <c r="AM111" i="22"/>
  <c r="X111" i="22"/>
  <c r="W111" i="22"/>
  <c r="V111" i="22"/>
  <c r="U111" i="22"/>
  <c r="T111" i="22"/>
  <c r="S111" i="22"/>
  <c r="R111" i="22"/>
  <c r="Q111" i="22"/>
  <c r="P111" i="22"/>
  <c r="O111" i="22"/>
  <c r="N111" i="22"/>
  <c r="AV110" i="22"/>
  <c r="AU110" i="22"/>
  <c r="AT110" i="22"/>
  <c r="AS110" i="22"/>
  <c r="AR110" i="22"/>
  <c r="AQ110" i="22"/>
  <c r="AP110" i="22"/>
  <c r="AO110" i="22"/>
  <c r="AN110" i="22"/>
  <c r="AM110" i="22"/>
  <c r="AV109" i="22"/>
  <c r="AU109" i="22"/>
  <c r="AT109" i="22"/>
  <c r="AS109" i="22"/>
  <c r="AR109" i="22"/>
  <c r="AQ109" i="22"/>
  <c r="AP109" i="22"/>
  <c r="AO109" i="22"/>
  <c r="AN109" i="22"/>
  <c r="AM109" i="22"/>
  <c r="X109" i="22"/>
  <c r="W109" i="22"/>
  <c r="V109" i="22"/>
  <c r="U109" i="22"/>
  <c r="T109" i="22"/>
  <c r="S109" i="22"/>
  <c r="R109" i="22"/>
  <c r="Q109" i="22"/>
  <c r="P109" i="22"/>
  <c r="O109" i="22"/>
  <c r="N109" i="22"/>
  <c r="AV108" i="22"/>
  <c r="AU108" i="22"/>
  <c r="AT108" i="22"/>
  <c r="AS108" i="22"/>
  <c r="AR108" i="22"/>
  <c r="AQ108" i="22"/>
  <c r="AP108" i="22"/>
  <c r="AO108" i="22"/>
  <c r="AN108" i="22"/>
  <c r="AM108" i="22"/>
  <c r="AV107" i="22"/>
  <c r="AU107" i="22"/>
  <c r="AT107" i="22"/>
  <c r="AS107" i="22"/>
  <c r="AR107" i="22"/>
  <c r="AQ107" i="22"/>
  <c r="AP107" i="22"/>
  <c r="AO107" i="22"/>
  <c r="AN107" i="22"/>
  <c r="AM107" i="22"/>
  <c r="X107" i="22"/>
  <c r="W107" i="22"/>
  <c r="V107" i="22"/>
  <c r="U107" i="22"/>
  <c r="T107" i="22"/>
  <c r="S107" i="22"/>
  <c r="R107" i="22"/>
  <c r="Q107" i="22"/>
  <c r="P107" i="22"/>
  <c r="O107" i="22"/>
  <c r="N107" i="22"/>
  <c r="AV106" i="22"/>
  <c r="AU106" i="22"/>
  <c r="AT106" i="22"/>
  <c r="AS106" i="22"/>
  <c r="AR106" i="22"/>
  <c r="AQ106" i="22"/>
  <c r="AP106" i="22"/>
  <c r="AO106" i="22"/>
  <c r="AN106" i="22"/>
  <c r="AM106" i="22"/>
  <c r="X106" i="22"/>
  <c r="W106" i="22"/>
  <c r="V106" i="22"/>
  <c r="U106" i="22"/>
  <c r="T106" i="22"/>
  <c r="S106" i="22"/>
  <c r="R106" i="22"/>
  <c r="Q106" i="22"/>
  <c r="P106" i="22"/>
  <c r="O106" i="22"/>
  <c r="N106" i="22"/>
  <c r="AV105" i="22"/>
  <c r="AU105" i="22"/>
  <c r="AT105" i="22"/>
  <c r="AS105" i="22"/>
  <c r="AR105" i="22"/>
  <c r="AQ105" i="22"/>
  <c r="AP105" i="22"/>
  <c r="AO105" i="22"/>
  <c r="AN105" i="22"/>
  <c r="AM105" i="22"/>
  <c r="AL105" i="22"/>
  <c r="X105" i="22"/>
  <c r="W105" i="22"/>
  <c r="V105" i="22"/>
  <c r="U105" i="22"/>
  <c r="T105" i="22"/>
  <c r="S105" i="22"/>
  <c r="R105" i="22"/>
  <c r="Q105" i="22"/>
  <c r="P105" i="22"/>
  <c r="O105" i="22"/>
  <c r="N105" i="22"/>
  <c r="AV104" i="22"/>
  <c r="AU104" i="22"/>
  <c r="AT104" i="22"/>
  <c r="AS104" i="22"/>
  <c r="AR104" i="22"/>
  <c r="AQ104" i="22"/>
  <c r="AP104" i="22"/>
  <c r="AO104" i="22"/>
  <c r="AN104" i="22"/>
  <c r="AM104" i="22"/>
  <c r="AL104" i="22"/>
  <c r="X104" i="22"/>
  <c r="W104" i="22"/>
  <c r="V104" i="22"/>
  <c r="U104" i="22"/>
  <c r="T104" i="22"/>
  <c r="S104" i="22"/>
  <c r="R104" i="22"/>
  <c r="Q104" i="22"/>
  <c r="P104" i="22"/>
  <c r="O104" i="22"/>
  <c r="N104" i="22"/>
  <c r="AV103" i="22"/>
  <c r="AU103" i="22"/>
  <c r="AT103" i="22"/>
  <c r="AS103" i="22"/>
  <c r="AR103" i="22"/>
  <c r="AQ103" i="22"/>
  <c r="AP103" i="22"/>
  <c r="AO103" i="22"/>
  <c r="AN103" i="22"/>
  <c r="AM103" i="22"/>
  <c r="AL103" i="22"/>
  <c r="X103" i="22"/>
  <c r="W103" i="22"/>
  <c r="V103" i="22"/>
  <c r="U103" i="22"/>
  <c r="T103" i="22"/>
  <c r="S103" i="22"/>
  <c r="R103" i="22"/>
  <c r="Q103" i="22"/>
  <c r="P103" i="22"/>
  <c r="O103" i="22"/>
  <c r="N103" i="22"/>
  <c r="X102" i="22"/>
  <c r="W102" i="22"/>
  <c r="V102" i="22"/>
  <c r="U102" i="22"/>
  <c r="T102" i="22"/>
  <c r="S102" i="22"/>
  <c r="R102" i="22"/>
  <c r="Q102" i="22"/>
  <c r="P102" i="22"/>
  <c r="O102" i="22"/>
  <c r="AV101" i="22"/>
  <c r="AU101" i="22"/>
  <c r="AT101" i="22"/>
  <c r="AS101" i="22"/>
  <c r="AR101" i="22"/>
  <c r="AQ101" i="22"/>
  <c r="AP101" i="22"/>
  <c r="AO101" i="22"/>
  <c r="AN101" i="22"/>
  <c r="AM101" i="22"/>
  <c r="AL101" i="22"/>
  <c r="X101" i="22"/>
  <c r="W101" i="22"/>
  <c r="V101" i="22"/>
  <c r="U101" i="22"/>
  <c r="T101" i="22"/>
  <c r="S101" i="22"/>
  <c r="R101" i="22"/>
  <c r="Q101" i="22"/>
  <c r="P101" i="22"/>
  <c r="O101" i="22"/>
  <c r="N101" i="22"/>
  <c r="AV100" i="22"/>
  <c r="AU100" i="22"/>
  <c r="AT100" i="22"/>
  <c r="AS100" i="22"/>
  <c r="AR100" i="22"/>
  <c r="AQ100" i="22"/>
  <c r="AP100" i="22"/>
  <c r="AO100" i="22"/>
  <c r="AN100" i="22"/>
  <c r="AM100" i="22"/>
  <c r="AL100" i="22"/>
  <c r="X100" i="22"/>
  <c r="W100" i="22"/>
  <c r="V100" i="22"/>
  <c r="U100" i="22"/>
  <c r="T100" i="22"/>
  <c r="S100" i="22"/>
  <c r="R100" i="22"/>
  <c r="Q100" i="22"/>
  <c r="P100" i="22"/>
  <c r="O100" i="22"/>
  <c r="N100" i="22"/>
  <c r="AV99" i="22"/>
  <c r="AU99" i="22"/>
  <c r="AT99" i="22"/>
  <c r="AS99" i="22"/>
  <c r="AR99" i="22"/>
  <c r="AQ99" i="22"/>
  <c r="AP99" i="22"/>
  <c r="AO99" i="22"/>
  <c r="AN99" i="22"/>
  <c r="AM99" i="22"/>
  <c r="AL99" i="22"/>
  <c r="X99" i="22"/>
  <c r="W99" i="22"/>
  <c r="V99" i="22"/>
  <c r="U99" i="22"/>
  <c r="T99" i="22"/>
  <c r="S99" i="22"/>
  <c r="R99" i="22"/>
  <c r="Q99" i="22"/>
  <c r="P99" i="22"/>
  <c r="O99" i="22"/>
  <c r="N99" i="22"/>
  <c r="AV98" i="22"/>
  <c r="AU98" i="22"/>
  <c r="AT98" i="22"/>
  <c r="AS98" i="22"/>
  <c r="AR98" i="22"/>
  <c r="AQ98" i="22"/>
  <c r="AP98" i="22"/>
  <c r="AO98" i="22"/>
  <c r="AN98" i="22"/>
  <c r="AM98" i="22"/>
  <c r="AL98" i="22"/>
  <c r="X98" i="22"/>
  <c r="W98" i="22"/>
  <c r="V98" i="22"/>
  <c r="U98" i="22"/>
  <c r="T98" i="22"/>
  <c r="S98" i="22"/>
  <c r="R98" i="22"/>
  <c r="Q98" i="22"/>
  <c r="P98" i="22"/>
  <c r="O98" i="22"/>
  <c r="N98" i="22"/>
  <c r="AV97" i="22"/>
  <c r="AU97" i="22"/>
  <c r="AT97" i="22"/>
  <c r="AS97" i="22"/>
  <c r="AR97" i="22"/>
  <c r="AQ97" i="22"/>
  <c r="AP97" i="22"/>
  <c r="AO97" i="22"/>
  <c r="AN97" i="22"/>
  <c r="AM97" i="22"/>
  <c r="AL97" i="22"/>
  <c r="X97" i="22"/>
  <c r="W97" i="22"/>
  <c r="V97" i="22"/>
  <c r="U97" i="22"/>
  <c r="T97" i="22"/>
  <c r="S97" i="22"/>
  <c r="R97" i="22"/>
  <c r="Q97" i="22"/>
  <c r="P97" i="22"/>
  <c r="O97" i="22"/>
  <c r="N97" i="22"/>
  <c r="X96" i="22"/>
  <c r="W96" i="22"/>
  <c r="V96" i="22"/>
  <c r="U96" i="22"/>
  <c r="T96" i="22"/>
  <c r="S96" i="22"/>
  <c r="R96" i="22"/>
  <c r="Q96" i="22"/>
  <c r="P96" i="22"/>
  <c r="O96" i="22"/>
  <c r="AV95" i="22"/>
  <c r="AU95" i="22"/>
  <c r="AT95" i="22"/>
  <c r="AS95" i="22"/>
  <c r="AR95" i="22"/>
  <c r="AQ95" i="22"/>
  <c r="AP95" i="22"/>
  <c r="AO95" i="22"/>
  <c r="AN95" i="22"/>
  <c r="AM95" i="22"/>
  <c r="AL95" i="22"/>
  <c r="X95" i="22"/>
  <c r="W95" i="22"/>
  <c r="V95" i="22"/>
  <c r="U95" i="22"/>
  <c r="T95" i="22"/>
  <c r="S95" i="22"/>
  <c r="R95" i="22"/>
  <c r="Q95" i="22"/>
  <c r="P95" i="22"/>
  <c r="O95" i="22"/>
  <c r="N95" i="22"/>
  <c r="X94" i="22"/>
  <c r="W94" i="22"/>
  <c r="V94" i="22"/>
  <c r="U94" i="22"/>
  <c r="T94" i="22"/>
  <c r="S94" i="22"/>
  <c r="R94" i="22"/>
  <c r="Q94" i="22"/>
  <c r="P94" i="22"/>
  <c r="O94" i="22"/>
  <c r="X93" i="22"/>
  <c r="W93" i="22"/>
  <c r="V93" i="22"/>
  <c r="U93" i="22"/>
  <c r="T93" i="22"/>
  <c r="S93" i="22"/>
  <c r="R93" i="22"/>
  <c r="Q93" i="22"/>
  <c r="P93" i="22"/>
  <c r="O93" i="22"/>
  <c r="X92" i="22"/>
  <c r="W92" i="22"/>
  <c r="V92" i="22"/>
  <c r="U92" i="22"/>
  <c r="T92" i="22"/>
  <c r="S92" i="22"/>
  <c r="R92" i="22"/>
  <c r="Q92" i="22"/>
  <c r="P92" i="22"/>
  <c r="O92" i="22"/>
  <c r="X91" i="22"/>
  <c r="W91" i="22"/>
  <c r="V91" i="22"/>
  <c r="U91" i="22"/>
  <c r="T91" i="22"/>
  <c r="S91" i="22"/>
  <c r="R91" i="22"/>
  <c r="Q91" i="22"/>
  <c r="P91" i="22"/>
  <c r="O91" i="22"/>
  <c r="X87" i="22"/>
  <c r="W87" i="22"/>
  <c r="V87" i="22"/>
  <c r="U87" i="22"/>
  <c r="T87" i="22"/>
  <c r="S87" i="22"/>
  <c r="R87" i="22"/>
  <c r="Q87" i="22"/>
  <c r="P87" i="22"/>
  <c r="O87" i="22"/>
  <c r="X86" i="22"/>
  <c r="W86" i="22"/>
  <c r="V86" i="22"/>
  <c r="U86" i="22"/>
  <c r="T86" i="22"/>
  <c r="S86" i="22"/>
  <c r="R86" i="22"/>
  <c r="Q86" i="22"/>
  <c r="P86" i="22"/>
  <c r="O86" i="22"/>
  <c r="X85" i="22"/>
  <c r="W85" i="22"/>
  <c r="V85" i="22"/>
  <c r="U85" i="22"/>
  <c r="T85" i="22"/>
  <c r="S85" i="22"/>
  <c r="R85" i="22"/>
  <c r="Q85" i="22"/>
  <c r="P85" i="22"/>
  <c r="O85" i="22"/>
  <c r="X84" i="22"/>
  <c r="W84" i="22"/>
  <c r="V84" i="22"/>
  <c r="U84" i="22"/>
  <c r="T84" i="22"/>
  <c r="S84" i="22"/>
  <c r="R84" i="22"/>
  <c r="Q84" i="22"/>
  <c r="P84" i="22"/>
  <c r="O84" i="22"/>
  <c r="X83" i="22"/>
  <c r="W83" i="22"/>
  <c r="V83" i="22"/>
  <c r="U83" i="22"/>
  <c r="T83" i="22"/>
  <c r="S83" i="22"/>
  <c r="R83" i="22"/>
  <c r="Q83" i="22"/>
  <c r="P83" i="22"/>
  <c r="O83" i="22"/>
  <c r="X82" i="22"/>
  <c r="W82" i="22"/>
  <c r="V82" i="22"/>
  <c r="U82" i="22"/>
  <c r="T82" i="22"/>
  <c r="S82" i="22"/>
  <c r="R82" i="22"/>
  <c r="Q82" i="22"/>
  <c r="P82" i="22"/>
  <c r="O82" i="22"/>
  <c r="AV81" i="22"/>
  <c r="AU81" i="22"/>
  <c r="AT81" i="22"/>
  <c r="AS81" i="22"/>
  <c r="AR81" i="22"/>
  <c r="AQ81" i="22"/>
  <c r="AP81" i="22"/>
  <c r="AO81" i="22"/>
  <c r="AN81" i="22"/>
  <c r="AM81" i="22"/>
  <c r="AL81" i="22"/>
  <c r="X81" i="22"/>
  <c r="W81" i="22"/>
  <c r="V81" i="22"/>
  <c r="U81" i="22"/>
  <c r="T81" i="22"/>
  <c r="S81" i="22"/>
  <c r="R81" i="22"/>
  <c r="Q81" i="22"/>
  <c r="P81" i="22"/>
  <c r="O81" i="22"/>
  <c r="N81" i="22"/>
  <c r="AV80" i="22"/>
  <c r="AU80" i="22"/>
  <c r="AT80" i="22"/>
  <c r="AS80" i="22"/>
  <c r="AR80" i="22"/>
  <c r="AQ80" i="22"/>
  <c r="AP80" i="22"/>
  <c r="AO80" i="22"/>
  <c r="AN80" i="22"/>
  <c r="AM80" i="22"/>
  <c r="AL80" i="22"/>
  <c r="X80" i="22"/>
  <c r="W80" i="22"/>
  <c r="V80" i="22"/>
  <c r="U80" i="22"/>
  <c r="T80" i="22"/>
  <c r="S80" i="22"/>
  <c r="R80" i="22"/>
  <c r="Q80" i="22"/>
  <c r="P80" i="22"/>
  <c r="O80" i="22"/>
  <c r="N80" i="22"/>
  <c r="AV79" i="22"/>
  <c r="AU79" i="22"/>
  <c r="AT79" i="22"/>
  <c r="AS79" i="22"/>
  <c r="AR79" i="22"/>
  <c r="AQ79" i="22"/>
  <c r="AP79" i="22"/>
  <c r="AO79" i="22"/>
  <c r="AN79" i="22"/>
  <c r="AM79" i="22"/>
  <c r="AL79" i="22"/>
  <c r="X79" i="22"/>
  <c r="W79" i="22"/>
  <c r="V79" i="22"/>
  <c r="U79" i="22"/>
  <c r="T79" i="22"/>
  <c r="S79" i="22"/>
  <c r="R79" i="22"/>
  <c r="Q79" i="22"/>
  <c r="P79" i="22"/>
  <c r="O79" i="22"/>
  <c r="N79" i="22"/>
  <c r="AV78" i="22"/>
  <c r="AU78" i="22"/>
  <c r="AT78" i="22"/>
  <c r="AS78" i="22"/>
  <c r="AR78" i="22"/>
  <c r="AQ78" i="22"/>
  <c r="AP78" i="22"/>
  <c r="AO78" i="22"/>
  <c r="AN78" i="22"/>
  <c r="AM78" i="22"/>
  <c r="AL78" i="22"/>
  <c r="X78" i="22"/>
  <c r="W78" i="22"/>
  <c r="V78" i="22"/>
  <c r="U78" i="22"/>
  <c r="T78" i="22"/>
  <c r="S78" i="22"/>
  <c r="R78" i="22"/>
  <c r="Q78" i="22"/>
  <c r="Y78" i="22"/>
  <c r="P78" i="22"/>
  <c r="O78" i="22"/>
  <c r="N78" i="22"/>
  <c r="AV77" i="22"/>
  <c r="AU77" i="22"/>
  <c r="AT77" i="22"/>
  <c r="AS77" i="22"/>
  <c r="AR77" i="22"/>
  <c r="AQ77" i="22"/>
  <c r="AP77" i="22"/>
  <c r="AO77" i="22"/>
  <c r="AN77" i="22"/>
  <c r="AM77" i="22"/>
  <c r="AL77" i="22"/>
  <c r="X77" i="22"/>
  <c r="W77" i="22"/>
  <c r="V77" i="22"/>
  <c r="U77" i="22"/>
  <c r="T77" i="22"/>
  <c r="S77" i="22"/>
  <c r="R77" i="22"/>
  <c r="Q77" i="22"/>
  <c r="P77" i="22"/>
  <c r="O77" i="22"/>
  <c r="N77" i="22"/>
  <c r="AV76" i="22"/>
  <c r="AU76" i="22"/>
  <c r="AT76" i="22"/>
  <c r="AS76" i="22"/>
  <c r="AR76" i="22"/>
  <c r="AQ76" i="22"/>
  <c r="AP76" i="22"/>
  <c r="AO76" i="22"/>
  <c r="AN76" i="22"/>
  <c r="AM76" i="22"/>
  <c r="AL76" i="22"/>
  <c r="X76" i="22"/>
  <c r="W76" i="22"/>
  <c r="V76" i="22"/>
  <c r="U76" i="22"/>
  <c r="T76" i="22"/>
  <c r="S76" i="22"/>
  <c r="R76" i="22"/>
  <c r="Q76" i="22"/>
  <c r="P76" i="22"/>
  <c r="O76" i="22"/>
  <c r="N76" i="22"/>
  <c r="AV75" i="22"/>
  <c r="AU75" i="22"/>
  <c r="AT75" i="22"/>
  <c r="AS75" i="22"/>
  <c r="AR75" i="22"/>
  <c r="AQ75" i="22"/>
  <c r="AP75" i="22"/>
  <c r="AO75" i="22"/>
  <c r="AN75" i="22"/>
  <c r="AM75" i="22"/>
  <c r="AL75" i="22"/>
  <c r="X75" i="22"/>
  <c r="W75" i="22"/>
  <c r="V75" i="22"/>
  <c r="U75" i="22"/>
  <c r="T75" i="22"/>
  <c r="S75" i="22"/>
  <c r="R75" i="22"/>
  <c r="Q75" i="22"/>
  <c r="P75" i="22"/>
  <c r="O75" i="22"/>
  <c r="N75" i="22"/>
  <c r="AV74" i="22"/>
  <c r="AU74" i="22"/>
  <c r="AT74" i="22"/>
  <c r="AS74" i="22"/>
  <c r="AR74" i="22"/>
  <c r="AQ74" i="22"/>
  <c r="AP74" i="22"/>
  <c r="AO74" i="22"/>
  <c r="AN74" i="22"/>
  <c r="AM74" i="22"/>
  <c r="AL74" i="22"/>
  <c r="X74" i="22"/>
  <c r="W74" i="22"/>
  <c r="V74" i="22"/>
  <c r="U74" i="22"/>
  <c r="T74" i="22"/>
  <c r="S74" i="22"/>
  <c r="R74" i="22"/>
  <c r="Q74" i="22"/>
  <c r="Y74" i="22"/>
  <c r="P74" i="22"/>
  <c r="O74" i="22"/>
  <c r="N74" i="22"/>
  <c r="AV73" i="22"/>
  <c r="AU73" i="22"/>
  <c r="AT73" i="22"/>
  <c r="AS73" i="22"/>
  <c r="AR73" i="22"/>
  <c r="AQ73" i="22"/>
  <c r="AP73" i="22"/>
  <c r="AO73" i="22"/>
  <c r="AN73" i="22"/>
  <c r="AM73" i="22"/>
  <c r="AL73" i="22"/>
  <c r="X73" i="22"/>
  <c r="W73" i="22"/>
  <c r="V73" i="22"/>
  <c r="U73" i="22"/>
  <c r="T73" i="22"/>
  <c r="S73" i="22"/>
  <c r="R73" i="22"/>
  <c r="Q73" i="22"/>
  <c r="P73" i="22"/>
  <c r="O73" i="22"/>
  <c r="N73" i="22"/>
  <c r="X72" i="22"/>
  <c r="W72" i="22"/>
  <c r="V72" i="22"/>
  <c r="U72" i="22"/>
  <c r="T72" i="22"/>
  <c r="S72" i="22"/>
  <c r="R72" i="22"/>
  <c r="Q72" i="22"/>
  <c r="P72" i="22"/>
  <c r="O72" i="22"/>
  <c r="X71" i="22"/>
  <c r="W71" i="22"/>
  <c r="V71" i="22"/>
  <c r="U71" i="22"/>
  <c r="T71" i="22"/>
  <c r="S71" i="22"/>
  <c r="R71" i="22"/>
  <c r="Q71" i="22"/>
  <c r="P71" i="22"/>
  <c r="O71" i="22"/>
  <c r="AV70" i="22"/>
  <c r="AU70" i="22"/>
  <c r="AT70" i="22"/>
  <c r="AS70" i="22"/>
  <c r="AR70" i="22"/>
  <c r="AQ70" i="22"/>
  <c r="AP70" i="22"/>
  <c r="AO70" i="22"/>
  <c r="AN70" i="22"/>
  <c r="AM70" i="22"/>
  <c r="AL70" i="22"/>
  <c r="X70" i="22"/>
  <c r="W70" i="22"/>
  <c r="V70" i="22"/>
  <c r="U70" i="22"/>
  <c r="T70" i="22"/>
  <c r="S70" i="22"/>
  <c r="R70" i="22"/>
  <c r="Q70" i="22"/>
  <c r="P70" i="22"/>
  <c r="O70" i="22"/>
  <c r="N70" i="22"/>
  <c r="X69" i="22"/>
  <c r="W69" i="22"/>
  <c r="V69" i="22"/>
  <c r="U69" i="22"/>
  <c r="T69" i="22"/>
  <c r="S69" i="22"/>
  <c r="R69" i="22"/>
  <c r="Q69" i="22"/>
  <c r="P69" i="22"/>
  <c r="O69" i="22"/>
  <c r="X68" i="22"/>
  <c r="W68" i="22"/>
  <c r="V68" i="22"/>
  <c r="U68" i="22"/>
  <c r="T68" i="22"/>
  <c r="S68" i="22"/>
  <c r="R68" i="22"/>
  <c r="Q68" i="22"/>
  <c r="P68" i="22"/>
  <c r="O68" i="22"/>
  <c r="X67" i="22"/>
  <c r="W67" i="22"/>
  <c r="V67" i="22"/>
  <c r="U67" i="22"/>
  <c r="T67" i="22"/>
  <c r="S67" i="22"/>
  <c r="R67" i="22"/>
  <c r="Q67" i="22"/>
  <c r="P67" i="22"/>
  <c r="O67" i="22"/>
  <c r="X66" i="22"/>
  <c r="W66" i="22"/>
  <c r="V66" i="22"/>
  <c r="U66" i="22"/>
  <c r="T66" i="22"/>
  <c r="S66" i="22"/>
  <c r="R66" i="22"/>
  <c r="Q66" i="22"/>
  <c r="P66" i="22"/>
  <c r="O66" i="22"/>
  <c r="X65" i="22"/>
  <c r="W65" i="22"/>
  <c r="V65" i="22"/>
  <c r="U65" i="22"/>
  <c r="T65" i="22"/>
  <c r="S65" i="22"/>
  <c r="R65" i="22"/>
  <c r="Q65" i="22"/>
  <c r="P65" i="22"/>
  <c r="O65" i="22"/>
  <c r="X64" i="22"/>
  <c r="W64" i="22"/>
  <c r="V64" i="22"/>
  <c r="U64" i="22"/>
  <c r="T64" i="22"/>
  <c r="S64" i="22"/>
  <c r="R64" i="22"/>
  <c r="Q64" i="22"/>
  <c r="P64" i="22"/>
  <c r="O64" i="22"/>
  <c r="Q26" i="22"/>
  <c r="AN25" i="22"/>
  <c r="AD25" i="22"/>
  <c r="R26" i="22"/>
  <c r="AC25" i="22"/>
  <c r="AB25" i="22"/>
  <c r="AZ24" i="22"/>
  <c r="AY24" i="22"/>
  <c r="AY25" i="22"/>
  <c r="AX24" i="22"/>
  <c r="AQ24" i="22"/>
  <c r="AO24" i="22"/>
  <c r="AO26" i="22"/>
  <c r="AN24" i="22"/>
  <c r="AN26" i="22"/>
  <c r="AM24" i="22"/>
  <c r="AP24" i="22"/>
  <c r="AD24" i="22"/>
  <c r="AD26" i="22"/>
  <c r="AC24" i="22"/>
  <c r="AC26" i="22"/>
  <c r="AB24" i="22"/>
  <c r="DS23" i="22"/>
  <c r="DR23" i="22"/>
  <c r="DQ23" i="22"/>
  <c r="DU23" i="22"/>
  <c r="DI23" i="22"/>
  <c r="DH23" i="22"/>
  <c r="DG23" i="22"/>
  <c r="CG23" i="22"/>
  <c r="CF23" i="22"/>
  <c r="CB23" i="22"/>
  <c r="CA23" i="22"/>
  <c r="BR23" i="22"/>
  <c r="BQ23" i="22"/>
  <c r="BH23" i="22"/>
  <c r="BG23" i="22"/>
  <c r="AW23" i="22"/>
  <c r="AV23" i="22"/>
  <c r="AL23" i="22"/>
  <c r="AK23" i="22"/>
  <c r="AA23" i="22"/>
  <c r="Z23" i="22"/>
  <c r="U23" i="22"/>
  <c r="T23" i="22"/>
  <c r="G23" i="22"/>
  <c r="F23" i="22"/>
  <c r="E23" i="22"/>
  <c r="C23" i="22"/>
  <c r="CH23" i="22"/>
  <c r="DS22" i="22"/>
  <c r="DR22" i="22"/>
  <c r="DT22" i="22"/>
  <c r="DQ22" i="22"/>
  <c r="DK22" i="22"/>
  <c r="DI22" i="22"/>
  <c r="DH22" i="22"/>
  <c r="DG22" i="22"/>
  <c r="DJ22" i="22"/>
  <c r="AW22" i="22"/>
  <c r="AV22" i="22"/>
  <c r="AL22" i="22"/>
  <c r="AK22" i="22"/>
  <c r="AA22" i="22"/>
  <c r="Z22" i="22"/>
  <c r="U22" i="22"/>
  <c r="T22" i="22"/>
  <c r="G22" i="22"/>
  <c r="F22" i="22"/>
  <c r="E22" i="22"/>
  <c r="C22" i="22"/>
  <c r="CH22" i="22"/>
  <c r="CG21" i="22"/>
  <c r="CF21" i="22"/>
  <c r="CB21" i="22"/>
  <c r="CA21" i="22"/>
  <c r="BR21" i="22"/>
  <c r="BQ21" i="22"/>
  <c r="BH21" i="22"/>
  <c r="BG21" i="22"/>
  <c r="U21" i="22"/>
  <c r="T21" i="22"/>
  <c r="G21" i="22"/>
  <c r="F21" i="22"/>
  <c r="E21" i="22"/>
  <c r="I21" i="22"/>
  <c r="C21" i="22"/>
  <c r="CH21" i="22"/>
  <c r="U20" i="22"/>
  <c r="T20" i="22"/>
  <c r="G20" i="22"/>
  <c r="F20" i="22"/>
  <c r="E20" i="22"/>
  <c r="C20" i="22"/>
  <c r="CH20" i="22"/>
  <c r="DS19" i="22"/>
  <c r="DR19" i="22"/>
  <c r="DQ19" i="22"/>
  <c r="DK19" i="22"/>
  <c r="DI19" i="22"/>
  <c r="DH19" i="22"/>
  <c r="DG19" i="22"/>
  <c r="AW19" i="22"/>
  <c r="AV19" i="22"/>
  <c r="AL19" i="22"/>
  <c r="AK19" i="22"/>
  <c r="AA19" i="22"/>
  <c r="Z19" i="22"/>
  <c r="U19" i="22"/>
  <c r="T19" i="22"/>
  <c r="G19" i="22"/>
  <c r="F19" i="22"/>
  <c r="E19" i="22"/>
  <c r="J19" i="22"/>
  <c r="C19" i="22"/>
  <c r="CH19" i="22"/>
  <c r="CG18" i="22"/>
  <c r="CF18" i="22"/>
  <c r="CB18" i="22"/>
  <c r="CA18" i="22"/>
  <c r="BR18" i="22"/>
  <c r="BQ18" i="22"/>
  <c r="BH18" i="22"/>
  <c r="BG18" i="22"/>
  <c r="U18" i="22"/>
  <c r="T18" i="22"/>
  <c r="G18" i="22"/>
  <c r="F18" i="22"/>
  <c r="E18" i="22"/>
  <c r="C18" i="22"/>
  <c r="CH18" i="22"/>
  <c r="DS17" i="22"/>
  <c r="DR17" i="22"/>
  <c r="DQ17" i="22"/>
  <c r="DI17" i="22"/>
  <c r="DH17" i="22"/>
  <c r="DG17" i="22"/>
  <c r="DJ17" i="22"/>
  <c r="AW17" i="22"/>
  <c r="AV17" i="22"/>
  <c r="AL17" i="22"/>
  <c r="AK17" i="22"/>
  <c r="AA17" i="22"/>
  <c r="Z17" i="22"/>
  <c r="U17" i="22"/>
  <c r="T17" i="22"/>
  <c r="G17" i="22"/>
  <c r="I17" i="22"/>
  <c r="F17" i="22"/>
  <c r="E17" i="22"/>
  <c r="C17" i="22"/>
  <c r="CH17" i="22"/>
  <c r="U16" i="22"/>
  <c r="T16" i="22"/>
  <c r="G16" i="22"/>
  <c r="F16" i="22"/>
  <c r="E16" i="22"/>
  <c r="C16" i="22"/>
  <c r="CH16" i="22"/>
  <c r="DS15" i="22"/>
  <c r="DR15" i="22"/>
  <c r="DT15" i="22"/>
  <c r="DQ15" i="22"/>
  <c r="DU15" i="22"/>
  <c r="DI15" i="22"/>
  <c r="DH15" i="22"/>
  <c r="DG15" i="22"/>
  <c r="AW15" i="22"/>
  <c r="AV15" i="22"/>
  <c r="AL15" i="22"/>
  <c r="AK15" i="22"/>
  <c r="AA15" i="22"/>
  <c r="Z15" i="22"/>
  <c r="U15" i="22"/>
  <c r="T15" i="22"/>
  <c r="G15" i="22"/>
  <c r="F15" i="22"/>
  <c r="E15" i="22"/>
  <c r="C15" i="22"/>
  <c r="CH15" i="22"/>
  <c r="CG14" i="22"/>
  <c r="CF14" i="22"/>
  <c r="CB14" i="22"/>
  <c r="CA14" i="22"/>
  <c r="BR14" i="22"/>
  <c r="BQ14" i="22"/>
  <c r="BH14" i="22"/>
  <c r="BG14" i="22"/>
  <c r="U14" i="22"/>
  <c r="T14" i="22"/>
  <c r="I14" i="22"/>
  <c r="G14" i="22"/>
  <c r="F14" i="22"/>
  <c r="E14" i="22"/>
  <c r="J14" i="22"/>
  <c r="C14" i="22"/>
  <c r="CH14" i="22"/>
  <c r="DS13" i="22"/>
  <c r="DR13" i="22"/>
  <c r="DQ13" i="22"/>
  <c r="DI13" i="22"/>
  <c r="DH13" i="22"/>
  <c r="DG13" i="22"/>
  <c r="DJ13" i="22"/>
  <c r="AW13" i="22"/>
  <c r="AV13" i="22"/>
  <c r="AL13" i="22"/>
  <c r="AK13" i="22"/>
  <c r="AA13" i="22"/>
  <c r="Z13" i="22"/>
  <c r="U13" i="22"/>
  <c r="T13" i="22"/>
  <c r="J13" i="22"/>
  <c r="G13" i="22"/>
  <c r="I13" i="22"/>
  <c r="F13" i="22"/>
  <c r="C13" i="22"/>
  <c r="CH13" i="22"/>
  <c r="CG12" i="22"/>
  <c r="CF12" i="22"/>
  <c r="CB12" i="22"/>
  <c r="CA12" i="22"/>
  <c r="BR12" i="22"/>
  <c r="BQ12" i="22"/>
  <c r="BH12" i="22"/>
  <c r="BG12" i="22"/>
  <c r="U12" i="22"/>
  <c r="T12" i="22"/>
  <c r="J12" i="22"/>
  <c r="I12" i="22"/>
  <c r="C12" i="22"/>
  <c r="CH12" i="22"/>
  <c r="DS11" i="22"/>
  <c r="DR11" i="22"/>
  <c r="DT11" i="22"/>
  <c r="DQ11" i="22"/>
  <c r="DI11" i="22"/>
  <c r="DH11" i="22"/>
  <c r="DG11" i="22"/>
  <c r="DK11" i="22"/>
  <c r="AW11" i="22"/>
  <c r="AV11" i="22"/>
  <c r="AL11" i="22"/>
  <c r="AK11" i="22"/>
  <c r="AA11" i="22"/>
  <c r="Z11" i="22"/>
  <c r="U11" i="22"/>
  <c r="T11" i="22"/>
  <c r="J11" i="22"/>
  <c r="I11" i="22"/>
  <c r="C11" i="22"/>
  <c r="CH11" i="22"/>
  <c r="CG10" i="22"/>
  <c r="CF10" i="22"/>
  <c r="CB10" i="22"/>
  <c r="CA10" i="22"/>
  <c r="BR10" i="22"/>
  <c r="BQ10" i="22"/>
  <c r="BH10" i="22"/>
  <c r="BG10" i="22"/>
  <c r="U10" i="22"/>
  <c r="T10" i="22"/>
  <c r="J10" i="22"/>
  <c r="I10" i="22"/>
  <c r="C10" i="22"/>
  <c r="CH10" i="22"/>
  <c r="DS9" i="22"/>
  <c r="DR9" i="22"/>
  <c r="DQ9" i="22"/>
  <c r="DI9" i="22"/>
  <c r="DH9" i="22"/>
  <c r="DG9" i="22"/>
  <c r="DJ9" i="22"/>
  <c r="AW9" i="22"/>
  <c r="AV9" i="22"/>
  <c r="AL9" i="22"/>
  <c r="AK9" i="22"/>
  <c r="AA9" i="22"/>
  <c r="Z9" i="22"/>
  <c r="U9" i="22"/>
  <c r="T9" i="22"/>
  <c r="J9" i="22"/>
  <c r="I9" i="22"/>
  <c r="C9" i="22"/>
  <c r="CH9" i="22"/>
  <c r="CG8" i="22"/>
  <c r="CF8" i="22"/>
  <c r="CB8" i="22"/>
  <c r="CA8" i="22"/>
  <c r="BR8" i="22"/>
  <c r="BQ8" i="22"/>
  <c r="BH8" i="22"/>
  <c r="BG8" i="22"/>
  <c r="U8" i="22"/>
  <c r="T8" i="22"/>
  <c r="J8" i="22"/>
  <c r="I8" i="22"/>
  <c r="C8" i="22"/>
  <c r="CH8" i="22"/>
  <c r="DS7" i="22"/>
  <c r="DR7" i="22"/>
  <c r="DQ7" i="22"/>
  <c r="DK7" i="22"/>
  <c r="DI7" i="22"/>
  <c r="DJ7" i="22"/>
  <c r="DH7" i="22"/>
  <c r="DG7" i="22"/>
  <c r="AW7" i="22"/>
  <c r="AV7" i="22"/>
  <c r="AL7" i="22"/>
  <c r="AK7" i="22"/>
  <c r="AA7" i="22"/>
  <c r="Z7" i="22"/>
  <c r="U7" i="22"/>
  <c r="T7" i="22"/>
  <c r="J7" i="22"/>
  <c r="I7" i="22"/>
  <c r="C7" i="22"/>
  <c r="CH7" i="22"/>
  <c r="DS6" i="22"/>
  <c r="DR6" i="22"/>
  <c r="DQ6" i="22"/>
  <c r="DI6" i="22"/>
  <c r="DH6" i="22"/>
  <c r="DG6" i="22"/>
  <c r="DJ6" i="22"/>
  <c r="CG6" i="22"/>
  <c r="CF6" i="22"/>
  <c r="CB6" i="22"/>
  <c r="CA6" i="22"/>
  <c r="BR6" i="22"/>
  <c r="BQ6" i="22"/>
  <c r="BH6" i="22"/>
  <c r="BG6" i="22"/>
  <c r="AW6" i="22"/>
  <c r="AV6" i="22"/>
  <c r="AL6" i="22"/>
  <c r="AK6" i="22"/>
  <c r="AA6" i="22"/>
  <c r="Z6" i="22"/>
  <c r="U6" i="22"/>
  <c r="T6" i="22"/>
  <c r="J6" i="22"/>
  <c r="I6" i="22"/>
  <c r="C6" i="22"/>
  <c r="AU113" i="21"/>
  <c r="AT113" i="21"/>
  <c r="AS113" i="21"/>
  <c r="AR113" i="21"/>
  <c r="AQ113" i="21"/>
  <c r="AP113" i="21"/>
  <c r="AO113" i="21"/>
  <c r="AN113" i="21"/>
  <c r="AM113" i="21"/>
  <c r="AL113" i="21"/>
  <c r="W113" i="21"/>
  <c r="V113" i="21"/>
  <c r="U113" i="21"/>
  <c r="T113" i="21"/>
  <c r="S113" i="21"/>
  <c r="R113" i="21"/>
  <c r="Q113" i="21"/>
  <c r="P113" i="21"/>
  <c r="O113" i="21"/>
  <c r="N113" i="21"/>
  <c r="AU112" i="21"/>
  <c r="AT112" i="21"/>
  <c r="AS112" i="21"/>
  <c r="AR112" i="21"/>
  <c r="AQ112" i="21"/>
  <c r="AP112" i="21"/>
  <c r="AO112" i="21"/>
  <c r="AN112" i="21"/>
  <c r="AM112" i="21"/>
  <c r="AL112" i="21"/>
  <c r="AV112" i="21"/>
  <c r="W112" i="21"/>
  <c r="V112" i="21"/>
  <c r="U112" i="21"/>
  <c r="T112" i="21"/>
  <c r="S112" i="21"/>
  <c r="R112" i="21"/>
  <c r="Q112" i="21"/>
  <c r="P112" i="21"/>
  <c r="X112" i="21"/>
  <c r="O112" i="21"/>
  <c r="N112" i="21"/>
  <c r="AU111" i="21"/>
  <c r="AT111" i="21"/>
  <c r="AS111" i="21"/>
  <c r="AR111" i="21"/>
  <c r="AQ111" i="21"/>
  <c r="AP111" i="21"/>
  <c r="AO111" i="21"/>
  <c r="AN111" i="21"/>
  <c r="AM111" i="21"/>
  <c r="AL111" i="21"/>
  <c r="W111" i="21"/>
  <c r="V111" i="21"/>
  <c r="U111" i="21"/>
  <c r="T111" i="21"/>
  <c r="S111" i="21"/>
  <c r="R111" i="21"/>
  <c r="Q111" i="21"/>
  <c r="P111" i="21"/>
  <c r="O111" i="21"/>
  <c r="N111" i="21"/>
  <c r="AU110" i="21"/>
  <c r="AT110" i="21"/>
  <c r="AS110" i="21"/>
  <c r="AR110" i="21"/>
  <c r="AQ110" i="21"/>
  <c r="AP110" i="21"/>
  <c r="AO110" i="21"/>
  <c r="AN110" i="21"/>
  <c r="AM110" i="21"/>
  <c r="AL110" i="21"/>
  <c r="W110" i="21"/>
  <c r="V110" i="21"/>
  <c r="U110" i="21"/>
  <c r="T110" i="21"/>
  <c r="S110" i="21"/>
  <c r="R110" i="21"/>
  <c r="Q110" i="21"/>
  <c r="P110" i="21"/>
  <c r="O110" i="21"/>
  <c r="N110" i="21"/>
  <c r="AU109" i="21"/>
  <c r="AT109" i="21"/>
  <c r="AS109" i="21"/>
  <c r="AR109" i="21"/>
  <c r="AQ109" i="21"/>
  <c r="AP109" i="21"/>
  <c r="AO109" i="21"/>
  <c r="AN109" i="21"/>
  <c r="AM109" i="21"/>
  <c r="AL109" i="21"/>
  <c r="W109" i="21"/>
  <c r="V109" i="21"/>
  <c r="U109" i="21"/>
  <c r="T109" i="21"/>
  <c r="S109" i="21"/>
  <c r="R109" i="21"/>
  <c r="Q109" i="21"/>
  <c r="P109" i="21"/>
  <c r="O109" i="21"/>
  <c r="N109" i="21"/>
  <c r="AU108" i="21"/>
  <c r="AT108" i="21"/>
  <c r="AS108" i="21"/>
  <c r="AR108" i="21"/>
  <c r="AQ108" i="21"/>
  <c r="AP108" i="21"/>
  <c r="AO108" i="21"/>
  <c r="AN108" i="21"/>
  <c r="AM108" i="21"/>
  <c r="AL108" i="21"/>
  <c r="W108" i="21"/>
  <c r="V108" i="21"/>
  <c r="U108" i="21"/>
  <c r="T108" i="21"/>
  <c r="S108" i="21"/>
  <c r="R108" i="21"/>
  <c r="Q108" i="21"/>
  <c r="P108" i="21"/>
  <c r="X108" i="21"/>
  <c r="O108" i="21"/>
  <c r="N108" i="21"/>
  <c r="W107" i="21"/>
  <c r="V107" i="21"/>
  <c r="U107" i="21"/>
  <c r="T107" i="21"/>
  <c r="S107" i="21"/>
  <c r="R107" i="21"/>
  <c r="Q107" i="21"/>
  <c r="P107" i="21"/>
  <c r="O107" i="21"/>
  <c r="N107" i="21"/>
  <c r="W106" i="21"/>
  <c r="V106" i="21"/>
  <c r="U106" i="21"/>
  <c r="T106" i="21"/>
  <c r="S106" i="21"/>
  <c r="R106" i="21"/>
  <c r="Q106" i="21"/>
  <c r="P106" i="21"/>
  <c r="O106" i="21"/>
  <c r="N106" i="21"/>
  <c r="W105" i="21"/>
  <c r="V105" i="21"/>
  <c r="U105" i="21"/>
  <c r="T105" i="21"/>
  <c r="S105" i="21"/>
  <c r="R105" i="21"/>
  <c r="Q105" i="21"/>
  <c r="P105" i="21"/>
  <c r="O105" i="21"/>
  <c r="N105" i="21"/>
  <c r="W104" i="21"/>
  <c r="V104" i="21"/>
  <c r="U104" i="21"/>
  <c r="T104" i="21"/>
  <c r="S104" i="21"/>
  <c r="R104" i="21"/>
  <c r="Q104" i="21"/>
  <c r="P104" i="21"/>
  <c r="O104" i="21"/>
  <c r="N104" i="21"/>
  <c r="W103" i="21"/>
  <c r="V103" i="21"/>
  <c r="U103" i="21"/>
  <c r="T103" i="21"/>
  <c r="S103" i="21"/>
  <c r="R103" i="21"/>
  <c r="Q103" i="21"/>
  <c r="P103" i="21"/>
  <c r="O103" i="21"/>
  <c r="N103" i="21"/>
  <c r="W102" i="21"/>
  <c r="V102" i="21"/>
  <c r="U102" i="21"/>
  <c r="T102" i="21"/>
  <c r="S102" i="21"/>
  <c r="R102" i="21"/>
  <c r="Q102" i="21"/>
  <c r="P102" i="21"/>
  <c r="O102" i="21"/>
  <c r="N102" i="21"/>
  <c r="W101" i="21"/>
  <c r="V101" i="21"/>
  <c r="U101" i="21"/>
  <c r="T101" i="21"/>
  <c r="S101" i="21"/>
  <c r="R101" i="21"/>
  <c r="Q101" i="21"/>
  <c r="P101" i="21"/>
  <c r="O101" i="21"/>
  <c r="N101" i="21"/>
  <c r="W100" i="21"/>
  <c r="V100" i="21"/>
  <c r="U100" i="21"/>
  <c r="T100" i="21"/>
  <c r="S100" i="21"/>
  <c r="R100" i="21"/>
  <c r="Q100" i="21"/>
  <c r="P100" i="21"/>
  <c r="O100" i="21"/>
  <c r="N100" i="21"/>
  <c r="W99" i="21"/>
  <c r="V99" i="21"/>
  <c r="U99" i="21"/>
  <c r="T99" i="21"/>
  <c r="S99" i="21"/>
  <c r="R99" i="21"/>
  <c r="Q99" i="21"/>
  <c r="P99" i="21"/>
  <c r="O99" i="21"/>
  <c r="N99" i="21"/>
  <c r="W98" i="21"/>
  <c r="V98" i="21"/>
  <c r="U98" i="21"/>
  <c r="T98" i="21"/>
  <c r="S98" i="21"/>
  <c r="R98" i="21"/>
  <c r="Q98" i="21"/>
  <c r="P98" i="21"/>
  <c r="O98" i="21"/>
  <c r="N98" i="21"/>
  <c r="W97" i="21"/>
  <c r="V97" i="21"/>
  <c r="U97" i="21"/>
  <c r="T97" i="21"/>
  <c r="S97" i="21"/>
  <c r="R97" i="21"/>
  <c r="Q97" i="21"/>
  <c r="P97" i="21"/>
  <c r="O97" i="21"/>
  <c r="N97" i="21"/>
  <c r="W96" i="21"/>
  <c r="V96" i="21"/>
  <c r="U96" i="21"/>
  <c r="T96" i="21"/>
  <c r="S96" i="21"/>
  <c r="R96" i="21"/>
  <c r="Q96" i="21"/>
  <c r="P96" i="21"/>
  <c r="O96" i="21"/>
  <c r="N96" i="21"/>
  <c r="W95" i="21"/>
  <c r="V95" i="21"/>
  <c r="U95" i="21"/>
  <c r="T95" i="21"/>
  <c r="S95" i="21"/>
  <c r="R95" i="21"/>
  <c r="Q95" i="21"/>
  <c r="P95" i="21"/>
  <c r="O95" i="21"/>
  <c r="N95" i="21"/>
  <c r="W94" i="21"/>
  <c r="V94" i="21"/>
  <c r="U94" i="21"/>
  <c r="T94" i="21"/>
  <c r="S94" i="21"/>
  <c r="R94" i="21"/>
  <c r="Q94" i="21"/>
  <c r="P94" i="21"/>
  <c r="O94" i="21"/>
  <c r="N94" i="21"/>
  <c r="W93" i="21"/>
  <c r="V93" i="21"/>
  <c r="U93" i="21"/>
  <c r="T93" i="21"/>
  <c r="S93" i="21"/>
  <c r="R93" i="21"/>
  <c r="Q93" i="21"/>
  <c r="P93" i="21"/>
  <c r="O93" i="21"/>
  <c r="N93" i="21"/>
  <c r="AU89" i="21"/>
  <c r="AT89" i="21"/>
  <c r="AS89" i="21"/>
  <c r="AR89" i="21"/>
  <c r="AQ89" i="21"/>
  <c r="AP89" i="21"/>
  <c r="AO89" i="21"/>
  <c r="AN89" i="21"/>
  <c r="AM89" i="21"/>
  <c r="AL89" i="21"/>
  <c r="W89" i="21"/>
  <c r="V89" i="21"/>
  <c r="U89" i="21"/>
  <c r="T89" i="21"/>
  <c r="S89" i="21"/>
  <c r="R89" i="21"/>
  <c r="Q89" i="21"/>
  <c r="P89" i="21"/>
  <c r="O89" i="21"/>
  <c r="N89" i="21"/>
  <c r="AU88" i="21"/>
  <c r="AT88" i="21"/>
  <c r="AS88" i="21"/>
  <c r="AR88" i="21"/>
  <c r="AQ88" i="21"/>
  <c r="AP88" i="21"/>
  <c r="AO88" i="21"/>
  <c r="AN88" i="21"/>
  <c r="AM88" i="21"/>
  <c r="AL88" i="21"/>
  <c r="W88" i="21"/>
  <c r="V88" i="21"/>
  <c r="U88" i="21"/>
  <c r="T88" i="21"/>
  <c r="S88" i="21"/>
  <c r="R88" i="21"/>
  <c r="Q88" i="21"/>
  <c r="P88" i="21"/>
  <c r="O88" i="21"/>
  <c r="N88" i="21"/>
  <c r="AU87" i="21"/>
  <c r="AT87" i="21"/>
  <c r="AS87" i="21"/>
  <c r="AR87" i="21"/>
  <c r="AQ87" i="21"/>
  <c r="AP87" i="21"/>
  <c r="AO87" i="21"/>
  <c r="AN87" i="21"/>
  <c r="AM87" i="21"/>
  <c r="AL87" i="21"/>
  <c r="W87" i="21"/>
  <c r="V87" i="21"/>
  <c r="U87" i="21"/>
  <c r="T87" i="21"/>
  <c r="S87" i="21"/>
  <c r="R87" i="21"/>
  <c r="Q87" i="21"/>
  <c r="P87" i="21"/>
  <c r="O87" i="21"/>
  <c r="N87" i="21"/>
  <c r="W86" i="21"/>
  <c r="V86" i="21"/>
  <c r="U86" i="21"/>
  <c r="T86" i="21"/>
  <c r="S86" i="21"/>
  <c r="R86" i="21"/>
  <c r="Q86" i="21"/>
  <c r="P86" i="21"/>
  <c r="O86" i="21"/>
  <c r="N86" i="21"/>
  <c r="W85" i="21"/>
  <c r="V85" i="21"/>
  <c r="U85" i="21"/>
  <c r="T85" i="21"/>
  <c r="S85" i="21"/>
  <c r="R85" i="21"/>
  <c r="Q85" i="21"/>
  <c r="P85" i="21"/>
  <c r="O85" i="21"/>
  <c r="N85" i="21"/>
  <c r="W84" i="21"/>
  <c r="V84" i="21"/>
  <c r="U84" i="21"/>
  <c r="T84" i="21"/>
  <c r="S84" i="21"/>
  <c r="R84" i="21"/>
  <c r="Q84" i="21"/>
  <c r="P84" i="21"/>
  <c r="O84" i="21"/>
  <c r="N84" i="21"/>
  <c r="W83" i="21"/>
  <c r="V83" i="21"/>
  <c r="U83" i="21"/>
  <c r="T83" i="21"/>
  <c r="S83" i="21"/>
  <c r="R83" i="21"/>
  <c r="Q83" i="21"/>
  <c r="P83" i="21"/>
  <c r="O83" i="21"/>
  <c r="N83" i="21"/>
  <c r="W82" i="21"/>
  <c r="V82" i="21"/>
  <c r="U82" i="21"/>
  <c r="T82" i="21"/>
  <c r="S82" i="21"/>
  <c r="R82" i="21"/>
  <c r="Q82" i="21"/>
  <c r="P82" i="21"/>
  <c r="O82" i="21"/>
  <c r="N82" i="21"/>
  <c r="W81" i="21"/>
  <c r="V81" i="21"/>
  <c r="U81" i="21"/>
  <c r="T81" i="21"/>
  <c r="S81" i="21"/>
  <c r="R81" i="21"/>
  <c r="Q81" i="21"/>
  <c r="P81" i="21"/>
  <c r="O81" i="21"/>
  <c r="N81" i="21"/>
  <c r="W80" i="21"/>
  <c r="V80" i="21"/>
  <c r="U80" i="21"/>
  <c r="T80" i="21"/>
  <c r="S80" i="21"/>
  <c r="R80" i="21"/>
  <c r="Q80" i="21"/>
  <c r="P80" i="21"/>
  <c r="O80" i="21"/>
  <c r="N80" i="21"/>
  <c r="W79" i="21"/>
  <c r="V79" i="21"/>
  <c r="U79" i="21"/>
  <c r="T79" i="21"/>
  <c r="S79" i="21"/>
  <c r="R79" i="21"/>
  <c r="Q79" i="21"/>
  <c r="P79" i="21"/>
  <c r="O79" i="21"/>
  <c r="N79" i="21"/>
  <c r="W78" i="21"/>
  <c r="V78" i="21"/>
  <c r="U78" i="21"/>
  <c r="T78" i="21"/>
  <c r="S78" i="21"/>
  <c r="R78" i="21"/>
  <c r="Q78" i="21"/>
  <c r="P78" i="21"/>
  <c r="O78" i="21"/>
  <c r="N78" i="21"/>
  <c r="W77" i="21"/>
  <c r="V77" i="21"/>
  <c r="U77" i="21"/>
  <c r="T77" i="21"/>
  <c r="S77" i="21"/>
  <c r="R77" i="21"/>
  <c r="Q77" i="21"/>
  <c r="P77" i="21"/>
  <c r="O77" i="21"/>
  <c r="N77" i="21"/>
  <c r="W76" i="21"/>
  <c r="V76" i="21"/>
  <c r="U76" i="21"/>
  <c r="T76" i="21"/>
  <c r="S76" i="21"/>
  <c r="R76" i="21"/>
  <c r="Q76" i="21"/>
  <c r="P76" i="21"/>
  <c r="O76" i="21"/>
  <c r="N76" i="21"/>
  <c r="W75" i="21"/>
  <c r="V75" i="21"/>
  <c r="U75" i="21"/>
  <c r="T75" i="21"/>
  <c r="S75" i="21"/>
  <c r="R75" i="21"/>
  <c r="Q75" i="21"/>
  <c r="P75" i="21"/>
  <c r="O75" i="21"/>
  <c r="N75" i="21"/>
  <c r="W74" i="21"/>
  <c r="V74" i="21"/>
  <c r="U74" i="21"/>
  <c r="T74" i="21"/>
  <c r="S74" i="21"/>
  <c r="R74" i="21"/>
  <c r="Q74" i="21"/>
  <c r="P74" i="21"/>
  <c r="O74" i="21"/>
  <c r="N74" i="21"/>
  <c r="W73" i="21"/>
  <c r="V73" i="21"/>
  <c r="U73" i="21"/>
  <c r="T73" i="21"/>
  <c r="S73" i="21"/>
  <c r="R73" i="21"/>
  <c r="Q73" i="21"/>
  <c r="P73" i="21"/>
  <c r="O73" i="21"/>
  <c r="N73" i="21"/>
  <c r="W72" i="21"/>
  <c r="V72" i="21"/>
  <c r="U72" i="21"/>
  <c r="T72" i="21"/>
  <c r="S72" i="21"/>
  <c r="R72" i="21"/>
  <c r="Q72" i="21"/>
  <c r="P72" i="21"/>
  <c r="O72" i="21"/>
  <c r="N72" i="21"/>
  <c r="W71" i="21"/>
  <c r="V71" i="21"/>
  <c r="U71" i="21"/>
  <c r="T71" i="21"/>
  <c r="S71" i="21"/>
  <c r="R71" i="21"/>
  <c r="Q71" i="21"/>
  <c r="P71" i="21"/>
  <c r="O71" i="21"/>
  <c r="N71" i="21"/>
  <c r="W70" i="21"/>
  <c r="V70" i="21"/>
  <c r="U70" i="21"/>
  <c r="T70" i="21"/>
  <c r="S70" i="21"/>
  <c r="R70" i="21"/>
  <c r="Q70" i="21"/>
  <c r="P70" i="21"/>
  <c r="O70" i="21"/>
  <c r="N70" i="21"/>
  <c r="W69" i="21"/>
  <c r="V69" i="21"/>
  <c r="U69" i="21"/>
  <c r="T69" i="21"/>
  <c r="S69" i="21"/>
  <c r="R69" i="21"/>
  <c r="Q69" i="21"/>
  <c r="P69" i="21"/>
  <c r="O69" i="21"/>
  <c r="N69" i="21"/>
  <c r="R25" i="21"/>
  <c r="L30" i="21"/>
  <c r="Q25" i="21"/>
  <c r="K30" i="21"/>
  <c r="P25" i="21"/>
  <c r="J30" i="21"/>
  <c r="V24" i="21"/>
  <c r="P24" i="21"/>
  <c r="P32" i="21"/>
  <c r="F24" i="21"/>
  <c r="O23" i="21"/>
  <c r="N23" i="21"/>
  <c r="F23" i="21"/>
  <c r="F25" i="21"/>
  <c r="E23" i="21"/>
  <c r="E25" i="21"/>
  <c r="D23" i="21"/>
  <c r="D25" i="21"/>
  <c r="C23" i="21"/>
  <c r="O22" i="21"/>
  <c r="N22" i="21"/>
  <c r="F22" i="21"/>
  <c r="E22" i="21"/>
  <c r="D22" i="21"/>
  <c r="I22" i="21"/>
  <c r="C22" i="21"/>
  <c r="O21" i="21"/>
  <c r="N21" i="21"/>
  <c r="F21" i="21"/>
  <c r="E21" i="21"/>
  <c r="D21" i="21"/>
  <c r="C21" i="21"/>
  <c r="O20" i="21"/>
  <c r="N20" i="21"/>
  <c r="F20" i="21"/>
  <c r="E20" i="21"/>
  <c r="I20" i="21"/>
  <c r="D20" i="21"/>
  <c r="C20" i="21"/>
  <c r="AG19" i="21"/>
  <c r="AF19" i="21"/>
  <c r="AA19" i="21"/>
  <c r="Z19" i="21"/>
  <c r="U19" i="21"/>
  <c r="T19" i="21"/>
  <c r="O19" i="21"/>
  <c r="N19" i="21"/>
  <c r="H19" i="21"/>
  <c r="F19" i="21"/>
  <c r="E19" i="21"/>
  <c r="D19" i="21"/>
  <c r="C19" i="21"/>
  <c r="O18" i="21"/>
  <c r="N18" i="21"/>
  <c r="F18" i="21"/>
  <c r="E18" i="21"/>
  <c r="D18" i="21"/>
  <c r="C18" i="21"/>
  <c r="O17" i="21"/>
  <c r="N17" i="21"/>
  <c r="E17" i="21"/>
  <c r="I17" i="21"/>
  <c r="C17" i="21"/>
  <c r="O16" i="21"/>
  <c r="N16" i="21"/>
  <c r="E16" i="21"/>
  <c r="I16" i="21"/>
  <c r="C16" i="21"/>
  <c r="O15" i="21"/>
  <c r="N15" i="21"/>
  <c r="I15" i="21"/>
  <c r="H15" i="21"/>
  <c r="C15" i="21"/>
  <c r="O14" i="21"/>
  <c r="N14" i="21"/>
  <c r="I14" i="21"/>
  <c r="H14" i="21"/>
  <c r="C14" i="21"/>
  <c r="O13" i="21"/>
  <c r="N13" i="21"/>
  <c r="I13" i="21"/>
  <c r="H13" i="21"/>
  <c r="C13" i="21"/>
  <c r="O12" i="21"/>
  <c r="N12" i="21"/>
  <c r="I12" i="21"/>
  <c r="H12" i="21"/>
  <c r="C12" i="21"/>
  <c r="O11" i="21"/>
  <c r="N11" i="21"/>
  <c r="I11" i="21"/>
  <c r="H11" i="21"/>
  <c r="C11" i="21"/>
  <c r="O10" i="21"/>
  <c r="N10" i="21"/>
  <c r="I10" i="21"/>
  <c r="H10" i="21"/>
  <c r="C10" i="21"/>
  <c r="O9" i="21"/>
  <c r="N9" i="21"/>
  <c r="I9" i="21"/>
  <c r="H9" i="21"/>
  <c r="C9" i="21"/>
  <c r="O8" i="21"/>
  <c r="N8" i="21"/>
  <c r="I8" i="21"/>
  <c r="H8" i="21"/>
  <c r="C8" i="21"/>
  <c r="AG7" i="21"/>
  <c r="AF7" i="21"/>
  <c r="AA7" i="21"/>
  <c r="Z7" i="21"/>
  <c r="U7" i="21"/>
  <c r="T7" i="21"/>
  <c r="O7" i="21"/>
  <c r="N7" i="21"/>
  <c r="I7" i="21"/>
  <c r="H7" i="21"/>
  <c r="C7" i="21"/>
  <c r="D24" i="21"/>
  <c r="O6" i="21"/>
  <c r="N6" i="21"/>
  <c r="I6" i="21"/>
  <c r="H6" i="21"/>
  <c r="C6" i="21"/>
  <c r="I19" i="21"/>
  <c r="H20" i="21"/>
  <c r="V27" i="21"/>
  <c r="X69" i="21"/>
  <c r="AM6" i="21"/>
  <c r="X70" i="21"/>
  <c r="AN6" i="21"/>
  <c r="X73" i="21"/>
  <c r="AN7" i="21"/>
  <c r="X74" i="21"/>
  <c r="AO7" i="21"/>
  <c r="X77" i="21"/>
  <c r="AO8" i="21"/>
  <c r="X78" i="21"/>
  <c r="AM9" i="21"/>
  <c r="X81" i="21"/>
  <c r="AM10" i="21"/>
  <c r="X82" i="21"/>
  <c r="AN10" i="21"/>
  <c r="X85" i="21"/>
  <c r="AN11" i="21"/>
  <c r="X86" i="21"/>
  <c r="AO11" i="21"/>
  <c r="X88" i="21"/>
  <c r="AN20" i="21"/>
  <c r="AV88" i="21"/>
  <c r="X93" i="21"/>
  <c r="X94" i="21"/>
  <c r="X97" i="21"/>
  <c r="X98" i="21"/>
  <c r="X101" i="21"/>
  <c r="X102" i="21"/>
  <c r="X105" i="21"/>
  <c r="X106" i="21"/>
  <c r="V16" i="26"/>
  <c r="AA14" i="26"/>
  <c r="Z14" i="26"/>
  <c r="I18" i="21"/>
  <c r="D14" i="24"/>
  <c r="Q24" i="30"/>
  <c r="T16" i="30"/>
  <c r="X71" i="21"/>
  <c r="AO6" i="21"/>
  <c r="X75" i="21"/>
  <c r="AM8" i="21"/>
  <c r="X79" i="21"/>
  <c r="AN9" i="21"/>
  <c r="X83" i="21"/>
  <c r="AO10" i="21"/>
  <c r="X87" i="21"/>
  <c r="AM20" i="21"/>
  <c r="X89" i="21"/>
  <c r="AO20" i="21"/>
  <c r="X95" i="21"/>
  <c r="X99" i="21"/>
  <c r="X103" i="21"/>
  <c r="X107" i="21"/>
  <c r="AM9" i="27"/>
  <c r="U15" i="29"/>
  <c r="T15" i="29"/>
  <c r="P23" i="29"/>
  <c r="P27" i="29"/>
  <c r="G17" i="31"/>
  <c r="F17" i="31"/>
  <c r="X72" i="21"/>
  <c r="AM7" i="21"/>
  <c r="X80" i="21"/>
  <c r="AO9" i="21"/>
  <c r="AV87" i="21"/>
  <c r="H18" i="21"/>
  <c r="V26" i="21"/>
  <c r="H17" i="21"/>
  <c r="I21" i="21"/>
  <c r="X76" i="21"/>
  <c r="AN8" i="21"/>
  <c r="X84" i="21"/>
  <c r="AM11" i="21"/>
  <c r="I16" i="22"/>
  <c r="J16" i="22"/>
  <c r="AM25" i="22"/>
  <c r="AF24" i="22"/>
  <c r="AV55" i="29"/>
  <c r="X69" i="29"/>
  <c r="AD12" i="29"/>
  <c r="AN12" i="29"/>
  <c r="AH11" i="21"/>
  <c r="AI20" i="21"/>
  <c r="AS20" i="21"/>
  <c r="J20" i="26"/>
  <c r="T15" i="26"/>
  <c r="P23" i="26"/>
  <c r="DT13" i="22"/>
  <c r="DU13" i="22"/>
  <c r="X96" i="21"/>
  <c r="X104" i="21"/>
  <c r="X110" i="21"/>
  <c r="AJ11" i="21"/>
  <c r="AT11" i="21"/>
  <c r="DT6" i="22"/>
  <c r="DK13" i="22"/>
  <c r="DJ19" i="22"/>
  <c r="Y70" i="22"/>
  <c r="Y75" i="22"/>
  <c r="Y79" i="22"/>
  <c r="AW97" i="22"/>
  <c r="Y99" i="22"/>
  <c r="AW101" i="22"/>
  <c r="AW106" i="22"/>
  <c r="Y112" i="22"/>
  <c r="Y118" i="22"/>
  <c r="Q24" i="23"/>
  <c r="AA14" i="23"/>
  <c r="I17" i="27"/>
  <c r="AV46" i="27"/>
  <c r="AV48" i="27"/>
  <c r="AV50" i="27"/>
  <c r="AV52" i="27"/>
  <c r="AV54" i="27"/>
  <c r="AV57" i="27"/>
  <c r="X61" i="27"/>
  <c r="AB12" i="27"/>
  <c r="X67" i="27"/>
  <c r="AH7" i="27"/>
  <c r="X71" i="27"/>
  <c r="AI8" i="27"/>
  <c r="T15" i="28"/>
  <c r="X56" i="28"/>
  <c r="AB10" i="28"/>
  <c r="X66" i="28"/>
  <c r="AI6" i="28"/>
  <c r="AS6" i="28"/>
  <c r="X74" i="28"/>
  <c r="AH9" i="28"/>
  <c r="T14" i="29"/>
  <c r="W17" i="29"/>
  <c r="AV56" i="29"/>
  <c r="X59" i="29"/>
  <c r="AC8" i="29"/>
  <c r="X63" i="29"/>
  <c r="AD9" i="29"/>
  <c r="X67" i="29"/>
  <c r="AB12" i="29"/>
  <c r="X47" i="30"/>
  <c r="AC6" i="30"/>
  <c r="AR6" i="30"/>
  <c r="X48" i="30"/>
  <c r="AD6" i="30"/>
  <c r="X51" i="30"/>
  <c r="AD7" i="30"/>
  <c r="AS7" i="30"/>
  <c r="X52" i="30"/>
  <c r="AB8" i="30"/>
  <c r="X55" i="30"/>
  <c r="AB9" i="30"/>
  <c r="X56" i="30"/>
  <c r="AC9" i="30"/>
  <c r="X59" i="30"/>
  <c r="AC11" i="30"/>
  <c r="AR11" i="30"/>
  <c r="X60" i="30"/>
  <c r="AD11" i="30"/>
  <c r="X63" i="30"/>
  <c r="AD13" i="30"/>
  <c r="X69" i="30"/>
  <c r="AG7" i="30"/>
  <c r="X70" i="30"/>
  <c r="AH7" i="30"/>
  <c r="X73" i="30"/>
  <c r="AH8" i="30"/>
  <c r="AM8" i="30"/>
  <c r="X77" i="30"/>
  <c r="AI9" i="30"/>
  <c r="AN9" i="30"/>
  <c r="X78" i="30"/>
  <c r="AG11" i="30"/>
  <c r="G14" i="31"/>
  <c r="X21" i="31"/>
  <c r="I16" i="32"/>
  <c r="H11" i="33"/>
  <c r="T13" i="33"/>
  <c r="AG13" i="33"/>
  <c r="AN62" i="33"/>
  <c r="AN7" i="33"/>
  <c r="AN64" i="33"/>
  <c r="AR139" i="33"/>
  <c r="AN68" i="33"/>
  <c r="AR141" i="33"/>
  <c r="AT141" i="33"/>
  <c r="AN70" i="33"/>
  <c r="AN72" i="33"/>
  <c r="AN76" i="33"/>
  <c r="AR144" i="33"/>
  <c r="AB98" i="33"/>
  <c r="BM100" i="33"/>
  <c r="AB104" i="33"/>
  <c r="AN123" i="33"/>
  <c r="AN126" i="33"/>
  <c r="BM129" i="33"/>
  <c r="I200" i="33"/>
  <c r="AV89" i="21"/>
  <c r="X100" i="21"/>
  <c r="DU11" i="22"/>
  <c r="DT23" i="22"/>
  <c r="AW76" i="22"/>
  <c r="Y83" i="22"/>
  <c r="Y94" i="22"/>
  <c r="AW103" i="22"/>
  <c r="I15" i="23"/>
  <c r="X16" i="23"/>
  <c r="Z14" i="24"/>
  <c r="T15" i="24"/>
  <c r="X75" i="27"/>
  <c r="AG10" i="27"/>
  <c r="X79" i="27"/>
  <c r="AH11" i="27"/>
  <c r="X83" i="27"/>
  <c r="AI12" i="27"/>
  <c r="X60" i="28"/>
  <c r="AC11" i="28"/>
  <c r="AM11" i="28"/>
  <c r="X70" i="28"/>
  <c r="AG8" i="28"/>
  <c r="X78" i="28"/>
  <c r="AI10" i="28"/>
  <c r="H15" i="29"/>
  <c r="X53" i="29"/>
  <c r="AC6" i="29"/>
  <c r="AM6" i="29"/>
  <c r="X73" i="29"/>
  <c r="AH6" i="29"/>
  <c r="X77" i="29"/>
  <c r="AI7" i="29"/>
  <c r="AS7" i="29"/>
  <c r="X81" i="29"/>
  <c r="AG9" i="29"/>
  <c r="X85" i="29"/>
  <c r="AH10" i="29"/>
  <c r="H17" i="30"/>
  <c r="G12" i="31"/>
  <c r="T7" i="33"/>
  <c r="U10" i="33"/>
  <c r="AB15" i="33"/>
  <c r="I13" i="33"/>
  <c r="AN58" i="33"/>
  <c r="AO6" i="33"/>
  <c r="AB60" i="33"/>
  <c r="AH7" i="33"/>
  <c r="AN60" i="33"/>
  <c r="AM7" i="33"/>
  <c r="AB81" i="33"/>
  <c r="AN81" i="33"/>
  <c r="AN83" i="33"/>
  <c r="AR147" i="33"/>
  <c r="AN85" i="33"/>
  <c r="AN87" i="33"/>
  <c r="AR150" i="33"/>
  <c r="AN89" i="33"/>
  <c r="AO11" i="33"/>
  <c r="AN91" i="33"/>
  <c r="AN95" i="33"/>
  <c r="AQ133" i="33"/>
  <c r="BM96" i="33"/>
  <c r="J200" i="33"/>
  <c r="DU6" i="22"/>
  <c r="DU22" i="22"/>
  <c r="Y67" i="22"/>
  <c r="AW79" i="22"/>
  <c r="Y87" i="22"/>
  <c r="Y91" i="22"/>
  <c r="Y102" i="22"/>
  <c r="AW111" i="22"/>
  <c r="F14" i="23"/>
  <c r="U14" i="23"/>
  <c r="V22" i="23"/>
  <c r="V16" i="24"/>
  <c r="I15" i="24"/>
  <c r="P16" i="24"/>
  <c r="R23" i="24"/>
  <c r="F15" i="25"/>
  <c r="U15" i="25"/>
  <c r="Q17" i="25"/>
  <c r="Q24" i="25"/>
  <c r="T16" i="27"/>
  <c r="H17" i="27"/>
  <c r="X47" i="27"/>
  <c r="AC7" i="27"/>
  <c r="X51" i="27"/>
  <c r="AD8" i="27"/>
  <c r="X76" i="27"/>
  <c r="AH10" i="27"/>
  <c r="P22" i="28"/>
  <c r="P24" i="28"/>
  <c r="X54" i="28"/>
  <c r="AC9" i="28"/>
  <c r="X57" i="28"/>
  <c r="AC10" i="28"/>
  <c r="X58" i="28"/>
  <c r="AD10" i="28"/>
  <c r="X61" i="28"/>
  <c r="AD11" i="28"/>
  <c r="X64" i="28"/>
  <c r="AG6" i="28"/>
  <c r="X67" i="28"/>
  <c r="AG7" i="28"/>
  <c r="X68" i="28"/>
  <c r="AH7" i="28"/>
  <c r="AR7" i="28"/>
  <c r="X71" i="28"/>
  <c r="AH8" i="28"/>
  <c r="AR8" i="28"/>
  <c r="X72" i="28"/>
  <c r="AI8" i="28"/>
  <c r="X75" i="28"/>
  <c r="AI9" i="28"/>
  <c r="X76" i="28"/>
  <c r="AG10" i="28"/>
  <c r="X79" i="28"/>
  <c r="AG11" i="28"/>
  <c r="X80" i="28"/>
  <c r="AH11" i="28"/>
  <c r="X55" i="29"/>
  <c r="AB7" i="29"/>
  <c r="X74" i="29"/>
  <c r="AI6" i="29"/>
  <c r="X82" i="29"/>
  <c r="AH9" i="29"/>
  <c r="R25" i="30"/>
  <c r="X82" i="30"/>
  <c r="AH13" i="30"/>
  <c r="X83" i="30"/>
  <c r="AI13" i="30"/>
  <c r="E19" i="31"/>
  <c r="O23" i="31"/>
  <c r="T6" i="33"/>
  <c r="AA7" i="33"/>
  <c r="H10" i="33"/>
  <c r="AF10" i="33"/>
  <c r="H13" i="33"/>
  <c r="P16" i="33"/>
  <c r="AB59" i="33"/>
  <c r="AB61" i="33"/>
  <c r="AB79" i="33"/>
  <c r="AN79" i="33"/>
  <c r="AR145" i="33"/>
  <c r="AT145" i="33"/>
  <c r="AB84" i="33"/>
  <c r="AJ10" i="33"/>
  <c r="AB88" i="33"/>
  <c r="AB92" i="33"/>
  <c r="AJ12" i="33"/>
  <c r="AB97" i="33"/>
  <c r="BM99" i="33"/>
  <c r="AB103" i="33"/>
  <c r="AB121" i="33"/>
  <c r="AN122" i="33"/>
  <c r="AQ148" i="33"/>
  <c r="BM122" i="33"/>
  <c r="AB124" i="33"/>
  <c r="AN124" i="33"/>
  <c r="AQ149" i="33"/>
  <c r="AN125" i="33"/>
  <c r="AQ150" i="33"/>
  <c r="AS150" i="33"/>
  <c r="BM125" i="33"/>
  <c r="AB127" i="33"/>
  <c r="AN127" i="33"/>
  <c r="AQ151" i="33"/>
  <c r="AN128" i="33"/>
  <c r="AQ152" i="33"/>
  <c r="AB129" i="33"/>
  <c r="L200" i="33"/>
  <c r="O200" i="33"/>
  <c r="AV108" i="21"/>
  <c r="X109" i="21"/>
  <c r="AV110" i="21"/>
  <c r="X111" i="21"/>
  <c r="DU19" i="22"/>
  <c r="Y73" i="22"/>
  <c r="Y77" i="22"/>
  <c r="Y81" i="22"/>
  <c r="Y84" i="22"/>
  <c r="Y97" i="22"/>
  <c r="Y104" i="22"/>
  <c r="Y113" i="22"/>
  <c r="AW115" i="22"/>
  <c r="Q24" i="24"/>
  <c r="R24" i="25"/>
  <c r="R28" i="25"/>
  <c r="F14" i="26"/>
  <c r="P25" i="27"/>
  <c r="X55" i="27"/>
  <c r="AB10" i="27"/>
  <c r="X62" i="27"/>
  <c r="AC12" i="27"/>
  <c r="X72" i="27"/>
  <c r="AG9" i="27"/>
  <c r="I15" i="28"/>
  <c r="W22" i="28"/>
  <c r="X45" i="28"/>
  <c r="AC6" i="28"/>
  <c r="X47" i="28"/>
  <c r="AB7" i="28"/>
  <c r="X49" i="28"/>
  <c r="AD7" i="28"/>
  <c r="AV51" i="28"/>
  <c r="D14" i="29"/>
  <c r="X60" i="29"/>
  <c r="AD8" i="29"/>
  <c r="X68" i="29"/>
  <c r="AC12" i="29"/>
  <c r="AM12" i="29"/>
  <c r="X50" i="30"/>
  <c r="AC7" i="30"/>
  <c r="AM7" i="30"/>
  <c r="X58" i="30"/>
  <c r="AB11" i="30"/>
  <c r="X68" i="30"/>
  <c r="AI6" i="30"/>
  <c r="AS6" i="30"/>
  <c r="X76" i="30"/>
  <c r="AH9" i="30"/>
  <c r="AR9" i="30"/>
  <c r="G13" i="31"/>
  <c r="T8" i="33"/>
  <c r="Z9" i="33"/>
  <c r="Z11" i="33"/>
  <c r="AN67" i="33"/>
  <c r="AN97" i="33"/>
  <c r="AQ135" i="33"/>
  <c r="AN98" i="33"/>
  <c r="AQ136" i="33"/>
  <c r="BM98" i="33"/>
  <c r="AB100" i="33"/>
  <c r="BM101" i="33"/>
  <c r="AB102" i="33"/>
  <c r="AN103" i="33"/>
  <c r="AN104" i="33"/>
  <c r="AQ139" i="33"/>
  <c r="BM104" i="33"/>
  <c r="AB106" i="33"/>
  <c r="AN107" i="33"/>
  <c r="BM109" i="33"/>
  <c r="AB111" i="33"/>
  <c r="AN112" i="33"/>
  <c r="AQ143" i="33"/>
  <c r="AB114" i="33"/>
  <c r="AN115" i="33"/>
  <c r="BM116" i="33"/>
  <c r="AN118" i="33"/>
  <c r="AQ146" i="33"/>
  <c r="AB120" i="33"/>
  <c r="DK6" i="22"/>
  <c r="DJ11" i="22"/>
  <c r="DK17" i="22"/>
  <c r="J21" i="22"/>
  <c r="AZ25" i="22"/>
  <c r="Y65" i="22"/>
  <c r="AW70" i="22"/>
  <c r="Y71" i="22"/>
  <c r="AW78" i="22"/>
  <c r="AW105" i="22"/>
  <c r="AW117" i="22"/>
  <c r="W16" i="23"/>
  <c r="X22" i="23"/>
  <c r="R24" i="23"/>
  <c r="R24" i="24"/>
  <c r="V18" i="27"/>
  <c r="Q25" i="27"/>
  <c r="Q26" i="27"/>
  <c r="X80" i="27"/>
  <c r="AI11" i="27"/>
  <c r="R24" i="28"/>
  <c r="X22" i="28"/>
  <c r="X55" i="28"/>
  <c r="AD9" i="28"/>
  <c r="AN9" i="28"/>
  <c r="X59" i="28"/>
  <c r="AB11" i="28"/>
  <c r="X65" i="28"/>
  <c r="AH6" i="28"/>
  <c r="AR6" i="28"/>
  <c r="X69" i="28"/>
  <c r="AI7" i="28"/>
  <c r="AS7" i="28"/>
  <c r="X73" i="28"/>
  <c r="AG9" i="28"/>
  <c r="X77" i="28"/>
  <c r="AH10" i="28"/>
  <c r="AR10" i="28"/>
  <c r="X81" i="28"/>
  <c r="AI11" i="28"/>
  <c r="AS11" i="28"/>
  <c r="X16" i="29"/>
  <c r="X52" i="29"/>
  <c r="AB6" i="29"/>
  <c r="AV53" i="29"/>
  <c r="X54" i="29"/>
  <c r="AD6" i="29"/>
  <c r="AN6" i="29"/>
  <c r="X78" i="29"/>
  <c r="AG8" i="29"/>
  <c r="X86" i="29"/>
  <c r="AI10" i="29"/>
  <c r="Q18" i="30"/>
  <c r="U15" i="33"/>
  <c r="U9" i="33"/>
  <c r="AN57" i="33"/>
  <c r="AR135" i="33"/>
  <c r="AB80" i="33"/>
  <c r="AH10" i="33"/>
  <c r="AB82" i="33"/>
  <c r="AI10" i="33"/>
  <c r="AB86" i="33"/>
  <c r="AI11" i="33"/>
  <c r="AB90" i="33"/>
  <c r="AH12" i="33"/>
  <c r="BM95" i="33"/>
  <c r="AN121" i="33"/>
  <c r="AB123" i="33"/>
  <c r="BM124" i="33"/>
  <c r="AB126" i="33"/>
  <c r="BM127" i="33"/>
  <c r="AN129" i="33"/>
  <c r="AQ153" i="33"/>
  <c r="B199" i="33"/>
  <c r="B200" i="33"/>
  <c r="AV109" i="21"/>
  <c r="AV111" i="21"/>
  <c r="Y76" i="22"/>
  <c r="Y80" i="22"/>
  <c r="AW98" i="22"/>
  <c r="Y100" i="22"/>
  <c r="AW109" i="22"/>
  <c r="AW110" i="22"/>
  <c r="D14" i="23"/>
  <c r="P18" i="23"/>
  <c r="X17" i="25"/>
  <c r="W16" i="26"/>
  <c r="X46" i="27"/>
  <c r="AB7" i="27"/>
  <c r="AV47" i="27"/>
  <c r="X48" i="27"/>
  <c r="AD7" i="27"/>
  <c r="AS7" i="27"/>
  <c r="AV49" i="27"/>
  <c r="X50" i="27"/>
  <c r="AC8" i="27"/>
  <c r="AM8" i="27"/>
  <c r="AV51" i="27"/>
  <c r="X52" i="27"/>
  <c r="AB9" i="27"/>
  <c r="AV53" i="27"/>
  <c r="X54" i="27"/>
  <c r="AD9" i="27"/>
  <c r="X56" i="27"/>
  <c r="AC10" i="27"/>
  <c r="AM10" i="27"/>
  <c r="X57" i="27"/>
  <c r="AD10" i="27"/>
  <c r="X59" i="27"/>
  <c r="AC11" i="27"/>
  <c r="X60" i="27"/>
  <c r="AD11" i="27"/>
  <c r="X63" i="27"/>
  <c r="AD12" i="27"/>
  <c r="X66" i="27"/>
  <c r="AG7" i="27"/>
  <c r="X69" i="27"/>
  <c r="AG8" i="27"/>
  <c r="X70" i="27"/>
  <c r="AH8" i="27"/>
  <c r="X56" i="29"/>
  <c r="AC7" i="29"/>
  <c r="AM7" i="29"/>
  <c r="AV57" i="29"/>
  <c r="X58" i="29"/>
  <c r="AB8" i="29"/>
  <c r="X61" i="29"/>
  <c r="AB9" i="29"/>
  <c r="X62" i="29"/>
  <c r="AC9" i="29"/>
  <c r="X65" i="29"/>
  <c r="AC10" i="29"/>
  <c r="X66" i="29"/>
  <c r="AD10" i="29"/>
  <c r="V18" i="30"/>
  <c r="X46" i="30"/>
  <c r="AB6" i="30"/>
  <c r="X54" i="30"/>
  <c r="AD8" i="30"/>
  <c r="AS8" i="30"/>
  <c r="X62" i="30"/>
  <c r="AC13" i="30"/>
  <c r="AM13" i="30"/>
  <c r="X72" i="30"/>
  <c r="AG8" i="30"/>
  <c r="X80" i="30"/>
  <c r="AI11" i="30"/>
  <c r="F16" i="31"/>
  <c r="Q15" i="33"/>
  <c r="T9" i="33"/>
  <c r="I10" i="33"/>
  <c r="W15" i="33"/>
  <c r="AF12" i="33"/>
  <c r="Z13" i="33"/>
  <c r="AN61" i="33"/>
  <c r="AR137" i="33"/>
  <c r="AN65" i="33"/>
  <c r="AM8" i="33"/>
  <c r="AB66" i="33"/>
  <c r="AI8" i="33"/>
  <c r="AB68" i="33"/>
  <c r="AN69" i="33"/>
  <c r="AO8" i="33"/>
  <c r="AB70" i="33"/>
  <c r="AB72" i="33"/>
  <c r="AN73" i="33"/>
  <c r="AR143" i="33"/>
  <c r="AT143" i="33"/>
  <c r="AB76" i="33"/>
  <c r="AN77" i="33"/>
  <c r="AO9" i="33"/>
  <c r="AN82" i="33"/>
  <c r="AN86" i="33"/>
  <c r="AN90" i="33"/>
  <c r="AB96" i="33"/>
  <c r="BM97" i="33"/>
  <c r="AB99" i="33"/>
  <c r="AN100" i="33"/>
  <c r="AQ137" i="33"/>
  <c r="AN102" i="33"/>
  <c r="AQ138" i="33"/>
  <c r="BM103" i="33"/>
  <c r="AN106" i="33"/>
  <c r="AQ140" i="33"/>
  <c r="AB110" i="33"/>
  <c r="BM112" i="33"/>
  <c r="BM115" i="33"/>
  <c r="BM118" i="33"/>
  <c r="D199" i="33"/>
  <c r="X113" i="21"/>
  <c r="AV113" i="21"/>
  <c r="DK9" i="22"/>
  <c r="Y69" i="22"/>
  <c r="AW73" i="22"/>
  <c r="AW81" i="22"/>
  <c r="Y85" i="22"/>
  <c r="AW95" i="22"/>
  <c r="AW104" i="22"/>
  <c r="AW107" i="22"/>
  <c r="AW108" i="22"/>
  <c r="AW113" i="22"/>
  <c r="U15" i="23"/>
  <c r="R23" i="23"/>
  <c r="F14" i="24"/>
  <c r="V22" i="24"/>
  <c r="P24" i="24"/>
  <c r="I16" i="25"/>
  <c r="I15" i="26"/>
  <c r="X17" i="26"/>
  <c r="D16" i="27"/>
  <c r="X19" i="27"/>
  <c r="P18" i="27"/>
  <c r="X74" i="27"/>
  <c r="AI9" i="27"/>
  <c r="X77" i="27"/>
  <c r="AI10" i="27"/>
  <c r="X78" i="27"/>
  <c r="AG11" i="27"/>
  <c r="X81" i="27"/>
  <c r="AG12" i="27"/>
  <c r="X82" i="27"/>
  <c r="AH12" i="27"/>
  <c r="AV45" i="28"/>
  <c r="AV47" i="28"/>
  <c r="AV49" i="28"/>
  <c r="X52" i="28"/>
  <c r="AD8" i="28"/>
  <c r="F14" i="29"/>
  <c r="W16" i="29"/>
  <c r="AV52" i="29"/>
  <c r="AV54" i="29"/>
  <c r="X72" i="29"/>
  <c r="AG6" i="29"/>
  <c r="X75" i="29"/>
  <c r="AG7" i="29"/>
  <c r="X76" i="29"/>
  <c r="AH7" i="29"/>
  <c r="X79" i="29"/>
  <c r="AH8" i="29"/>
  <c r="X80" i="29"/>
  <c r="AI8" i="29"/>
  <c r="X83" i="29"/>
  <c r="AI9" i="29"/>
  <c r="X84" i="29"/>
  <c r="AG10" i="29"/>
  <c r="F16" i="30"/>
  <c r="I10" i="30"/>
  <c r="W18" i="30"/>
  <c r="W19" i="30"/>
  <c r="F13" i="31"/>
  <c r="F18" i="31"/>
  <c r="E15" i="33"/>
  <c r="W19" i="33"/>
  <c r="X15" i="33"/>
  <c r="I12" i="33"/>
  <c r="AN55" i="33"/>
  <c r="AR133" i="33"/>
  <c r="AT133" i="33"/>
  <c r="AB58" i="33"/>
  <c r="AJ6" i="33"/>
  <c r="AB83" i="33"/>
  <c r="AN84" i="33"/>
  <c r="AO10" i="33"/>
  <c r="AB85" i="33"/>
  <c r="AH11" i="33"/>
  <c r="AB87" i="33"/>
  <c r="AN88" i="33"/>
  <c r="AB89" i="33"/>
  <c r="AJ11" i="33"/>
  <c r="AB91" i="33"/>
  <c r="AI12" i="33"/>
  <c r="AL12" i="33"/>
  <c r="AN92" i="33"/>
  <c r="AB95" i="33"/>
  <c r="AN96" i="33"/>
  <c r="AQ134" i="33"/>
  <c r="AB105" i="33"/>
  <c r="AB108" i="33"/>
  <c r="AN111" i="33"/>
  <c r="AN114" i="33"/>
  <c r="AQ144" i="33"/>
  <c r="AB117" i="33"/>
  <c r="AN120" i="33"/>
  <c r="AQ147" i="33"/>
  <c r="AB122" i="33"/>
  <c r="AB125" i="33"/>
  <c r="AB128" i="33"/>
  <c r="Q20" i="33"/>
  <c r="Q19" i="33"/>
  <c r="AA6" i="33"/>
  <c r="Z6" i="33"/>
  <c r="F15" i="33"/>
  <c r="Q17" i="33"/>
  <c r="K21" i="33"/>
  <c r="AB56" i="33"/>
  <c r="AI6" i="33"/>
  <c r="AB62" i="33"/>
  <c r="AI7" i="33"/>
  <c r="AB64" i="33"/>
  <c r="AN71" i="33"/>
  <c r="AR148" i="33"/>
  <c r="AT148" i="33"/>
  <c r="AM11" i="33"/>
  <c r="AT150" i="33"/>
  <c r="AU150" i="33"/>
  <c r="AR152" i="33"/>
  <c r="AT152" i="33"/>
  <c r="AN12" i="33"/>
  <c r="AM6" i="33"/>
  <c r="L21" i="33"/>
  <c r="R17" i="33"/>
  <c r="AA10" i="33"/>
  <c r="AN75" i="33"/>
  <c r="AS141" i="33"/>
  <c r="AU141" i="33"/>
  <c r="AS145" i="33"/>
  <c r="W18" i="33"/>
  <c r="W17" i="33"/>
  <c r="AD18" i="33"/>
  <c r="AD17" i="33"/>
  <c r="AR134" i="33"/>
  <c r="AT134" i="33"/>
  <c r="AN6" i="33"/>
  <c r="AS148" i="33"/>
  <c r="AG6" i="33"/>
  <c r="X18" i="33"/>
  <c r="X17" i="33"/>
  <c r="I14" i="33"/>
  <c r="D16" i="33"/>
  <c r="H14" i="33"/>
  <c r="P17" i="33"/>
  <c r="J21" i="33"/>
  <c r="U16" i="33"/>
  <c r="T16" i="33"/>
  <c r="AN66" i="33"/>
  <c r="AB74" i="33"/>
  <c r="AI9" i="33"/>
  <c r="AS135" i="33"/>
  <c r="AS139" i="33"/>
  <c r="P200" i="33"/>
  <c r="P201" i="33"/>
  <c r="AF6" i="33"/>
  <c r="AG8" i="33"/>
  <c r="AF8" i="33"/>
  <c r="AA12" i="33"/>
  <c r="AB55" i="33"/>
  <c r="AH6" i="33"/>
  <c r="AB57" i="33"/>
  <c r="AB63" i="33"/>
  <c r="AJ7" i="33"/>
  <c r="AB65" i="33"/>
  <c r="AH8" i="33"/>
  <c r="AK10" i="33"/>
  <c r="AL10" i="33"/>
  <c r="AK12" i="33"/>
  <c r="T15" i="33"/>
  <c r="AB18" i="33"/>
  <c r="AB17" i="33"/>
  <c r="AN59" i="33"/>
  <c r="AR136" i="33"/>
  <c r="AT136" i="33"/>
  <c r="AB69" i="33"/>
  <c r="AJ8" i="33"/>
  <c r="AN74" i="33"/>
  <c r="AN9" i="33"/>
  <c r="AB78" i="33"/>
  <c r="AN78" i="33"/>
  <c r="AR146" i="33"/>
  <c r="AT146" i="33"/>
  <c r="AN10" i="33"/>
  <c r="AN11" i="33"/>
  <c r="AR149" i="33"/>
  <c r="AT149" i="33"/>
  <c r="AS137" i="33"/>
  <c r="D200" i="33"/>
  <c r="S200" i="33"/>
  <c r="AN63" i="33"/>
  <c r="AB71" i="33"/>
  <c r="AH9" i="33"/>
  <c r="AB73" i="33"/>
  <c r="AN80" i="33"/>
  <c r="AM10" i="33"/>
  <c r="AL11" i="33"/>
  <c r="AK11" i="33"/>
  <c r="AR153" i="33"/>
  <c r="AT153" i="33"/>
  <c r="AO12" i="33"/>
  <c r="AS144" i="33"/>
  <c r="AS147" i="33"/>
  <c r="F200" i="33"/>
  <c r="T200" i="33"/>
  <c r="T201" i="33"/>
  <c r="D15" i="33"/>
  <c r="AC15" i="33"/>
  <c r="AC19" i="33"/>
  <c r="V15" i="33"/>
  <c r="AF7" i="33"/>
  <c r="Z10" i="33"/>
  <c r="Z12" i="33"/>
  <c r="C199" i="33"/>
  <c r="C200" i="33"/>
  <c r="Z7" i="33"/>
  <c r="AF9" i="33"/>
  <c r="T10" i="33"/>
  <c r="AF11" i="33"/>
  <c r="T12" i="33"/>
  <c r="AF13" i="33"/>
  <c r="I18" i="32"/>
  <c r="H18" i="32"/>
  <c r="F17" i="32"/>
  <c r="H14" i="32"/>
  <c r="H15" i="32"/>
  <c r="H16" i="32"/>
  <c r="I15" i="32"/>
  <c r="D17" i="32"/>
  <c r="O21" i="31"/>
  <c r="J25" i="31"/>
  <c r="Y22" i="31"/>
  <c r="G20" i="31"/>
  <c r="F20" i="31"/>
  <c r="M20" i="31"/>
  <c r="X22" i="31"/>
  <c r="Y24" i="31"/>
  <c r="AA19" i="31"/>
  <c r="W21" i="31"/>
  <c r="N24" i="31"/>
  <c r="F15" i="31"/>
  <c r="O24" i="31"/>
  <c r="F12" i="31"/>
  <c r="C19" i="31"/>
  <c r="P19" i="31"/>
  <c r="I25" i="31"/>
  <c r="N23" i="31"/>
  <c r="AA18" i="30"/>
  <c r="Z18" i="30"/>
  <c r="AF6" i="30"/>
  <c r="AE6" i="30"/>
  <c r="AL6" i="30"/>
  <c r="AN8" i="30"/>
  <c r="AJ8" i="30"/>
  <c r="AQ8" i="30"/>
  <c r="AK8" i="30"/>
  <c r="AS11" i="30"/>
  <c r="R20" i="30"/>
  <c r="X21" i="30"/>
  <c r="X20" i="30"/>
  <c r="R21" i="30"/>
  <c r="P26" i="30"/>
  <c r="AM6" i="30"/>
  <c r="AN6" i="30"/>
  <c r="AN7" i="30"/>
  <c r="AL8" i="30"/>
  <c r="AF8" i="30"/>
  <c r="AE8" i="30"/>
  <c r="AE9" i="30"/>
  <c r="AL9" i="30"/>
  <c r="AF9" i="30"/>
  <c r="AM9" i="30"/>
  <c r="AM11" i="30"/>
  <c r="AK7" i="30"/>
  <c r="AJ7" i="30"/>
  <c r="AQ7" i="30"/>
  <c r="AR7" i="30"/>
  <c r="AR8" i="30"/>
  <c r="AS9" i="30"/>
  <c r="AK11" i="30"/>
  <c r="AJ11" i="30"/>
  <c r="AQ11" i="30"/>
  <c r="AJ13" i="30"/>
  <c r="AQ13" i="30"/>
  <c r="AK13" i="30"/>
  <c r="AJ6" i="30"/>
  <c r="AK6" i="30"/>
  <c r="AQ6" i="30"/>
  <c r="AE7" i="30"/>
  <c r="AF7" i="30"/>
  <c r="AL7" i="30"/>
  <c r="AF13" i="30"/>
  <c r="AE13" i="30"/>
  <c r="AL13" i="30"/>
  <c r="AK9" i="30"/>
  <c r="AJ9" i="30"/>
  <c r="AQ9" i="30"/>
  <c r="AR13" i="30"/>
  <c r="AS13" i="30"/>
  <c r="AL11" i="30"/>
  <c r="AF11" i="30"/>
  <c r="AE11" i="30"/>
  <c r="I17" i="30"/>
  <c r="R18" i="30"/>
  <c r="T18" i="30"/>
  <c r="V19" i="30"/>
  <c r="Z16" i="30"/>
  <c r="X19" i="30"/>
  <c r="K22" i="30"/>
  <c r="W24" i="30"/>
  <c r="Q26" i="30"/>
  <c r="AA16" i="30"/>
  <c r="X24" i="30"/>
  <c r="R26" i="30"/>
  <c r="J22" i="30"/>
  <c r="H10" i="30"/>
  <c r="T17" i="30"/>
  <c r="P25" i="30"/>
  <c r="D16" i="30"/>
  <c r="U17" i="30"/>
  <c r="E16" i="30"/>
  <c r="AA16" i="29"/>
  <c r="Z16" i="29"/>
  <c r="P18" i="29"/>
  <c r="V19" i="29"/>
  <c r="P19" i="29"/>
  <c r="V18" i="29"/>
  <c r="AF6" i="29"/>
  <c r="AE6" i="29"/>
  <c r="AL6" i="29"/>
  <c r="AQ8" i="29"/>
  <c r="AK8" i="29"/>
  <c r="AJ8" i="29"/>
  <c r="AF8" i="29"/>
  <c r="AE8" i="29"/>
  <c r="AL8" i="29"/>
  <c r="AF9" i="29"/>
  <c r="AE9" i="29"/>
  <c r="AL9" i="29"/>
  <c r="AM9" i="29"/>
  <c r="AM10" i="29"/>
  <c r="AN10" i="29"/>
  <c r="AQ6" i="29"/>
  <c r="AK6" i="29"/>
  <c r="AJ6" i="29"/>
  <c r="AJ7" i="29"/>
  <c r="AQ7" i="29"/>
  <c r="AK7" i="29"/>
  <c r="AR7" i="29"/>
  <c r="AR8" i="29"/>
  <c r="AS8" i="29"/>
  <c r="AS9" i="29"/>
  <c r="AK10" i="29"/>
  <c r="AJ10" i="29"/>
  <c r="AQ10" i="29"/>
  <c r="AQ12" i="29"/>
  <c r="AK12" i="29"/>
  <c r="AJ12" i="29"/>
  <c r="AF12" i="29"/>
  <c r="AE12" i="29"/>
  <c r="AL12" i="29"/>
  <c r="AR6" i="29"/>
  <c r="AJ9" i="29"/>
  <c r="AK9" i="29"/>
  <c r="AQ9" i="29"/>
  <c r="R26" i="29"/>
  <c r="AN7" i="29"/>
  <c r="AE10" i="29"/>
  <c r="AL10" i="29"/>
  <c r="AF10" i="29"/>
  <c r="AR12" i="29"/>
  <c r="AL7" i="29"/>
  <c r="AF7" i="29"/>
  <c r="AE7" i="29"/>
  <c r="AS6" i="29"/>
  <c r="R18" i="29"/>
  <c r="E14" i="29"/>
  <c r="I14" i="29"/>
  <c r="U14" i="29"/>
  <c r="P16" i="29"/>
  <c r="X19" i="29"/>
  <c r="P22" i="29"/>
  <c r="R23" i="29"/>
  <c r="R27" i="29"/>
  <c r="R16" i="29"/>
  <c r="V17" i="29"/>
  <c r="Q24" i="29"/>
  <c r="R19" i="29"/>
  <c r="J20" i="29"/>
  <c r="V22" i="29"/>
  <c r="V26" i="29"/>
  <c r="Z14" i="29"/>
  <c r="X17" i="29"/>
  <c r="K20" i="29"/>
  <c r="AA14" i="29"/>
  <c r="Q26" i="29"/>
  <c r="X18" i="29"/>
  <c r="AN8" i="28"/>
  <c r="X18" i="28"/>
  <c r="R19" i="28"/>
  <c r="X19" i="28"/>
  <c r="R18" i="28"/>
  <c r="AJ8" i="28"/>
  <c r="AK8" i="28"/>
  <c r="AQ8" i="28"/>
  <c r="AL6" i="28"/>
  <c r="AF6" i="28"/>
  <c r="AE6" i="28"/>
  <c r="AN6" i="28"/>
  <c r="AM7" i="28"/>
  <c r="AF8" i="28"/>
  <c r="AE8" i="28"/>
  <c r="AL8" i="28"/>
  <c r="AM8" i="28"/>
  <c r="AF9" i="28"/>
  <c r="AE9" i="28"/>
  <c r="AL9" i="28"/>
  <c r="AF10" i="28"/>
  <c r="AL10" i="28"/>
  <c r="AE10" i="28"/>
  <c r="Z16" i="28"/>
  <c r="AA16" i="28"/>
  <c r="AM9" i="28"/>
  <c r="AM10" i="28"/>
  <c r="AN10" i="28"/>
  <c r="AN11" i="28"/>
  <c r="AK6" i="28"/>
  <c r="AJ6" i="28"/>
  <c r="AQ6" i="28"/>
  <c r="AQ7" i="28"/>
  <c r="AK7" i="28"/>
  <c r="AJ7" i="28"/>
  <c r="AS9" i="28"/>
  <c r="AJ10" i="28"/>
  <c r="AQ10" i="28"/>
  <c r="AK10" i="28"/>
  <c r="AQ11" i="28"/>
  <c r="AK11" i="28"/>
  <c r="AJ11" i="28"/>
  <c r="AR11" i="28"/>
  <c r="AF7" i="28"/>
  <c r="AE7" i="28"/>
  <c r="AL7" i="28"/>
  <c r="AN7" i="28"/>
  <c r="AF11" i="28"/>
  <c r="AE11" i="28"/>
  <c r="AL11" i="28"/>
  <c r="AQ9" i="28"/>
  <c r="AK9" i="28"/>
  <c r="AJ9" i="28"/>
  <c r="D14" i="28"/>
  <c r="T14" i="28"/>
  <c r="U15" i="28"/>
  <c r="Q23" i="28"/>
  <c r="E14" i="28"/>
  <c r="H15" i="28"/>
  <c r="Q16" i="28"/>
  <c r="Q22" i="28"/>
  <c r="Q24" i="28"/>
  <c r="T24" i="28"/>
  <c r="R16" i="28"/>
  <c r="U16" i="28"/>
  <c r="V17" i="28"/>
  <c r="X17" i="28"/>
  <c r="K20" i="28"/>
  <c r="N20" i="28"/>
  <c r="AF8" i="27"/>
  <c r="AE8" i="27"/>
  <c r="AL8" i="27"/>
  <c r="AL11" i="27"/>
  <c r="AF11" i="27"/>
  <c r="AE11" i="27"/>
  <c r="AM7" i="27"/>
  <c r="AN8" i="27"/>
  <c r="AR10" i="27"/>
  <c r="AF7" i="27"/>
  <c r="AE7" i="27"/>
  <c r="AL7" i="27"/>
  <c r="AN7" i="27"/>
  <c r="AF9" i="27"/>
  <c r="AE9" i="27"/>
  <c r="AL9" i="27"/>
  <c r="AM11" i="27"/>
  <c r="AN11" i="27"/>
  <c r="AN12" i="27"/>
  <c r="AJ7" i="27"/>
  <c r="AQ7" i="27"/>
  <c r="AK7" i="27"/>
  <c r="AQ8" i="27"/>
  <c r="AK8" i="27"/>
  <c r="AJ8" i="27"/>
  <c r="AR8" i="27"/>
  <c r="AK9" i="27"/>
  <c r="AJ9" i="27"/>
  <c r="AQ9" i="27"/>
  <c r="P20" i="27"/>
  <c r="V21" i="27"/>
  <c r="V20" i="27"/>
  <c r="P21" i="27"/>
  <c r="AS9" i="27"/>
  <c r="AS10" i="27"/>
  <c r="AK11" i="27"/>
  <c r="AJ11" i="27"/>
  <c r="AQ11" i="27"/>
  <c r="AQ12" i="27"/>
  <c r="AK12" i="27"/>
  <c r="AJ12" i="27"/>
  <c r="AR12" i="27"/>
  <c r="AE10" i="27"/>
  <c r="AL10" i="27"/>
  <c r="AF10" i="27"/>
  <c r="AF12" i="27"/>
  <c r="AE12" i="27"/>
  <c r="AL12" i="27"/>
  <c r="AK10" i="27"/>
  <c r="AJ10" i="27"/>
  <c r="AQ10" i="27"/>
  <c r="E16" i="27"/>
  <c r="H16" i="27"/>
  <c r="U16" i="27"/>
  <c r="X21" i="27"/>
  <c r="R25" i="27"/>
  <c r="R20" i="27"/>
  <c r="R18" i="27"/>
  <c r="U18" i="27"/>
  <c r="V19" i="27"/>
  <c r="R24" i="27"/>
  <c r="T18" i="27"/>
  <c r="W19" i="27"/>
  <c r="R21" i="27"/>
  <c r="V24" i="27"/>
  <c r="P26" i="27"/>
  <c r="Z16" i="27"/>
  <c r="AA16" i="27"/>
  <c r="L22" i="27"/>
  <c r="O22" i="27"/>
  <c r="T17" i="27"/>
  <c r="W18" i="27"/>
  <c r="AA18" i="27"/>
  <c r="R19" i="26"/>
  <c r="X18" i="26"/>
  <c r="R18" i="26"/>
  <c r="X19" i="26"/>
  <c r="N20" i="26"/>
  <c r="O20" i="26"/>
  <c r="P24" i="26"/>
  <c r="R24" i="26"/>
  <c r="D14" i="26"/>
  <c r="T14" i="26"/>
  <c r="U15" i="26"/>
  <c r="X16" i="26"/>
  <c r="AA16" i="26"/>
  <c r="Q23" i="26"/>
  <c r="Q24" i="26"/>
  <c r="E14" i="26"/>
  <c r="U14" i="26"/>
  <c r="P16" i="26"/>
  <c r="H15" i="26"/>
  <c r="Q16" i="26"/>
  <c r="R16" i="26"/>
  <c r="V17" i="26"/>
  <c r="V22" i="26"/>
  <c r="R27" i="25"/>
  <c r="AA17" i="25"/>
  <c r="Z17" i="25"/>
  <c r="T17" i="25"/>
  <c r="R19" i="25"/>
  <c r="X20" i="25"/>
  <c r="X19" i="25"/>
  <c r="R20" i="25"/>
  <c r="R17" i="25"/>
  <c r="U17" i="25"/>
  <c r="V18" i="25"/>
  <c r="Q25" i="25"/>
  <c r="J21" i="25"/>
  <c r="Z15" i="25"/>
  <c r="X18" i="25"/>
  <c r="K21" i="25"/>
  <c r="P27" i="25"/>
  <c r="AA15" i="25"/>
  <c r="X23" i="25"/>
  <c r="X27" i="25"/>
  <c r="T16" i="25"/>
  <c r="P24" i="25"/>
  <c r="P28" i="25"/>
  <c r="D15" i="25"/>
  <c r="U16" i="25"/>
  <c r="E15" i="25"/>
  <c r="O20" i="24"/>
  <c r="N20" i="24"/>
  <c r="W18" i="24"/>
  <c r="Q19" i="24"/>
  <c r="Q18" i="24"/>
  <c r="W19" i="24"/>
  <c r="R19" i="24"/>
  <c r="X18" i="24"/>
  <c r="R18" i="24"/>
  <c r="X19" i="24"/>
  <c r="T14" i="24"/>
  <c r="U14" i="24"/>
  <c r="X16" i="24"/>
  <c r="AA16" i="24"/>
  <c r="H15" i="24"/>
  <c r="Q16" i="24"/>
  <c r="T16" i="24"/>
  <c r="P19" i="24"/>
  <c r="P18" i="24"/>
  <c r="H14" i="24"/>
  <c r="R16" i="24"/>
  <c r="U16" i="24"/>
  <c r="I14" i="24"/>
  <c r="W17" i="24"/>
  <c r="Z17" i="24"/>
  <c r="X17" i="24"/>
  <c r="Q19" i="23"/>
  <c r="W19" i="23"/>
  <c r="Q18" i="23"/>
  <c r="W18" i="23"/>
  <c r="AA16" i="23"/>
  <c r="Z16" i="23"/>
  <c r="R19" i="23"/>
  <c r="X19" i="23"/>
  <c r="R18" i="23"/>
  <c r="X18" i="23"/>
  <c r="O20" i="23"/>
  <c r="N20" i="23"/>
  <c r="T15" i="23"/>
  <c r="V19" i="23"/>
  <c r="P23" i="23"/>
  <c r="P24" i="23"/>
  <c r="H15" i="23"/>
  <c r="Q16" i="23"/>
  <c r="P19" i="23"/>
  <c r="H14" i="23"/>
  <c r="R16" i="23"/>
  <c r="I14" i="23"/>
  <c r="W17" i="23"/>
  <c r="Z17" i="23"/>
  <c r="X17" i="23"/>
  <c r="AA17" i="23"/>
  <c r="V18" i="23"/>
  <c r="DU17" i="22"/>
  <c r="DT17" i="22"/>
  <c r="DT19" i="22"/>
  <c r="AW75" i="22"/>
  <c r="AW99" i="22"/>
  <c r="Y101" i="22"/>
  <c r="Y106" i="22"/>
  <c r="AM26" i="22"/>
  <c r="CH6" i="22"/>
  <c r="DU9" i="22"/>
  <c r="DT9" i="22"/>
  <c r="Y66" i="22"/>
  <c r="AW74" i="22"/>
  <c r="Y105" i="22"/>
  <c r="AW112" i="22"/>
  <c r="Y116" i="22"/>
  <c r="CI4" i="22"/>
  <c r="Y82" i="22"/>
  <c r="Y95" i="22"/>
  <c r="Y111" i="22"/>
  <c r="AB26" i="22"/>
  <c r="AF25" i="22"/>
  <c r="AE25" i="22"/>
  <c r="P26" i="22"/>
  <c r="G24" i="22"/>
  <c r="F24" i="22"/>
  <c r="E24" i="22"/>
  <c r="CI3" i="22"/>
  <c r="CI22" i="22"/>
  <c r="DU7" i="22"/>
  <c r="DK23" i="22"/>
  <c r="DJ23" i="22"/>
  <c r="Y72" i="22"/>
  <c r="AW80" i="22"/>
  <c r="Y86" i="22"/>
  <c r="Y92" i="22"/>
  <c r="Y93" i="22"/>
  <c r="Y103" i="22"/>
  <c r="Y107" i="22"/>
  <c r="Y109" i="22"/>
  <c r="AW116" i="22"/>
  <c r="CI10" i="22"/>
  <c r="CI16" i="22"/>
  <c r="J23" i="22"/>
  <c r="I23" i="22"/>
  <c r="AX26" i="22"/>
  <c r="Y64" i="22"/>
  <c r="AW114" i="22"/>
  <c r="DK15" i="22"/>
  <c r="J18" i="22"/>
  <c r="I18" i="22"/>
  <c r="Y68" i="22"/>
  <c r="J15" i="22"/>
  <c r="I15" i="22"/>
  <c r="AZ26" i="22"/>
  <c r="AW77" i="22"/>
  <c r="Y96" i="22"/>
  <c r="Y98" i="22"/>
  <c r="AW100" i="22"/>
  <c r="I19" i="22"/>
  <c r="AE24" i="22"/>
  <c r="AO25" i="22"/>
  <c r="AQ25" i="22"/>
  <c r="AY26" i="22"/>
  <c r="DJ15" i="22"/>
  <c r="J17" i="22"/>
  <c r="I20" i="22"/>
  <c r="I22" i="22"/>
  <c r="BA24" i="22"/>
  <c r="DT7" i="22"/>
  <c r="J20" i="22"/>
  <c r="J22" i="22"/>
  <c r="BB24" i="22"/>
  <c r="AX25" i="22"/>
  <c r="AQ7" i="21"/>
  <c r="AP7" i="21"/>
  <c r="AH7" i="21"/>
  <c r="AW7" i="21"/>
  <c r="AJ9" i="21"/>
  <c r="AT9" i="21"/>
  <c r="AQ11" i="21"/>
  <c r="AP11" i="21"/>
  <c r="AW11" i="21"/>
  <c r="AI8" i="21"/>
  <c r="AS8" i="21"/>
  <c r="V29" i="21"/>
  <c r="P29" i="21"/>
  <c r="V28" i="21"/>
  <c r="P28" i="21"/>
  <c r="AR11" i="21"/>
  <c r="AP9" i="21"/>
  <c r="AQ9" i="21"/>
  <c r="AQ10" i="21"/>
  <c r="AP10" i="21"/>
  <c r="AY11" i="21"/>
  <c r="AI6" i="21"/>
  <c r="AS6" i="21"/>
  <c r="AI7" i="21"/>
  <c r="AS7" i="21"/>
  <c r="AJ7" i="21"/>
  <c r="AT7" i="21"/>
  <c r="AH9" i="21"/>
  <c r="AH10" i="21"/>
  <c r="AI10" i="21"/>
  <c r="AS10" i="21"/>
  <c r="AI11" i="21"/>
  <c r="AS11" i="21"/>
  <c r="AH20" i="21"/>
  <c r="AQ6" i="21"/>
  <c r="AP6" i="21"/>
  <c r="AY7" i="21"/>
  <c r="AX20" i="21"/>
  <c r="AH6" i="21"/>
  <c r="AW6" i="21"/>
  <c r="AJ8" i="21"/>
  <c r="AT8" i="21"/>
  <c r="I25" i="21"/>
  <c r="H25" i="21"/>
  <c r="O30" i="21"/>
  <c r="N30" i="21"/>
  <c r="AQ8" i="21"/>
  <c r="AP8" i="21"/>
  <c r="AQ20" i="21"/>
  <c r="AP20" i="21"/>
  <c r="AJ6" i="21"/>
  <c r="AT6" i="21"/>
  <c r="AH8" i="21"/>
  <c r="AI9" i="21"/>
  <c r="AS9" i="21"/>
  <c r="AJ10" i="21"/>
  <c r="AT10" i="21"/>
  <c r="AJ20" i="21"/>
  <c r="AT20" i="21"/>
  <c r="E24" i="21"/>
  <c r="H24" i="21"/>
  <c r="P26" i="21"/>
  <c r="H16" i="21"/>
  <c r="H21" i="21"/>
  <c r="H22" i="21"/>
  <c r="H23" i="21"/>
  <c r="I23" i="21"/>
  <c r="P33" i="21"/>
  <c r="P34" i="21"/>
  <c r="T25" i="21"/>
  <c r="U25" i="21"/>
  <c r="U24" i="24"/>
  <c r="T24" i="24"/>
  <c r="CI8" i="22"/>
  <c r="AR151" i="33"/>
  <c r="AT151" i="33"/>
  <c r="AM12" i="33"/>
  <c r="AQ12" i="33"/>
  <c r="AM6" i="28"/>
  <c r="AR9" i="29"/>
  <c r="AT147" i="33"/>
  <c r="AU147" i="33"/>
  <c r="AT139" i="33"/>
  <c r="AM8" i="29"/>
  <c r="AS8" i="27"/>
  <c r="CI12" i="22"/>
  <c r="CI9" i="22"/>
  <c r="T16" i="23"/>
  <c r="AU144" i="33"/>
  <c r="AY145" i="33"/>
  <c r="AS146" i="33"/>
  <c r="AU146" i="33"/>
  <c r="AL7" i="33"/>
  <c r="W20" i="33"/>
  <c r="AN9" i="27"/>
  <c r="AR7" i="27"/>
  <c r="AX10" i="21"/>
  <c r="AX7" i="21"/>
  <c r="CI19" i="22"/>
  <c r="CI18" i="22"/>
  <c r="O20" i="28"/>
  <c r="U18" i="30"/>
  <c r="AG15" i="33"/>
  <c r="AS143" i="33"/>
  <c r="AU143" i="33"/>
  <c r="AT135" i="33"/>
  <c r="AY133" i="33"/>
  <c r="AS10" i="28"/>
  <c r="AN8" i="29"/>
  <c r="AS151" i="33"/>
  <c r="AS12" i="29"/>
  <c r="AK11" i="21"/>
  <c r="AT137" i="33"/>
  <c r="AU137" i="33"/>
  <c r="AM12" i="27"/>
  <c r="AR10" i="29"/>
  <c r="AT144" i="33"/>
  <c r="AR9" i="28"/>
  <c r="V18" i="24"/>
  <c r="V19" i="24"/>
  <c r="AL11" i="21"/>
  <c r="AS11" i="27"/>
  <c r="AS12" i="27"/>
  <c r="AN13" i="30"/>
  <c r="CI15" i="22"/>
  <c r="Z16" i="26"/>
  <c r="T16" i="28"/>
  <c r="AS10" i="29"/>
  <c r="Q26" i="25"/>
  <c r="Q28" i="25"/>
  <c r="AR11" i="27"/>
  <c r="AN11" i="30"/>
  <c r="AX11" i="21"/>
  <c r="AP25" i="22"/>
  <c r="U18" i="23"/>
  <c r="AA18" i="24"/>
  <c r="R24" i="29"/>
  <c r="AN10" i="27"/>
  <c r="AS8" i="28"/>
  <c r="AN9" i="29"/>
  <c r="J201" i="33"/>
  <c r="F201" i="33"/>
  <c r="AQ10" i="33"/>
  <c r="AP10" i="33"/>
  <c r="AL8" i="33"/>
  <c r="AK8" i="33"/>
  <c r="AS149" i="33"/>
  <c r="AU149" i="33"/>
  <c r="AX148" i="33"/>
  <c r="AU148" i="33"/>
  <c r="AL9" i="33"/>
  <c r="AK9" i="33"/>
  <c r="AY151" i="33"/>
  <c r="AW151" i="33"/>
  <c r="N21" i="33"/>
  <c r="O21" i="33"/>
  <c r="AW145" i="33"/>
  <c r="AS134" i="33"/>
  <c r="AU134" i="33"/>
  <c r="AO7" i="33"/>
  <c r="AR138" i="33"/>
  <c r="AS153" i="33"/>
  <c r="AU153" i="33"/>
  <c r="AK6" i="33"/>
  <c r="AL6" i="33"/>
  <c r="AU139" i="33"/>
  <c r="U17" i="33"/>
  <c r="T17" i="33"/>
  <c r="AS152" i="33"/>
  <c r="AP11" i="33"/>
  <c r="AQ11" i="33"/>
  <c r="X19" i="33"/>
  <c r="X20" i="33"/>
  <c r="AD19" i="33"/>
  <c r="AD20" i="33"/>
  <c r="R20" i="33"/>
  <c r="R19" i="33"/>
  <c r="AA15" i="33"/>
  <c r="V18" i="33"/>
  <c r="Z15" i="33"/>
  <c r="V17" i="33"/>
  <c r="AS136" i="33"/>
  <c r="AU151" i="33"/>
  <c r="AY148" i="33"/>
  <c r="AW148" i="33"/>
  <c r="AC18" i="33"/>
  <c r="AF18" i="33"/>
  <c r="AC17" i="33"/>
  <c r="AF17" i="33"/>
  <c r="H16" i="33"/>
  <c r="I16" i="33"/>
  <c r="AQ6" i="33"/>
  <c r="AP6" i="33"/>
  <c r="AM9" i="33"/>
  <c r="AR142" i="33"/>
  <c r="P19" i="33"/>
  <c r="P20" i="33"/>
  <c r="V19" i="33"/>
  <c r="I15" i="33"/>
  <c r="V20" i="33"/>
  <c r="H15" i="33"/>
  <c r="AB20" i="33"/>
  <c r="AB19" i="33"/>
  <c r="AX145" i="33"/>
  <c r="AV145" i="33"/>
  <c r="AU145" i="33"/>
  <c r="AC20" i="33"/>
  <c r="AK7" i="33"/>
  <c r="AF15" i="33"/>
  <c r="AR140" i="33"/>
  <c r="AN8" i="33"/>
  <c r="AS133" i="33"/>
  <c r="I17" i="32"/>
  <c r="H17" i="32"/>
  <c r="F19" i="31"/>
  <c r="W24" i="31"/>
  <c r="M23" i="31"/>
  <c r="M24" i="31"/>
  <c r="G19" i="31"/>
  <c r="M21" i="31"/>
  <c r="Q20" i="31"/>
  <c r="H25" i="31"/>
  <c r="P20" i="31"/>
  <c r="AA21" i="31"/>
  <c r="Z21" i="31"/>
  <c r="W22" i="31"/>
  <c r="AU9" i="30"/>
  <c r="AT9" i="30"/>
  <c r="AU6" i="30"/>
  <c r="AT6" i="30"/>
  <c r="P21" i="30"/>
  <c r="P20" i="30"/>
  <c r="I16" i="30"/>
  <c r="V21" i="30"/>
  <c r="V20" i="30"/>
  <c r="H16" i="30"/>
  <c r="AP11" i="30"/>
  <c r="AO11" i="30"/>
  <c r="AP13" i="30"/>
  <c r="AO13" i="30"/>
  <c r="AT8" i="30"/>
  <c r="AU8" i="30"/>
  <c r="AT11" i="30"/>
  <c r="AU11" i="30"/>
  <c r="AP8" i="30"/>
  <c r="AO8" i="30"/>
  <c r="U26" i="30"/>
  <c r="T26" i="30"/>
  <c r="AA19" i="30"/>
  <c r="Z19" i="30"/>
  <c r="O22" i="30"/>
  <c r="N22" i="30"/>
  <c r="AP7" i="30"/>
  <c r="AO7" i="30"/>
  <c r="AT13" i="30"/>
  <c r="AU13" i="30"/>
  <c r="AT7" i="30"/>
  <c r="AU7" i="30"/>
  <c r="AP6" i="30"/>
  <c r="AO6" i="30"/>
  <c r="Q20" i="30"/>
  <c r="W21" i="30"/>
  <c r="W20" i="30"/>
  <c r="Q21" i="30"/>
  <c r="AP9" i="30"/>
  <c r="AO9" i="30"/>
  <c r="Q28" i="29"/>
  <c r="Q30" i="29"/>
  <c r="Q31" i="29"/>
  <c r="Q29" i="29"/>
  <c r="W19" i="29"/>
  <c r="Z19" i="29"/>
  <c r="W18" i="29"/>
  <c r="Z18" i="29"/>
  <c r="Q19" i="29"/>
  <c r="T19" i="29"/>
  <c r="Q18" i="29"/>
  <c r="AP10" i="29"/>
  <c r="AO10" i="29"/>
  <c r="AU12" i="29"/>
  <c r="AT12" i="29"/>
  <c r="AA18" i="29"/>
  <c r="AA17" i="29"/>
  <c r="Z17" i="29"/>
  <c r="AU10" i="29"/>
  <c r="AT10" i="29"/>
  <c r="AU7" i="29"/>
  <c r="AT7" i="29"/>
  <c r="AP9" i="29"/>
  <c r="AO9" i="29"/>
  <c r="AU8" i="29"/>
  <c r="AT8" i="29"/>
  <c r="U19" i="29"/>
  <c r="R25" i="29"/>
  <c r="AO12" i="29"/>
  <c r="AP12" i="29"/>
  <c r="AP6" i="29"/>
  <c r="AO6" i="29"/>
  <c r="P25" i="29"/>
  <c r="P26" i="29"/>
  <c r="P24" i="29"/>
  <c r="U18" i="29"/>
  <c r="T18" i="29"/>
  <c r="AP7" i="29"/>
  <c r="AO7" i="29"/>
  <c r="R28" i="29"/>
  <c r="R30" i="29"/>
  <c r="R31" i="29"/>
  <c r="R32" i="29"/>
  <c r="R29" i="29"/>
  <c r="AU6" i="29"/>
  <c r="AT6" i="29"/>
  <c r="AO8" i="29"/>
  <c r="AP8" i="29"/>
  <c r="O20" i="29"/>
  <c r="N20" i="29"/>
  <c r="U16" i="29"/>
  <c r="T16" i="29"/>
  <c r="AU9" i="29"/>
  <c r="AT9" i="29"/>
  <c r="H14" i="29"/>
  <c r="AP7" i="28"/>
  <c r="AO7" i="28"/>
  <c r="AP8" i="28"/>
  <c r="AO8" i="28"/>
  <c r="AU8" i="28"/>
  <c r="AT8" i="28"/>
  <c r="AP10" i="28"/>
  <c r="AO10" i="28"/>
  <c r="AU9" i="28"/>
  <c r="AT9" i="28"/>
  <c r="W18" i="28"/>
  <c r="Q19" i="28"/>
  <c r="Q18" i="28"/>
  <c r="W19" i="28"/>
  <c r="AU7" i="28"/>
  <c r="AT7" i="28"/>
  <c r="AU11" i="28"/>
  <c r="AT11" i="28"/>
  <c r="AT6" i="28"/>
  <c r="AU6" i="28"/>
  <c r="U24" i="28"/>
  <c r="V19" i="28"/>
  <c r="V18" i="28"/>
  <c r="I14" i="28"/>
  <c r="H14" i="28"/>
  <c r="P19" i="28"/>
  <c r="P18" i="28"/>
  <c r="AU10" i="28"/>
  <c r="AT10" i="28"/>
  <c r="AP11" i="28"/>
  <c r="AO11" i="28"/>
  <c r="AO9" i="28"/>
  <c r="AP9" i="28"/>
  <c r="AA17" i="28"/>
  <c r="Z17" i="28"/>
  <c r="AP6" i="28"/>
  <c r="AO6" i="28"/>
  <c r="N22" i="27"/>
  <c r="Z18" i="27"/>
  <c r="AU8" i="27"/>
  <c r="AT8" i="27"/>
  <c r="AP9" i="27"/>
  <c r="AO9" i="27"/>
  <c r="T26" i="27"/>
  <c r="AA19" i="27"/>
  <c r="Z19" i="27"/>
  <c r="AO12" i="27"/>
  <c r="AP12" i="27"/>
  <c r="AU9" i="27"/>
  <c r="AT9" i="27"/>
  <c r="AT7" i="27"/>
  <c r="AU7" i="27"/>
  <c r="AO10" i="27"/>
  <c r="AP10" i="27"/>
  <c r="AU12" i="27"/>
  <c r="AT12" i="27"/>
  <c r="T21" i="27"/>
  <c r="AP7" i="27"/>
  <c r="AO7" i="27"/>
  <c r="AP11" i="27"/>
  <c r="AO11" i="27"/>
  <c r="W21" i="27"/>
  <c r="Z21" i="27"/>
  <c r="W20" i="27"/>
  <c r="AA20" i="27"/>
  <c r="Q21" i="27"/>
  <c r="U21" i="27"/>
  <c r="Q20" i="27"/>
  <c r="U20" i="27"/>
  <c r="AT11" i="27"/>
  <c r="AU11" i="27"/>
  <c r="I16" i="27"/>
  <c r="AO8" i="27"/>
  <c r="AP8" i="27"/>
  <c r="R26" i="27"/>
  <c r="U26" i="27"/>
  <c r="AU10" i="27"/>
  <c r="AT10" i="27"/>
  <c r="Z20" i="27"/>
  <c r="U24" i="26"/>
  <c r="T24" i="26"/>
  <c r="Z17" i="26"/>
  <c r="AA17" i="26"/>
  <c r="W18" i="26"/>
  <c r="Q19" i="26"/>
  <c r="Q18" i="26"/>
  <c r="W19" i="26"/>
  <c r="U16" i="26"/>
  <c r="T16" i="26"/>
  <c r="V18" i="26"/>
  <c r="I14" i="26"/>
  <c r="H14" i="26"/>
  <c r="V19" i="26"/>
  <c r="P19" i="26"/>
  <c r="P18" i="26"/>
  <c r="O21" i="25"/>
  <c r="N21" i="25"/>
  <c r="AA18" i="25"/>
  <c r="Z18" i="25"/>
  <c r="P25" i="25"/>
  <c r="Q19" i="25"/>
  <c r="W20" i="25"/>
  <c r="W19" i="25"/>
  <c r="Q20" i="25"/>
  <c r="P29" i="25"/>
  <c r="P30" i="25"/>
  <c r="R25" i="25"/>
  <c r="P20" i="25"/>
  <c r="P19" i="25"/>
  <c r="V20" i="25"/>
  <c r="I15" i="25"/>
  <c r="V19" i="25"/>
  <c r="H15" i="25"/>
  <c r="R29" i="25"/>
  <c r="R31" i="25"/>
  <c r="R32" i="25"/>
  <c r="R33" i="25"/>
  <c r="R30" i="25"/>
  <c r="P26" i="25"/>
  <c r="R26" i="25"/>
  <c r="U18" i="24"/>
  <c r="T18" i="24"/>
  <c r="Z18" i="24"/>
  <c r="Z16" i="24"/>
  <c r="U19" i="24"/>
  <c r="T19" i="24"/>
  <c r="AA17" i="24"/>
  <c r="U24" i="23"/>
  <c r="T24" i="23"/>
  <c r="U19" i="23"/>
  <c r="T19" i="23"/>
  <c r="Z18" i="23"/>
  <c r="AA18" i="23"/>
  <c r="U16" i="23"/>
  <c r="T18" i="23"/>
  <c r="AA19" i="23"/>
  <c r="Z19" i="23"/>
  <c r="J24" i="22"/>
  <c r="I24" i="22"/>
  <c r="CI14" i="22"/>
  <c r="CI23" i="22"/>
  <c r="BB26" i="22"/>
  <c r="BA26" i="22"/>
  <c r="CI13" i="22"/>
  <c r="CI20" i="22"/>
  <c r="CJ20" i="22"/>
  <c r="CK20" i="22"/>
  <c r="CL20" i="22"/>
  <c r="D20" i="22"/>
  <c r="CI17" i="22"/>
  <c r="U26" i="22"/>
  <c r="T26" i="22"/>
  <c r="CI6" i="22"/>
  <c r="CJ6" i="22"/>
  <c r="CK6" i="22"/>
  <c r="CL6" i="22"/>
  <c r="D6" i="22"/>
  <c r="CJ8" i="22"/>
  <c r="CK8" i="22"/>
  <c r="CL8" i="22"/>
  <c r="D8" i="22"/>
  <c r="BB25" i="22"/>
  <c r="BA25" i="22"/>
  <c r="AQ26" i="22"/>
  <c r="AP26" i="22"/>
  <c r="AE26" i="22"/>
  <c r="AF26" i="22"/>
  <c r="CJ15" i="22"/>
  <c r="CK15" i="22"/>
  <c r="CL15" i="22"/>
  <c r="D15" i="22"/>
  <c r="CI11" i="22"/>
  <c r="CI21" i="22"/>
  <c r="CI7" i="22"/>
  <c r="AL10" i="21"/>
  <c r="AK10" i="21"/>
  <c r="AR10" i="21"/>
  <c r="AK8" i="21"/>
  <c r="AL8" i="21"/>
  <c r="AR8" i="21"/>
  <c r="AW8" i="21"/>
  <c r="AL6" i="21"/>
  <c r="AK6" i="21"/>
  <c r="AR6" i="21"/>
  <c r="I24" i="21"/>
  <c r="AW10" i="21"/>
  <c r="AY20" i="21"/>
  <c r="AL20" i="21"/>
  <c r="AK20" i="21"/>
  <c r="AR20" i="21"/>
  <c r="AX6" i="21"/>
  <c r="BA6" i="21"/>
  <c r="AZ7" i="21"/>
  <c r="BA7" i="21"/>
  <c r="AY6" i="21"/>
  <c r="AX8" i="21"/>
  <c r="AW20" i="21"/>
  <c r="AR7" i="21"/>
  <c r="AK7" i="21"/>
  <c r="AL7" i="21"/>
  <c r="AY8" i="21"/>
  <c r="AV11" i="21"/>
  <c r="AU11" i="21"/>
  <c r="AY9" i="21"/>
  <c r="AY10" i="21"/>
  <c r="AR9" i="21"/>
  <c r="AL9" i="21"/>
  <c r="AK9" i="21"/>
  <c r="BA11" i="21"/>
  <c r="AZ11" i="21"/>
  <c r="AX9" i="21"/>
  <c r="AW9" i="21"/>
  <c r="Q29" i="25"/>
  <c r="Q31" i="25"/>
  <c r="Q32" i="25"/>
  <c r="Q33" i="25"/>
  <c r="Q30" i="25"/>
  <c r="AU135" i="33"/>
  <c r="Z19" i="24"/>
  <c r="AA19" i="24"/>
  <c r="AA19" i="29"/>
  <c r="AP12" i="33"/>
  <c r="CJ13" i="22"/>
  <c r="CK13" i="22"/>
  <c r="CL13" i="22"/>
  <c r="D13" i="22"/>
  <c r="AW133" i="33"/>
  <c r="AV148" i="33"/>
  <c r="AG17" i="33"/>
  <c r="U19" i="33"/>
  <c r="T19" i="33"/>
  <c r="AG19" i="33"/>
  <c r="AF19" i="33"/>
  <c r="AT142" i="33"/>
  <c r="AS142" i="33"/>
  <c r="AU152" i="33"/>
  <c r="AX151" i="33"/>
  <c r="AV151" i="33"/>
  <c r="AG20" i="33"/>
  <c r="AF20" i="33"/>
  <c r="AP9" i="33"/>
  <c r="AQ9" i="33"/>
  <c r="U20" i="33"/>
  <c r="T20" i="33"/>
  <c r="AU133" i="33"/>
  <c r="AX133" i="33"/>
  <c r="AV133" i="33"/>
  <c r="AP8" i="33"/>
  <c r="AQ8" i="33"/>
  <c r="AA17" i="33"/>
  <c r="Z17" i="33"/>
  <c r="AQ7" i="33"/>
  <c r="AP7" i="33"/>
  <c r="AG18" i="33"/>
  <c r="Z18" i="33"/>
  <c r="AA18" i="33"/>
  <c r="AA20" i="33"/>
  <c r="Z20" i="33"/>
  <c r="AU136" i="33"/>
  <c r="AT138" i="33"/>
  <c r="AS138" i="33"/>
  <c r="AX136" i="33"/>
  <c r="AT140" i="33"/>
  <c r="AS140" i="33"/>
  <c r="Z19" i="33"/>
  <c r="AA19" i="33"/>
  <c r="L25" i="31"/>
  <c r="K25" i="31"/>
  <c r="P21" i="31"/>
  <c r="Q21" i="31"/>
  <c r="AA22" i="31"/>
  <c r="Z22" i="31"/>
  <c r="Q24" i="31"/>
  <c r="P24" i="31"/>
  <c r="P23" i="31"/>
  <c r="Q23" i="31"/>
  <c r="Z24" i="31"/>
  <c r="AA24" i="31"/>
  <c r="AA20" i="30"/>
  <c r="Z20" i="30"/>
  <c r="Z21" i="30"/>
  <c r="AA21" i="30"/>
  <c r="U20" i="30"/>
  <c r="T20" i="30"/>
  <c r="U21" i="30"/>
  <c r="T21" i="30"/>
  <c r="U24" i="29"/>
  <c r="S24" i="29"/>
  <c r="P28" i="29"/>
  <c r="P29" i="29"/>
  <c r="U25" i="29"/>
  <c r="T25" i="29"/>
  <c r="S25" i="29"/>
  <c r="AA19" i="28"/>
  <c r="Z19" i="28"/>
  <c r="U18" i="28"/>
  <c r="T18" i="28"/>
  <c r="U19" i="28"/>
  <c r="T19" i="28"/>
  <c r="AA18" i="28"/>
  <c r="Z18" i="28"/>
  <c r="T20" i="27"/>
  <c r="AA21" i="27"/>
  <c r="U18" i="26"/>
  <c r="T18" i="26"/>
  <c r="U19" i="26"/>
  <c r="T19" i="26"/>
  <c r="AA19" i="26"/>
  <c r="Z19" i="26"/>
  <c r="AA18" i="26"/>
  <c r="Z18" i="26"/>
  <c r="Z20" i="25"/>
  <c r="AA20" i="25"/>
  <c r="AA19" i="25"/>
  <c r="Z19" i="25"/>
  <c r="T29" i="25"/>
  <c r="S29" i="25"/>
  <c r="P31" i="25"/>
  <c r="P32" i="25"/>
  <c r="P33" i="25"/>
  <c r="U20" i="25"/>
  <c r="T20" i="25"/>
  <c r="U25" i="25"/>
  <c r="S25" i="25"/>
  <c r="S26" i="25"/>
  <c r="U26" i="25"/>
  <c r="T26" i="25"/>
  <c r="U19" i="25"/>
  <c r="T19" i="25"/>
  <c r="T30" i="25"/>
  <c r="S30" i="25"/>
  <c r="BK8" i="22"/>
  <c r="BU8" i="22"/>
  <c r="BJ8" i="22"/>
  <c r="M8" i="22"/>
  <c r="BT8" i="22"/>
  <c r="BI8" i="22"/>
  <c r="L8" i="22"/>
  <c r="K8" i="22"/>
  <c r="BS8" i="22"/>
  <c r="CJ22" i="22"/>
  <c r="CK22" i="22"/>
  <c r="CL22" i="22"/>
  <c r="D22" i="22"/>
  <c r="CJ9" i="22"/>
  <c r="CK9" i="22"/>
  <c r="CL9" i="22"/>
  <c r="D9" i="22"/>
  <c r="L20" i="22"/>
  <c r="K20" i="22"/>
  <c r="M20" i="22"/>
  <c r="BS6" i="22"/>
  <c r="AD6" i="22"/>
  <c r="AO6" i="22"/>
  <c r="AC6" i="22"/>
  <c r="M6" i="22"/>
  <c r="BU6" i="22"/>
  <c r="BJ6" i="22"/>
  <c r="AX6" i="22"/>
  <c r="BK6" i="22"/>
  <c r="AM6" i="22"/>
  <c r="BI6" i="22"/>
  <c r="AN6" i="22"/>
  <c r="BT6" i="22"/>
  <c r="AZ6" i="22"/>
  <c r="K6" i="22"/>
  <c r="AY6" i="22"/>
  <c r="AB6" i="22"/>
  <c r="L6" i="22"/>
  <c r="CJ18" i="22"/>
  <c r="CK18" i="22"/>
  <c r="CL18" i="22"/>
  <c r="D18" i="22"/>
  <c r="CJ7" i="22"/>
  <c r="CK7" i="22"/>
  <c r="CL7" i="22"/>
  <c r="D7" i="22"/>
  <c r="CJ23" i="22"/>
  <c r="CK23" i="22"/>
  <c r="CL23" i="22"/>
  <c r="D23" i="22"/>
  <c r="CJ21" i="22"/>
  <c r="CK21" i="22"/>
  <c r="CL21" i="22"/>
  <c r="D21" i="22"/>
  <c r="CJ16" i="22"/>
  <c r="CK16" i="22"/>
  <c r="CL16" i="22"/>
  <c r="D16" i="22"/>
  <c r="CJ14" i="22"/>
  <c r="CK14" i="22"/>
  <c r="CL14" i="22"/>
  <c r="D14" i="22"/>
  <c r="AZ15" i="22"/>
  <c r="AN15" i="22"/>
  <c r="AB15" i="22"/>
  <c r="L15" i="22"/>
  <c r="AY15" i="22"/>
  <c r="AM15" i="22"/>
  <c r="AX15" i="22"/>
  <c r="AO15" i="22"/>
  <c r="AC15" i="22"/>
  <c r="AD15" i="22"/>
  <c r="K15" i="22"/>
  <c r="M15" i="22"/>
  <c r="AY13" i="22"/>
  <c r="AM13" i="22"/>
  <c r="K13" i="22"/>
  <c r="AX13" i="22"/>
  <c r="AD13" i="22"/>
  <c r="AZ13" i="22"/>
  <c r="AN13" i="22"/>
  <c r="AB13" i="22"/>
  <c r="AC13" i="22"/>
  <c r="AO13" i="22"/>
  <c r="M13" i="22"/>
  <c r="L13" i="22"/>
  <c r="CJ12" i="22"/>
  <c r="CK12" i="22"/>
  <c r="CL12" i="22"/>
  <c r="D12" i="22"/>
  <c r="CJ10" i="22"/>
  <c r="CK10" i="22"/>
  <c r="CL10" i="22"/>
  <c r="D10" i="22"/>
  <c r="CJ11" i="22"/>
  <c r="CK11" i="22"/>
  <c r="CL11" i="22"/>
  <c r="D11" i="22"/>
  <c r="CJ17" i="22"/>
  <c r="CK17" i="22"/>
  <c r="CL17" i="22"/>
  <c r="D17" i="22"/>
  <c r="CJ19" i="22"/>
  <c r="CK19" i="22"/>
  <c r="CL19" i="22"/>
  <c r="D19" i="22"/>
  <c r="AV9" i="21"/>
  <c r="AU9" i="21"/>
  <c r="AZ6" i="21"/>
  <c r="AV20" i="21"/>
  <c r="AU20" i="21"/>
  <c r="AZ9" i="21"/>
  <c r="BA9" i="21"/>
  <c r="AV7" i="21"/>
  <c r="AU7" i="21"/>
  <c r="BA8" i="21"/>
  <c r="AZ8" i="21"/>
  <c r="BA20" i="21"/>
  <c r="AZ20" i="21"/>
  <c r="AV8" i="21"/>
  <c r="AU8" i="21"/>
  <c r="BA10" i="21"/>
  <c r="AZ10" i="21"/>
  <c r="AV10" i="21"/>
  <c r="AU10" i="21"/>
  <c r="AV6" i="21"/>
  <c r="AU6" i="21"/>
  <c r="AW136" i="33"/>
  <c r="AY136" i="33"/>
  <c r="AV136" i="33"/>
  <c r="AV142" i="33"/>
  <c r="AU142" i="33"/>
  <c r="AX142" i="33"/>
  <c r="AY142" i="33"/>
  <c r="AW142" i="33"/>
  <c r="AU140" i="33"/>
  <c r="AV139" i="33"/>
  <c r="AX139" i="33"/>
  <c r="AY139" i="33"/>
  <c r="AW139" i="33"/>
  <c r="AU138" i="33"/>
  <c r="T29" i="29"/>
  <c r="S29" i="29"/>
  <c r="P30" i="29"/>
  <c r="P31" i="29"/>
  <c r="T28" i="29"/>
  <c r="S28" i="29"/>
  <c r="T33" i="25"/>
  <c r="S33" i="25"/>
  <c r="BK10" i="22"/>
  <c r="BU10" i="22"/>
  <c r="BJ10" i="22"/>
  <c r="M10" i="22"/>
  <c r="BT10" i="22"/>
  <c r="BI10" i="22"/>
  <c r="L10" i="22"/>
  <c r="BS10" i="22"/>
  <c r="K10" i="22"/>
  <c r="AP6" i="22"/>
  <c r="AQ6" i="22"/>
  <c r="O8" i="22"/>
  <c r="N8" i="22"/>
  <c r="AF6" i="22"/>
  <c r="AE6" i="22"/>
  <c r="BW6" i="22"/>
  <c r="BV6" i="22"/>
  <c r="BB13" i="22"/>
  <c r="BA13" i="22"/>
  <c r="BK14" i="22"/>
  <c r="BU14" i="22"/>
  <c r="BJ14" i="22"/>
  <c r="BT14" i="22"/>
  <c r="BI14" i="22"/>
  <c r="K14" i="22"/>
  <c r="BS14" i="22"/>
  <c r="M14" i="22"/>
  <c r="L14" i="22"/>
  <c r="BB6" i="22"/>
  <c r="BA6" i="22"/>
  <c r="BM8" i="22"/>
  <c r="BL8" i="22"/>
  <c r="O13" i="22"/>
  <c r="N13" i="22"/>
  <c r="BA15" i="22"/>
  <c r="BB15" i="22"/>
  <c r="L16" i="22"/>
  <c r="Q29" i="22"/>
  <c r="M16" i="22"/>
  <c r="R29" i="22"/>
  <c r="K16" i="22"/>
  <c r="O6" i="22"/>
  <c r="N6" i="22"/>
  <c r="K24" i="22"/>
  <c r="N20" i="22"/>
  <c r="O20" i="22"/>
  <c r="BK12" i="22"/>
  <c r="BU12" i="22"/>
  <c r="BJ12" i="22"/>
  <c r="M12" i="22"/>
  <c r="BT12" i="22"/>
  <c r="BI12" i="22"/>
  <c r="L12" i="22"/>
  <c r="BS12" i="22"/>
  <c r="K12" i="22"/>
  <c r="AQ13" i="22"/>
  <c r="AP13" i="22"/>
  <c r="AQ15" i="22"/>
  <c r="AP15" i="22"/>
  <c r="BS21" i="22"/>
  <c r="K21" i="22"/>
  <c r="BK21" i="22"/>
  <c r="BT21" i="22"/>
  <c r="BI21" i="22"/>
  <c r="BJ21" i="22"/>
  <c r="BU21" i="22"/>
  <c r="M21" i="22"/>
  <c r="L21" i="22"/>
  <c r="AD19" i="22"/>
  <c r="AO19" i="22"/>
  <c r="AC19" i="22"/>
  <c r="AZ19" i="22"/>
  <c r="AN19" i="22"/>
  <c r="AB19" i="22"/>
  <c r="AY19" i="22"/>
  <c r="AM19" i="22"/>
  <c r="AX19" i="22"/>
  <c r="M19" i="22"/>
  <c r="L19" i="22"/>
  <c r="K19" i="22"/>
  <c r="AZ23" i="22"/>
  <c r="AN23" i="22"/>
  <c r="AB23" i="22"/>
  <c r="AB29" i="22"/>
  <c r="L23" i="22"/>
  <c r="L25" i="22"/>
  <c r="BK23" i="22"/>
  <c r="AY23" i="22"/>
  <c r="AM23" i="22"/>
  <c r="BU23" i="22"/>
  <c r="BJ23" i="22"/>
  <c r="AX23" i="22"/>
  <c r="BT23" i="22"/>
  <c r="BI23" i="22"/>
  <c r="BS23" i="22"/>
  <c r="AO23" i="22"/>
  <c r="AC23" i="22"/>
  <c r="AD23" i="22"/>
  <c r="AD29" i="22"/>
  <c r="M23" i="22"/>
  <c r="M25" i="22"/>
  <c r="K23" i="22"/>
  <c r="AD9" i="22"/>
  <c r="AO9" i="22"/>
  <c r="AC9" i="22"/>
  <c r="M9" i="22"/>
  <c r="AZ9" i="22"/>
  <c r="AN9" i="22"/>
  <c r="AB9" i="22"/>
  <c r="L9" i="22"/>
  <c r="AY9" i="22"/>
  <c r="AM9" i="22"/>
  <c r="K9" i="22"/>
  <c r="AX9" i="22"/>
  <c r="AD17" i="22"/>
  <c r="AO17" i="22"/>
  <c r="AC17" i="22"/>
  <c r="M17" i="22"/>
  <c r="AZ17" i="22"/>
  <c r="AN17" i="22"/>
  <c r="AB17" i="22"/>
  <c r="AY17" i="22"/>
  <c r="AM17" i="22"/>
  <c r="K17" i="22"/>
  <c r="AX17" i="22"/>
  <c r="L17" i="22"/>
  <c r="AF13" i="22"/>
  <c r="AE13" i="22"/>
  <c r="AO7" i="22"/>
  <c r="AC7" i="22"/>
  <c r="M7" i="22"/>
  <c r="M24" i="22"/>
  <c r="AZ7" i="22"/>
  <c r="AN7" i="22"/>
  <c r="AB7" i="22"/>
  <c r="L7" i="22"/>
  <c r="L24" i="22"/>
  <c r="AY7" i="22"/>
  <c r="AM7" i="22"/>
  <c r="K7" i="22"/>
  <c r="AD7" i="22"/>
  <c r="AX7" i="22"/>
  <c r="AC29" i="22"/>
  <c r="AD22" i="22"/>
  <c r="AO22" i="22"/>
  <c r="AC22" i="22"/>
  <c r="AZ22" i="22"/>
  <c r="AN22" i="22"/>
  <c r="AB22" i="22"/>
  <c r="L22" i="22"/>
  <c r="AY22" i="22"/>
  <c r="AM22" i="22"/>
  <c r="AX22" i="22"/>
  <c r="K22" i="22"/>
  <c r="M22" i="22"/>
  <c r="AD11" i="22"/>
  <c r="AO11" i="22"/>
  <c r="AC11" i="22"/>
  <c r="M11" i="22"/>
  <c r="AZ11" i="22"/>
  <c r="AN11" i="22"/>
  <c r="AB11" i="22"/>
  <c r="L11" i="22"/>
  <c r="AY11" i="22"/>
  <c r="AM11" i="22"/>
  <c r="K11" i="22"/>
  <c r="AX11" i="22"/>
  <c r="O15" i="22"/>
  <c r="N15" i="22"/>
  <c r="AF15" i="22"/>
  <c r="AE15" i="22"/>
  <c r="BU18" i="22"/>
  <c r="BJ18" i="22"/>
  <c r="M18" i="22"/>
  <c r="BT18" i="22"/>
  <c r="BI18" i="22"/>
  <c r="BS18" i="22"/>
  <c r="K18" i="22"/>
  <c r="BK18" i="22"/>
  <c r="L18" i="22"/>
  <c r="BM6" i="22"/>
  <c r="BL6" i="22"/>
  <c r="BW8" i="22"/>
  <c r="BV8" i="22"/>
  <c r="T32" i="29"/>
  <c r="S32" i="29"/>
  <c r="AZ28" i="22"/>
  <c r="AD27" i="22"/>
  <c r="AD28" i="22"/>
  <c r="AO27" i="22"/>
  <c r="AO28" i="22"/>
  <c r="AZ27" i="22"/>
  <c r="AY27" i="22"/>
  <c r="AY28" i="22"/>
  <c r="AC27" i="22"/>
  <c r="AC28" i="22"/>
  <c r="AN27" i="22"/>
  <c r="AN28" i="22"/>
  <c r="BB11" i="22"/>
  <c r="BA11" i="22"/>
  <c r="K25" i="22"/>
  <c r="O23" i="22"/>
  <c r="N23" i="22"/>
  <c r="BM14" i="22"/>
  <c r="BL14" i="22"/>
  <c r="N11" i="22"/>
  <c r="O11" i="22"/>
  <c r="BB7" i="22"/>
  <c r="BA7" i="22"/>
  <c r="O17" i="22"/>
  <c r="N17" i="22"/>
  <c r="O16" i="22"/>
  <c r="N16" i="22"/>
  <c r="P29" i="22"/>
  <c r="AQ17" i="22"/>
  <c r="AP17" i="22"/>
  <c r="O19" i="22"/>
  <c r="N19" i="22"/>
  <c r="O7" i="22"/>
  <c r="N7" i="22"/>
  <c r="BB9" i="22"/>
  <c r="BA9" i="22"/>
  <c r="AQ23" i="22"/>
  <c r="AP23" i="22"/>
  <c r="BW10" i="22"/>
  <c r="BV10" i="22"/>
  <c r="AQ7" i="22"/>
  <c r="AP7" i="22"/>
  <c r="AE17" i="22"/>
  <c r="AF17" i="22"/>
  <c r="N9" i="22"/>
  <c r="O9" i="22"/>
  <c r="BW12" i="22"/>
  <c r="BV12" i="22"/>
  <c r="BB17" i="22"/>
  <c r="BA17" i="22"/>
  <c r="AF9" i="22"/>
  <c r="AE9" i="22"/>
  <c r="BA23" i="22"/>
  <c r="BB23" i="22"/>
  <c r="AF19" i="22"/>
  <c r="AE19" i="22"/>
  <c r="AP11" i="22"/>
  <c r="AQ11" i="22"/>
  <c r="AE22" i="22"/>
  <c r="AF22" i="22"/>
  <c r="BM21" i="22"/>
  <c r="BL21" i="22"/>
  <c r="O10" i="22"/>
  <c r="N10" i="22"/>
  <c r="O12" i="22"/>
  <c r="N12" i="22"/>
  <c r="AF29" i="22"/>
  <c r="AE29" i="22"/>
  <c r="N18" i="22"/>
  <c r="O18" i="22"/>
  <c r="AE11" i="22"/>
  <c r="AF11" i="22"/>
  <c r="N22" i="22"/>
  <c r="O22" i="22"/>
  <c r="AP9" i="22"/>
  <c r="AQ9" i="22"/>
  <c r="BW23" i="22"/>
  <c r="BV23" i="22"/>
  <c r="BB19" i="22"/>
  <c r="BA19" i="22"/>
  <c r="O21" i="22"/>
  <c r="N21" i="22"/>
  <c r="BM10" i="22"/>
  <c r="BL10" i="22"/>
  <c r="BV18" i="22"/>
  <c r="BW18" i="22"/>
  <c r="BB22" i="22"/>
  <c r="BA22" i="22"/>
  <c r="BL23" i="22"/>
  <c r="BM23" i="22"/>
  <c r="AQ19" i="22"/>
  <c r="AP19" i="22"/>
  <c r="BW21" i="22"/>
  <c r="BV21" i="22"/>
  <c r="BL12" i="22"/>
  <c r="BM12" i="22"/>
  <c r="AX27" i="22"/>
  <c r="AX28" i="22"/>
  <c r="AB27" i="22"/>
  <c r="O24" i="22"/>
  <c r="AB28" i="22"/>
  <c r="N24" i="22"/>
  <c r="AM28" i="22"/>
  <c r="AM27" i="22"/>
  <c r="BW14" i="22"/>
  <c r="BV14" i="22"/>
  <c r="BM18" i="22"/>
  <c r="BL18" i="22"/>
  <c r="AP22" i="22"/>
  <c r="AQ22" i="22"/>
  <c r="AE7" i="22"/>
  <c r="AF7" i="22"/>
  <c r="AF23" i="22"/>
  <c r="AE23" i="22"/>
  <c r="O14" i="22"/>
  <c r="N14" i="22"/>
  <c r="AQ27" i="22"/>
  <c r="AP27" i="22"/>
  <c r="BA28" i="22"/>
  <c r="BB28" i="22"/>
  <c r="AQ28" i="22"/>
  <c r="AP28" i="22"/>
  <c r="N25" i="22"/>
  <c r="O25" i="22"/>
  <c r="AF28" i="22"/>
  <c r="AE28" i="22"/>
  <c r="U29" i="22"/>
  <c r="U30" i="22"/>
  <c r="T29" i="22"/>
  <c r="T30" i="22"/>
  <c r="AE27" i="22"/>
  <c r="AF27" i="22"/>
  <c r="BB27" i="22"/>
  <c r="BA27" i="22"/>
  <c r="X87" i="20"/>
  <c r="W87" i="20"/>
  <c r="V87" i="20"/>
  <c r="U87" i="20"/>
  <c r="T87" i="20"/>
  <c r="S87" i="20"/>
  <c r="R87" i="20"/>
  <c r="Q87" i="20"/>
  <c r="P87" i="20"/>
  <c r="O87" i="20"/>
  <c r="M87" i="20"/>
  <c r="X86" i="20"/>
  <c r="W86" i="20"/>
  <c r="V86" i="20"/>
  <c r="U86" i="20"/>
  <c r="T86" i="20"/>
  <c r="S86" i="20"/>
  <c r="R86" i="20"/>
  <c r="Q86" i="20"/>
  <c r="P86" i="20"/>
  <c r="O86" i="20"/>
  <c r="M86" i="20"/>
  <c r="X85" i="20"/>
  <c r="W85" i="20"/>
  <c r="V85" i="20"/>
  <c r="U85" i="20"/>
  <c r="T85" i="20"/>
  <c r="S85" i="20"/>
  <c r="R85" i="20"/>
  <c r="Q85" i="20"/>
  <c r="P85" i="20"/>
  <c r="O85" i="20"/>
  <c r="M85" i="20"/>
  <c r="X84" i="20"/>
  <c r="W84" i="20"/>
  <c r="V84" i="20"/>
  <c r="U84" i="20"/>
  <c r="T84" i="20"/>
  <c r="S84" i="20"/>
  <c r="R84" i="20"/>
  <c r="Q84" i="20"/>
  <c r="P84" i="20"/>
  <c r="O84" i="20"/>
  <c r="M84" i="20"/>
  <c r="X83" i="20"/>
  <c r="W83" i="20"/>
  <c r="V83" i="20"/>
  <c r="U83" i="20"/>
  <c r="T83" i="20"/>
  <c r="S83" i="20"/>
  <c r="R83" i="20"/>
  <c r="Q83" i="20"/>
  <c r="P83" i="20"/>
  <c r="O83" i="20"/>
  <c r="M83" i="20"/>
  <c r="AW82" i="20"/>
  <c r="AV82" i="20"/>
  <c r="AU82" i="20"/>
  <c r="AT82" i="20"/>
  <c r="AS82" i="20"/>
  <c r="AR82" i="20"/>
  <c r="AQ82" i="20"/>
  <c r="AP82" i="20"/>
  <c r="AO82" i="20"/>
  <c r="AN82" i="20"/>
  <c r="AL82" i="20"/>
  <c r="X82" i="20"/>
  <c r="W82" i="20"/>
  <c r="V82" i="20"/>
  <c r="U82" i="20"/>
  <c r="T82" i="20"/>
  <c r="S82" i="20"/>
  <c r="R82" i="20"/>
  <c r="Q82" i="20"/>
  <c r="P82" i="20"/>
  <c r="O82" i="20"/>
  <c r="M82" i="20"/>
  <c r="AW81" i="20"/>
  <c r="AV81" i="20"/>
  <c r="AU81" i="20"/>
  <c r="AT81" i="20"/>
  <c r="AS81" i="20"/>
  <c r="AR81" i="20"/>
  <c r="AQ81" i="20"/>
  <c r="AP81" i="20"/>
  <c r="AO81" i="20"/>
  <c r="AN81" i="20"/>
  <c r="AL81" i="20"/>
  <c r="X81" i="20"/>
  <c r="W81" i="20"/>
  <c r="V81" i="20"/>
  <c r="U81" i="20"/>
  <c r="T81" i="20"/>
  <c r="S81" i="20"/>
  <c r="R81" i="20"/>
  <c r="Q81" i="20"/>
  <c r="P81" i="20"/>
  <c r="O81" i="20"/>
  <c r="M81" i="20"/>
  <c r="AW80" i="20"/>
  <c r="AV80" i="20"/>
  <c r="AU80" i="20"/>
  <c r="AT80" i="20"/>
  <c r="AS80" i="20"/>
  <c r="AR80" i="20"/>
  <c r="AQ80" i="20"/>
  <c r="AP80" i="20"/>
  <c r="AO80" i="20"/>
  <c r="AN80" i="20"/>
  <c r="AX80" i="20"/>
  <c r="AL80" i="20"/>
  <c r="X80" i="20"/>
  <c r="W80" i="20"/>
  <c r="V80" i="20"/>
  <c r="U80" i="20"/>
  <c r="T80" i="20"/>
  <c r="S80" i="20"/>
  <c r="R80" i="20"/>
  <c r="Q80" i="20"/>
  <c r="P80" i="20"/>
  <c r="O80" i="20"/>
  <c r="M80" i="20"/>
  <c r="AW79" i="20"/>
  <c r="AV79" i="20"/>
  <c r="AU79" i="20"/>
  <c r="AT79" i="20"/>
  <c r="AS79" i="20"/>
  <c r="AR79" i="20"/>
  <c r="AQ79" i="20"/>
  <c r="AP79" i="20"/>
  <c r="AO79" i="20"/>
  <c r="AN79" i="20"/>
  <c r="AL79" i="20"/>
  <c r="X79" i="20"/>
  <c r="W79" i="20"/>
  <c r="V79" i="20"/>
  <c r="U79" i="20"/>
  <c r="T79" i="20"/>
  <c r="S79" i="20"/>
  <c r="R79" i="20"/>
  <c r="Q79" i="20"/>
  <c r="P79" i="20"/>
  <c r="O79" i="20"/>
  <c r="M79" i="20"/>
  <c r="AW78" i="20"/>
  <c r="AV78" i="20"/>
  <c r="AU78" i="20"/>
  <c r="AT78" i="20"/>
  <c r="AS78" i="20"/>
  <c r="AR78" i="20"/>
  <c r="AQ78" i="20"/>
  <c r="AP78" i="20"/>
  <c r="AO78" i="20"/>
  <c r="AN78" i="20"/>
  <c r="X78" i="20"/>
  <c r="W78" i="20"/>
  <c r="V78" i="20"/>
  <c r="U78" i="20"/>
  <c r="T78" i="20"/>
  <c r="S78" i="20"/>
  <c r="R78" i="20"/>
  <c r="Q78" i="20"/>
  <c r="P78" i="20"/>
  <c r="O78" i="20"/>
  <c r="M78" i="20"/>
  <c r="AW77" i="20"/>
  <c r="AV77" i="20"/>
  <c r="AU77" i="20"/>
  <c r="AT77" i="20"/>
  <c r="AS77" i="20"/>
  <c r="AR77" i="20"/>
  <c r="AQ77" i="20"/>
  <c r="AP77" i="20"/>
  <c r="AO77" i="20"/>
  <c r="AN77" i="20"/>
  <c r="AX77" i="20"/>
  <c r="X77" i="20"/>
  <c r="W77" i="20"/>
  <c r="V77" i="20"/>
  <c r="U77" i="20"/>
  <c r="T77" i="20"/>
  <c r="S77" i="20"/>
  <c r="R77" i="20"/>
  <c r="Q77" i="20"/>
  <c r="P77" i="20"/>
  <c r="O77" i="20"/>
  <c r="M77" i="20"/>
  <c r="AW76" i="20"/>
  <c r="AV76" i="20"/>
  <c r="AU76" i="20"/>
  <c r="AT76" i="20"/>
  <c r="AS76" i="20"/>
  <c r="AR76" i="20"/>
  <c r="AQ76" i="20"/>
  <c r="AP76" i="20"/>
  <c r="AO76" i="20"/>
  <c r="AN76" i="20"/>
  <c r="X76" i="20"/>
  <c r="W76" i="20"/>
  <c r="V76" i="20"/>
  <c r="U76" i="20"/>
  <c r="T76" i="20"/>
  <c r="S76" i="20"/>
  <c r="R76" i="20"/>
  <c r="Q76" i="20"/>
  <c r="P76" i="20"/>
  <c r="O76" i="20"/>
  <c r="M76" i="20"/>
  <c r="X75" i="20"/>
  <c r="W75" i="20"/>
  <c r="V75" i="20"/>
  <c r="U75" i="20"/>
  <c r="T75" i="20"/>
  <c r="S75" i="20"/>
  <c r="R75" i="20"/>
  <c r="Q75" i="20"/>
  <c r="P75" i="20"/>
  <c r="O75" i="20"/>
  <c r="M75" i="20"/>
  <c r="X74" i="20"/>
  <c r="W74" i="20"/>
  <c r="V74" i="20"/>
  <c r="U74" i="20"/>
  <c r="T74" i="20"/>
  <c r="S74" i="20"/>
  <c r="R74" i="20"/>
  <c r="Q74" i="20"/>
  <c r="P74" i="20"/>
  <c r="O74" i="20"/>
  <c r="M74" i="20"/>
  <c r="X73" i="20"/>
  <c r="W73" i="20"/>
  <c r="V73" i="20"/>
  <c r="U73" i="20"/>
  <c r="T73" i="20"/>
  <c r="S73" i="20"/>
  <c r="R73" i="20"/>
  <c r="Q73" i="20"/>
  <c r="P73" i="20"/>
  <c r="O73" i="20"/>
  <c r="M73" i="20"/>
  <c r="AW69" i="20"/>
  <c r="AV69" i="20"/>
  <c r="AU69" i="20"/>
  <c r="AT69" i="20"/>
  <c r="AS69" i="20"/>
  <c r="AR69" i="20"/>
  <c r="AQ69" i="20"/>
  <c r="AP69" i="20"/>
  <c r="AO69" i="20"/>
  <c r="AN69" i="20"/>
  <c r="AX69" i="20"/>
  <c r="AL69" i="20"/>
  <c r="X69" i="20"/>
  <c r="W69" i="20"/>
  <c r="V69" i="20"/>
  <c r="U69" i="20"/>
  <c r="T69" i="20"/>
  <c r="S69" i="20"/>
  <c r="R69" i="20"/>
  <c r="Q69" i="20"/>
  <c r="P69" i="20"/>
  <c r="O69" i="20"/>
  <c r="M69" i="20"/>
  <c r="X68" i="20"/>
  <c r="W68" i="20"/>
  <c r="V68" i="20"/>
  <c r="U68" i="20"/>
  <c r="T68" i="20"/>
  <c r="S68" i="20"/>
  <c r="R68" i="20"/>
  <c r="Q68" i="20"/>
  <c r="P68" i="20"/>
  <c r="O68" i="20"/>
  <c r="AW67" i="20"/>
  <c r="AV67" i="20"/>
  <c r="AU67" i="20"/>
  <c r="AT67" i="20"/>
  <c r="AS67" i="20"/>
  <c r="AR67" i="20"/>
  <c r="AQ67" i="20"/>
  <c r="AP67" i="20"/>
  <c r="AO67" i="20"/>
  <c r="AN67" i="20"/>
  <c r="AX67" i="20"/>
  <c r="AL67" i="20"/>
  <c r="X67" i="20"/>
  <c r="W67" i="20"/>
  <c r="V67" i="20"/>
  <c r="U67" i="20"/>
  <c r="T67" i="20"/>
  <c r="S67" i="20"/>
  <c r="R67" i="20"/>
  <c r="Q67" i="20"/>
  <c r="P67" i="20"/>
  <c r="O67" i="20"/>
  <c r="M67" i="20"/>
  <c r="X66" i="20"/>
  <c r="W66" i="20"/>
  <c r="V66" i="20"/>
  <c r="U66" i="20"/>
  <c r="T66" i="20"/>
  <c r="S66" i="20"/>
  <c r="R66" i="20"/>
  <c r="Q66" i="20"/>
  <c r="P66" i="20"/>
  <c r="O66" i="20"/>
  <c r="X65" i="20"/>
  <c r="W65" i="20"/>
  <c r="V65" i="20"/>
  <c r="U65" i="20"/>
  <c r="T65" i="20"/>
  <c r="S65" i="20"/>
  <c r="R65" i="20"/>
  <c r="Q65" i="20"/>
  <c r="P65" i="20"/>
  <c r="O65" i="20"/>
  <c r="AW64" i="20"/>
  <c r="AV64" i="20"/>
  <c r="AU64" i="20"/>
  <c r="AT64" i="20"/>
  <c r="AS64" i="20"/>
  <c r="AR64" i="20"/>
  <c r="AQ64" i="20"/>
  <c r="AP64" i="20"/>
  <c r="AO64" i="20"/>
  <c r="AN64" i="20"/>
  <c r="AL64" i="20"/>
  <c r="X64" i="20"/>
  <c r="W64" i="20"/>
  <c r="V64" i="20"/>
  <c r="U64" i="20"/>
  <c r="T64" i="20"/>
  <c r="S64" i="20"/>
  <c r="R64" i="20"/>
  <c r="Q64" i="20"/>
  <c r="P64" i="20"/>
  <c r="O64" i="20"/>
  <c r="M64" i="20"/>
  <c r="AW63" i="20"/>
  <c r="AV63" i="20"/>
  <c r="AU63" i="20"/>
  <c r="AT63" i="20"/>
  <c r="AS63" i="20"/>
  <c r="AR63" i="20"/>
  <c r="AQ63" i="20"/>
  <c r="AP63" i="20"/>
  <c r="AO63" i="20"/>
  <c r="AN63" i="20"/>
  <c r="AL63" i="20"/>
  <c r="X63" i="20"/>
  <c r="W63" i="20"/>
  <c r="V63" i="20"/>
  <c r="U63" i="20"/>
  <c r="T63" i="20"/>
  <c r="S63" i="20"/>
  <c r="R63" i="20"/>
  <c r="Q63" i="20"/>
  <c r="P63" i="20"/>
  <c r="O63" i="20"/>
  <c r="M63" i="20"/>
  <c r="AW62" i="20"/>
  <c r="AV62" i="20"/>
  <c r="AU62" i="20"/>
  <c r="AT62" i="20"/>
  <c r="AS62" i="20"/>
  <c r="AR62" i="20"/>
  <c r="AQ62" i="20"/>
  <c r="AP62" i="20"/>
  <c r="AO62" i="20"/>
  <c r="AN62" i="20"/>
  <c r="AL62" i="20"/>
  <c r="X62" i="20"/>
  <c r="W62" i="20"/>
  <c r="V62" i="20"/>
  <c r="U62" i="20"/>
  <c r="T62" i="20"/>
  <c r="S62" i="20"/>
  <c r="R62" i="20"/>
  <c r="Q62" i="20"/>
  <c r="P62" i="20"/>
  <c r="O62" i="20"/>
  <c r="M62" i="20"/>
  <c r="X61" i="20"/>
  <c r="W61" i="20"/>
  <c r="V61" i="20"/>
  <c r="U61" i="20"/>
  <c r="T61" i="20"/>
  <c r="S61" i="20"/>
  <c r="R61" i="20"/>
  <c r="Q61" i="20"/>
  <c r="P61" i="20"/>
  <c r="O61" i="20"/>
  <c r="X60" i="20"/>
  <c r="W60" i="20"/>
  <c r="V60" i="20"/>
  <c r="U60" i="20"/>
  <c r="T60" i="20"/>
  <c r="S60" i="20"/>
  <c r="R60" i="20"/>
  <c r="Q60" i="20"/>
  <c r="P60" i="20"/>
  <c r="O60" i="20"/>
  <c r="X59" i="20"/>
  <c r="W59" i="20"/>
  <c r="V59" i="20"/>
  <c r="U59" i="20"/>
  <c r="T59" i="20"/>
  <c r="S59" i="20"/>
  <c r="R59" i="20"/>
  <c r="Q59" i="20"/>
  <c r="P59" i="20"/>
  <c r="O59" i="20"/>
  <c r="X58" i="20"/>
  <c r="W58" i="20"/>
  <c r="V58" i="20"/>
  <c r="U58" i="20"/>
  <c r="T58" i="20"/>
  <c r="S58" i="20"/>
  <c r="R58" i="20"/>
  <c r="Q58" i="20"/>
  <c r="P58" i="20"/>
  <c r="O58" i="20"/>
  <c r="X57" i="20"/>
  <c r="W57" i="20"/>
  <c r="V57" i="20"/>
  <c r="U57" i="20"/>
  <c r="T57" i="20"/>
  <c r="S57" i="20"/>
  <c r="R57" i="20"/>
  <c r="Q57" i="20"/>
  <c r="P57" i="20"/>
  <c r="O57" i="20"/>
  <c r="X56" i="20"/>
  <c r="W56" i="20"/>
  <c r="V56" i="20"/>
  <c r="U56" i="20"/>
  <c r="T56" i="20"/>
  <c r="S56" i="20"/>
  <c r="R56" i="20"/>
  <c r="Q56" i="20"/>
  <c r="P56" i="20"/>
  <c r="O56" i="20"/>
  <c r="X55" i="20"/>
  <c r="W55" i="20"/>
  <c r="V55" i="20"/>
  <c r="U55" i="20"/>
  <c r="T55" i="20"/>
  <c r="S55" i="20"/>
  <c r="R55" i="20"/>
  <c r="Q55" i="20"/>
  <c r="P55" i="20"/>
  <c r="O55" i="20"/>
  <c r="AF18" i="20"/>
  <c r="AD18" i="20"/>
  <c r="R19" i="20"/>
  <c r="AC18" i="20"/>
  <c r="Q19" i="20"/>
  <c r="AB18" i="20"/>
  <c r="DT16" i="20"/>
  <c r="DS16" i="20"/>
  <c r="DV16" i="20"/>
  <c r="DR16" i="20"/>
  <c r="DJ16" i="20"/>
  <c r="DI16" i="20"/>
  <c r="DH16" i="20"/>
  <c r="DK16" i="20"/>
  <c r="AW16" i="20"/>
  <c r="AV16" i="20"/>
  <c r="AL16" i="20"/>
  <c r="AK16" i="20"/>
  <c r="AA16" i="20"/>
  <c r="Z16" i="20"/>
  <c r="U16" i="20"/>
  <c r="T16" i="20"/>
  <c r="G16" i="20"/>
  <c r="F16" i="20"/>
  <c r="E16" i="20"/>
  <c r="C16" i="20"/>
  <c r="CH16" i="20"/>
  <c r="CG15" i="20"/>
  <c r="CF15" i="20"/>
  <c r="CB15" i="20"/>
  <c r="CA15" i="20"/>
  <c r="BR15" i="20"/>
  <c r="BQ15" i="20"/>
  <c r="BH15" i="20"/>
  <c r="BG15" i="20"/>
  <c r="U15" i="20"/>
  <c r="T15" i="20"/>
  <c r="G15" i="20"/>
  <c r="F15" i="20"/>
  <c r="J15" i="20"/>
  <c r="C15" i="20"/>
  <c r="CH15" i="20"/>
  <c r="U14" i="20"/>
  <c r="T14" i="20"/>
  <c r="G14" i="20"/>
  <c r="F14" i="20"/>
  <c r="C14" i="20"/>
  <c r="CH14" i="20"/>
  <c r="DT13" i="20"/>
  <c r="DS13" i="20"/>
  <c r="DR13" i="20"/>
  <c r="DJ13" i="20"/>
  <c r="DI13" i="20"/>
  <c r="DH13" i="20"/>
  <c r="AW13" i="20"/>
  <c r="AV13" i="20"/>
  <c r="AL13" i="20"/>
  <c r="AK13" i="20"/>
  <c r="AA13" i="20"/>
  <c r="Z13" i="20"/>
  <c r="U13" i="20"/>
  <c r="T13" i="20"/>
  <c r="G13" i="20"/>
  <c r="F13" i="20"/>
  <c r="C13" i="20"/>
  <c r="CH13" i="20"/>
  <c r="CH12" i="20"/>
  <c r="CG12" i="20"/>
  <c r="CF12" i="20"/>
  <c r="CB12" i="20"/>
  <c r="CA12" i="20"/>
  <c r="BR12" i="20"/>
  <c r="BQ12" i="20"/>
  <c r="BH12" i="20"/>
  <c r="BG12" i="20"/>
  <c r="U12" i="20"/>
  <c r="T12" i="20"/>
  <c r="F12" i="20"/>
  <c r="J12" i="20"/>
  <c r="C12" i="20"/>
  <c r="DT11" i="20"/>
  <c r="DS11" i="20"/>
  <c r="DR11" i="20"/>
  <c r="DU11" i="20"/>
  <c r="DJ11" i="20"/>
  <c r="DI11" i="20"/>
  <c r="DH11" i="20"/>
  <c r="DL11" i="20"/>
  <c r="AW11" i="20"/>
  <c r="AV11" i="20"/>
  <c r="AL11" i="20"/>
  <c r="AK11" i="20"/>
  <c r="AA11" i="20"/>
  <c r="Z11" i="20"/>
  <c r="U11" i="20"/>
  <c r="T11" i="20"/>
  <c r="J11" i="20"/>
  <c r="I11" i="20"/>
  <c r="C11" i="20"/>
  <c r="CH11" i="20"/>
  <c r="CG10" i="20"/>
  <c r="CF10" i="20"/>
  <c r="CB10" i="20"/>
  <c r="CA10" i="20"/>
  <c r="BR10" i="20"/>
  <c r="BQ10" i="20"/>
  <c r="BH10" i="20"/>
  <c r="BG10" i="20"/>
  <c r="U10" i="20"/>
  <c r="T10" i="20"/>
  <c r="J10" i="20"/>
  <c r="I10" i="20"/>
  <c r="C10" i="20"/>
  <c r="CH10" i="20"/>
  <c r="DT9" i="20"/>
  <c r="DS9" i="20"/>
  <c r="DU9" i="20"/>
  <c r="DR9" i="20"/>
  <c r="DV9" i="20"/>
  <c r="DJ9" i="20"/>
  <c r="DI9" i="20"/>
  <c r="DH9" i="20"/>
  <c r="DL9" i="20"/>
  <c r="AW9" i="20"/>
  <c r="AV9" i="20"/>
  <c r="AL9" i="20"/>
  <c r="AK9" i="20"/>
  <c r="AA9" i="20"/>
  <c r="Z9" i="20"/>
  <c r="U9" i="20"/>
  <c r="T9" i="20"/>
  <c r="J9" i="20"/>
  <c r="I9" i="20"/>
  <c r="C9" i="20"/>
  <c r="CH9" i="20"/>
  <c r="DU8" i="20"/>
  <c r="DT8" i="20"/>
  <c r="DS8" i="20"/>
  <c r="DR8" i="20"/>
  <c r="DJ8" i="20"/>
  <c r="DI8" i="20"/>
  <c r="DH8" i="20"/>
  <c r="CG8" i="20"/>
  <c r="CF8" i="20"/>
  <c r="CB8" i="20"/>
  <c r="CA8" i="20"/>
  <c r="BR8" i="20"/>
  <c r="BQ8" i="20"/>
  <c r="BH8" i="20"/>
  <c r="BG8" i="20"/>
  <c r="AW8" i="20"/>
  <c r="AV8" i="20"/>
  <c r="AL8" i="20"/>
  <c r="AK8" i="20"/>
  <c r="AA8" i="20"/>
  <c r="Z8" i="20"/>
  <c r="U8" i="20"/>
  <c r="T8" i="20"/>
  <c r="J8" i="20"/>
  <c r="I8" i="20"/>
  <c r="C8" i="20"/>
  <c r="CH8" i="20"/>
  <c r="DT7" i="20"/>
  <c r="DS7" i="20"/>
  <c r="DR7" i="20"/>
  <c r="DV7" i="20"/>
  <c r="DJ7" i="20"/>
  <c r="DI7" i="20"/>
  <c r="DH7" i="20"/>
  <c r="DL7" i="20"/>
  <c r="AW7" i="20"/>
  <c r="AV7" i="20"/>
  <c r="AL7" i="20"/>
  <c r="AK7" i="20"/>
  <c r="AA7" i="20"/>
  <c r="Z7" i="20"/>
  <c r="U7" i="20"/>
  <c r="T7" i="20"/>
  <c r="J7" i="20"/>
  <c r="I7" i="20"/>
  <c r="C7" i="20"/>
  <c r="G17" i="20"/>
  <c r="DT6" i="20"/>
  <c r="DU6" i="20"/>
  <c r="DS6" i="20"/>
  <c r="DR6" i="20"/>
  <c r="DJ6" i="20"/>
  <c r="DI6" i="20"/>
  <c r="DH6" i="20"/>
  <c r="CG6" i="20"/>
  <c r="CF6" i="20"/>
  <c r="CB6" i="20"/>
  <c r="CA6" i="20"/>
  <c r="BR6" i="20"/>
  <c r="BQ6" i="20"/>
  <c r="BH6" i="20"/>
  <c r="BG6" i="20"/>
  <c r="AW6" i="20"/>
  <c r="AV6" i="20"/>
  <c r="AL6" i="20"/>
  <c r="AK6" i="20"/>
  <c r="AA6" i="20"/>
  <c r="Z6" i="20"/>
  <c r="U6" i="20"/>
  <c r="T6" i="20"/>
  <c r="J6" i="20"/>
  <c r="I6" i="20"/>
  <c r="C6" i="20"/>
  <c r="CH6" i="20"/>
  <c r="AU97" i="19"/>
  <c r="AT97" i="19"/>
  <c r="AS97" i="19"/>
  <c r="AR97" i="19"/>
  <c r="AQ97" i="19"/>
  <c r="AP97" i="19"/>
  <c r="AO97" i="19"/>
  <c r="AN97" i="19"/>
  <c r="AM97" i="19"/>
  <c r="AL97" i="19"/>
  <c r="AK97" i="19"/>
  <c r="W97" i="19"/>
  <c r="V97" i="19"/>
  <c r="U97" i="19"/>
  <c r="T97" i="19"/>
  <c r="S97" i="19"/>
  <c r="R97" i="19"/>
  <c r="Q97" i="19"/>
  <c r="P97" i="19"/>
  <c r="O97" i="19"/>
  <c r="N97" i="19"/>
  <c r="M97" i="19"/>
  <c r="AU96" i="19"/>
  <c r="AT96" i="19"/>
  <c r="AS96" i="19"/>
  <c r="AR96" i="19"/>
  <c r="AQ96" i="19"/>
  <c r="AP96" i="19"/>
  <c r="AO96" i="19"/>
  <c r="AN96" i="19"/>
  <c r="AM96" i="19"/>
  <c r="AL96" i="19"/>
  <c r="AK96" i="19"/>
  <c r="W96" i="19"/>
  <c r="V96" i="19"/>
  <c r="U96" i="19"/>
  <c r="T96" i="19"/>
  <c r="S96" i="19"/>
  <c r="R96" i="19"/>
  <c r="Q96" i="19"/>
  <c r="P96" i="19"/>
  <c r="O96" i="19"/>
  <c r="N96" i="19"/>
  <c r="X96" i="19"/>
  <c r="M96" i="19"/>
  <c r="W95" i="19"/>
  <c r="V95" i="19"/>
  <c r="U95" i="19"/>
  <c r="T95" i="19"/>
  <c r="S95" i="19"/>
  <c r="R95" i="19"/>
  <c r="Q95" i="19"/>
  <c r="P95" i="19"/>
  <c r="O95" i="19"/>
  <c r="N95" i="19"/>
  <c r="M95" i="19"/>
  <c r="W94" i="19"/>
  <c r="V94" i="19"/>
  <c r="U94" i="19"/>
  <c r="T94" i="19"/>
  <c r="S94" i="19"/>
  <c r="R94" i="19"/>
  <c r="Q94" i="19"/>
  <c r="P94" i="19"/>
  <c r="O94" i="19"/>
  <c r="N94" i="19"/>
  <c r="M94" i="19"/>
  <c r="W93" i="19"/>
  <c r="V93" i="19"/>
  <c r="U93" i="19"/>
  <c r="T93" i="19"/>
  <c r="S93" i="19"/>
  <c r="R93" i="19"/>
  <c r="Q93" i="19"/>
  <c r="P93" i="19"/>
  <c r="O93" i="19"/>
  <c r="N93" i="19"/>
  <c r="M93" i="19"/>
  <c r="AU92" i="19"/>
  <c r="AT92" i="19"/>
  <c r="AS92" i="19"/>
  <c r="AR92" i="19"/>
  <c r="AQ92" i="19"/>
  <c r="AP92" i="19"/>
  <c r="AO92" i="19"/>
  <c r="AN92" i="19"/>
  <c r="AM92" i="19"/>
  <c r="AL92" i="19"/>
  <c r="AK92" i="19"/>
  <c r="W92" i="19"/>
  <c r="V92" i="19"/>
  <c r="U92" i="19"/>
  <c r="T92" i="19"/>
  <c r="S92" i="19"/>
  <c r="R92" i="19"/>
  <c r="Q92" i="19"/>
  <c r="P92" i="19"/>
  <c r="O92" i="19"/>
  <c r="N92" i="19"/>
  <c r="M92" i="19"/>
  <c r="AU91" i="19"/>
  <c r="AT91" i="19"/>
  <c r="AS91" i="19"/>
  <c r="AR91" i="19"/>
  <c r="AQ91" i="19"/>
  <c r="AP91" i="19"/>
  <c r="AO91" i="19"/>
  <c r="AN91" i="19"/>
  <c r="AM91" i="19"/>
  <c r="AL91" i="19"/>
  <c r="AV91" i="19"/>
  <c r="AK91" i="19"/>
  <c r="W90" i="19"/>
  <c r="V90" i="19"/>
  <c r="U90" i="19"/>
  <c r="T90" i="19"/>
  <c r="S90" i="19"/>
  <c r="R90" i="19"/>
  <c r="Q90" i="19"/>
  <c r="P90" i="19"/>
  <c r="O90" i="19"/>
  <c r="N90" i="19"/>
  <c r="M90" i="19"/>
  <c r="AU89" i="19"/>
  <c r="AT89" i="19"/>
  <c r="AS89" i="19"/>
  <c r="AR89" i="19"/>
  <c r="AQ89" i="19"/>
  <c r="AP89" i="19"/>
  <c r="AO89" i="19"/>
  <c r="AN89" i="19"/>
  <c r="AM89" i="19"/>
  <c r="AL89" i="19"/>
  <c r="AK89" i="19"/>
  <c r="W89" i="19"/>
  <c r="V89" i="19"/>
  <c r="U89" i="19"/>
  <c r="T89" i="19"/>
  <c r="S89" i="19"/>
  <c r="R89" i="19"/>
  <c r="Q89" i="19"/>
  <c r="P89" i="19"/>
  <c r="O89" i="19"/>
  <c r="N89" i="19"/>
  <c r="M89" i="19"/>
  <c r="AU88" i="19"/>
  <c r="AT88" i="19"/>
  <c r="AS88" i="19"/>
  <c r="AR88" i="19"/>
  <c r="AQ88" i="19"/>
  <c r="AP88" i="19"/>
  <c r="AO88" i="19"/>
  <c r="AN88" i="19"/>
  <c r="AM88" i="19"/>
  <c r="AL88" i="19"/>
  <c r="AK88" i="19"/>
  <c r="W88" i="19"/>
  <c r="V88" i="19"/>
  <c r="U88" i="19"/>
  <c r="T88" i="19"/>
  <c r="S88" i="19"/>
  <c r="R88" i="19"/>
  <c r="Q88" i="19"/>
  <c r="P88" i="19"/>
  <c r="O88" i="19"/>
  <c r="N88" i="19"/>
  <c r="M88" i="19"/>
  <c r="W87" i="19"/>
  <c r="V87" i="19"/>
  <c r="U87" i="19"/>
  <c r="T87" i="19"/>
  <c r="S87" i="19"/>
  <c r="R87" i="19"/>
  <c r="Q87" i="19"/>
  <c r="P87" i="19"/>
  <c r="O87" i="19"/>
  <c r="N87" i="19"/>
  <c r="M87" i="19"/>
  <c r="W86" i="19"/>
  <c r="V86" i="19"/>
  <c r="U86" i="19"/>
  <c r="T86" i="19"/>
  <c r="S86" i="19"/>
  <c r="R86" i="19"/>
  <c r="Q86" i="19"/>
  <c r="P86" i="19"/>
  <c r="O86" i="19"/>
  <c r="N86" i="19"/>
  <c r="M86" i="19"/>
  <c r="W85" i="19"/>
  <c r="V85" i="19"/>
  <c r="U85" i="19"/>
  <c r="T85" i="19"/>
  <c r="S85" i="19"/>
  <c r="R85" i="19"/>
  <c r="Q85" i="19"/>
  <c r="P85" i="19"/>
  <c r="O85" i="19"/>
  <c r="N85" i="19"/>
  <c r="X85" i="19"/>
  <c r="M85" i="19"/>
  <c r="W84" i="19"/>
  <c r="V84" i="19"/>
  <c r="U84" i="19"/>
  <c r="T84" i="19"/>
  <c r="S84" i="19"/>
  <c r="R84" i="19"/>
  <c r="Q84" i="19"/>
  <c r="P84" i="19"/>
  <c r="O84" i="19"/>
  <c r="N84" i="19"/>
  <c r="M84" i="19"/>
  <c r="W83" i="19"/>
  <c r="V83" i="19"/>
  <c r="U83" i="19"/>
  <c r="T83" i="19"/>
  <c r="S83" i="19"/>
  <c r="R83" i="19"/>
  <c r="Q83" i="19"/>
  <c r="P83" i="19"/>
  <c r="O83" i="19"/>
  <c r="N83" i="19"/>
  <c r="M83" i="19"/>
  <c r="AU82" i="19"/>
  <c r="AT82" i="19"/>
  <c r="AS82" i="19"/>
  <c r="AR82" i="19"/>
  <c r="AQ82" i="19"/>
  <c r="AP82" i="19"/>
  <c r="AO82" i="19"/>
  <c r="AN82" i="19"/>
  <c r="AM82" i="19"/>
  <c r="AL82" i="19"/>
  <c r="AK82" i="19"/>
  <c r="W82" i="19"/>
  <c r="V82" i="19"/>
  <c r="U82" i="19"/>
  <c r="T82" i="19"/>
  <c r="S82" i="19"/>
  <c r="R82" i="19"/>
  <c r="Q82" i="19"/>
  <c r="P82" i="19"/>
  <c r="O82" i="19"/>
  <c r="N82" i="19"/>
  <c r="M82" i="19"/>
  <c r="AU81" i="19"/>
  <c r="AT81" i="19"/>
  <c r="AS81" i="19"/>
  <c r="AR81" i="19"/>
  <c r="AQ81" i="19"/>
  <c r="AP81" i="19"/>
  <c r="AO81" i="19"/>
  <c r="AN81" i="19"/>
  <c r="AM81" i="19"/>
  <c r="AL81" i="19"/>
  <c r="AK81" i="19"/>
  <c r="W81" i="19"/>
  <c r="V81" i="19"/>
  <c r="U81" i="19"/>
  <c r="T81" i="19"/>
  <c r="S81" i="19"/>
  <c r="R81" i="19"/>
  <c r="Q81" i="19"/>
  <c r="P81" i="19"/>
  <c r="O81" i="19"/>
  <c r="N81" i="19"/>
  <c r="M81" i="19"/>
  <c r="AU80" i="19"/>
  <c r="AT80" i="19"/>
  <c r="AS80" i="19"/>
  <c r="AR80" i="19"/>
  <c r="AQ80" i="19"/>
  <c r="AP80" i="19"/>
  <c r="AO80" i="19"/>
  <c r="AN80" i="19"/>
  <c r="AM80" i="19"/>
  <c r="AL80" i="19"/>
  <c r="AK80" i="19"/>
  <c r="W80" i="19"/>
  <c r="V80" i="19"/>
  <c r="U80" i="19"/>
  <c r="T80" i="19"/>
  <c r="S80" i="19"/>
  <c r="R80" i="19"/>
  <c r="Q80" i="19"/>
  <c r="P80" i="19"/>
  <c r="O80" i="19"/>
  <c r="N80" i="19"/>
  <c r="M80" i="19"/>
  <c r="W76" i="19"/>
  <c r="V76" i="19"/>
  <c r="U76" i="19"/>
  <c r="T76" i="19"/>
  <c r="S76" i="19"/>
  <c r="R76" i="19"/>
  <c r="Q76" i="19"/>
  <c r="P76" i="19"/>
  <c r="O76" i="19"/>
  <c r="N76" i="19"/>
  <c r="M76" i="19"/>
  <c r="W75" i="19"/>
  <c r="V75" i="19"/>
  <c r="U75" i="19"/>
  <c r="T75" i="19"/>
  <c r="S75" i="19"/>
  <c r="R75" i="19"/>
  <c r="Q75" i="19"/>
  <c r="P75" i="19"/>
  <c r="O75" i="19"/>
  <c r="N75" i="19"/>
  <c r="X75" i="19"/>
  <c r="M75" i="19"/>
  <c r="AU74" i="19"/>
  <c r="AT74" i="19"/>
  <c r="AS74" i="19"/>
  <c r="AR74" i="19"/>
  <c r="AQ74" i="19"/>
  <c r="AP74" i="19"/>
  <c r="AO74" i="19"/>
  <c r="AN74" i="19"/>
  <c r="AM74" i="19"/>
  <c r="AL74" i="19"/>
  <c r="AK74" i="19"/>
  <c r="W74" i="19"/>
  <c r="V74" i="19"/>
  <c r="U74" i="19"/>
  <c r="T74" i="19"/>
  <c r="S74" i="19"/>
  <c r="R74" i="19"/>
  <c r="Q74" i="19"/>
  <c r="P74" i="19"/>
  <c r="O74" i="19"/>
  <c r="N74" i="19"/>
  <c r="M74" i="19"/>
  <c r="W73" i="19"/>
  <c r="V73" i="19"/>
  <c r="U73" i="19"/>
  <c r="T73" i="19"/>
  <c r="S73" i="19"/>
  <c r="R73" i="19"/>
  <c r="Q73" i="19"/>
  <c r="P73" i="19"/>
  <c r="O73" i="19"/>
  <c r="N73" i="19"/>
  <c r="M73" i="19"/>
  <c r="W72" i="19"/>
  <c r="V72" i="19"/>
  <c r="U72" i="19"/>
  <c r="T72" i="19"/>
  <c r="S72" i="19"/>
  <c r="R72" i="19"/>
  <c r="Q72" i="19"/>
  <c r="P72" i="19"/>
  <c r="O72" i="19"/>
  <c r="N72" i="19"/>
  <c r="M72" i="19"/>
  <c r="AU71" i="19"/>
  <c r="AT71" i="19"/>
  <c r="AS71" i="19"/>
  <c r="AR71" i="19"/>
  <c r="AQ71" i="19"/>
  <c r="AP71" i="19"/>
  <c r="AO71" i="19"/>
  <c r="AN71" i="19"/>
  <c r="AM71" i="19"/>
  <c r="AL71" i="19"/>
  <c r="AK71" i="19"/>
  <c r="W71" i="19"/>
  <c r="V71" i="19"/>
  <c r="U71" i="19"/>
  <c r="T71" i="19"/>
  <c r="S71" i="19"/>
  <c r="R71" i="19"/>
  <c r="Q71" i="19"/>
  <c r="P71" i="19"/>
  <c r="O71" i="19"/>
  <c r="N71" i="19"/>
  <c r="M71" i="19"/>
  <c r="AU70" i="19"/>
  <c r="AT70" i="19"/>
  <c r="AS70" i="19"/>
  <c r="AR70" i="19"/>
  <c r="AQ70" i="19"/>
  <c r="AP70" i="19"/>
  <c r="AO70" i="19"/>
  <c r="AN70" i="19"/>
  <c r="AM70" i="19"/>
  <c r="AL70" i="19"/>
  <c r="AK70" i="19"/>
  <c r="AU69" i="19"/>
  <c r="AT69" i="19"/>
  <c r="AS69" i="19"/>
  <c r="AR69" i="19"/>
  <c r="AQ69" i="19"/>
  <c r="AP69" i="19"/>
  <c r="AO69" i="19"/>
  <c r="AN69" i="19"/>
  <c r="AM69" i="19"/>
  <c r="AL69" i="19"/>
  <c r="AV69" i="19"/>
  <c r="AK69" i="19"/>
  <c r="W69" i="19"/>
  <c r="V69" i="19"/>
  <c r="U69" i="19"/>
  <c r="T69" i="19"/>
  <c r="S69" i="19"/>
  <c r="R69" i="19"/>
  <c r="Q69" i="19"/>
  <c r="P69" i="19"/>
  <c r="O69" i="19"/>
  <c r="N69" i="19"/>
  <c r="M69" i="19"/>
  <c r="AU68" i="19"/>
  <c r="AT68" i="19"/>
  <c r="AS68" i="19"/>
  <c r="AR68" i="19"/>
  <c r="AQ68" i="19"/>
  <c r="AP68" i="19"/>
  <c r="AO68" i="19"/>
  <c r="AN68" i="19"/>
  <c r="AM68" i="19"/>
  <c r="AL68" i="19"/>
  <c r="AK68" i="19"/>
  <c r="W68" i="19"/>
  <c r="V68" i="19"/>
  <c r="U68" i="19"/>
  <c r="T68" i="19"/>
  <c r="S68" i="19"/>
  <c r="R68" i="19"/>
  <c r="Q68" i="19"/>
  <c r="P68" i="19"/>
  <c r="O68" i="19"/>
  <c r="N68" i="19"/>
  <c r="M68" i="19"/>
  <c r="W67" i="19"/>
  <c r="V67" i="19"/>
  <c r="U67" i="19"/>
  <c r="T67" i="19"/>
  <c r="S67" i="19"/>
  <c r="R67" i="19"/>
  <c r="Q67" i="19"/>
  <c r="P67" i="19"/>
  <c r="O67" i="19"/>
  <c r="N67" i="19"/>
  <c r="W66" i="19"/>
  <c r="V66" i="19"/>
  <c r="U66" i="19"/>
  <c r="T66" i="19"/>
  <c r="S66" i="19"/>
  <c r="R66" i="19"/>
  <c r="Q66" i="19"/>
  <c r="P66" i="19"/>
  <c r="O66" i="19"/>
  <c r="N66" i="19"/>
  <c r="W65" i="19"/>
  <c r="V65" i="19"/>
  <c r="U65" i="19"/>
  <c r="T65" i="19"/>
  <c r="S65" i="19"/>
  <c r="R65" i="19"/>
  <c r="Q65" i="19"/>
  <c r="P65" i="19"/>
  <c r="O65" i="19"/>
  <c r="N65" i="19"/>
  <c r="W64" i="19"/>
  <c r="V64" i="19"/>
  <c r="U64" i="19"/>
  <c r="T64" i="19"/>
  <c r="S64" i="19"/>
  <c r="R64" i="19"/>
  <c r="Q64" i="19"/>
  <c r="P64" i="19"/>
  <c r="O64" i="19"/>
  <c r="N64" i="19"/>
  <c r="W63" i="19"/>
  <c r="V63" i="19"/>
  <c r="U63" i="19"/>
  <c r="T63" i="19"/>
  <c r="S63" i="19"/>
  <c r="R63" i="19"/>
  <c r="Q63" i="19"/>
  <c r="P63" i="19"/>
  <c r="O63" i="19"/>
  <c r="N63" i="19"/>
  <c r="W62" i="19"/>
  <c r="V62" i="19"/>
  <c r="U62" i="19"/>
  <c r="T62" i="19"/>
  <c r="S62" i="19"/>
  <c r="R62" i="19"/>
  <c r="Q62" i="19"/>
  <c r="P62" i="19"/>
  <c r="O62" i="19"/>
  <c r="N62" i="19"/>
  <c r="W61" i="19"/>
  <c r="V61" i="19"/>
  <c r="U61" i="19"/>
  <c r="T61" i="19"/>
  <c r="S61" i="19"/>
  <c r="R61" i="19"/>
  <c r="Q61" i="19"/>
  <c r="P61" i="19"/>
  <c r="O61" i="19"/>
  <c r="N61" i="19"/>
  <c r="W60" i="19"/>
  <c r="V60" i="19"/>
  <c r="U60" i="19"/>
  <c r="T60" i="19"/>
  <c r="S60" i="19"/>
  <c r="R60" i="19"/>
  <c r="Q60" i="19"/>
  <c r="P60" i="19"/>
  <c r="O60" i="19"/>
  <c r="N60" i="19"/>
  <c r="W59" i="19"/>
  <c r="V59" i="19"/>
  <c r="U59" i="19"/>
  <c r="T59" i="19"/>
  <c r="S59" i="19"/>
  <c r="R59" i="19"/>
  <c r="Q59" i="19"/>
  <c r="P59" i="19"/>
  <c r="O59" i="19"/>
  <c r="N59" i="19"/>
  <c r="AD22" i="19"/>
  <c r="R23" i="19"/>
  <c r="AC22" i="19"/>
  <c r="AB22" i="19"/>
  <c r="P23" i="19"/>
  <c r="DU20" i="19"/>
  <c r="DS20" i="19"/>
  <c r="DR20" i="19"/>
  <c r="DQ20" i="19"/>
  <c r="DT20" i="19"/>
  <c r="DI20" i="19"/>
  <c r="DH20" i="19"/>
  <c r="DG20" i="19"/>
  <c r="DK20" i="19"/>
  <c r="AW20" i="19"/>
  <c r="AV20" i="19"/>
  <c r="AA20" i="19"/>
  <c r="Z20" i="19"/>
  <c r="U20" i="19"/>
  <c r="T20" i="19"/>
  <c r="J20" i="19"/>
  <c r="I20" i="19"/>
  <c r="G20" i="19"/>
  <c r="F20" i="19"/>
  <c r="E20" i="19"/>
  <c r="C20" i="19"/>
  <c r="CH20" i="19"/>
  <c r="CG19" i="19"/>
  <c r="CF19" i="19"/>
  <c r="CB19" i="19"/>
  <c r="CA19" i="19"/>
  <c r="BR19" i="19"/>
  <c r="BQ19" i="19"/>
  <c r="BH19" i="19"/>
  <c r="BG19" i="19"/>
  <c r="U19" i="19"/>
  <c r="T19" i="19"/>
  <c r="G19" i="19"/>
  <c r="F19" i="19"/>
  <c r="C19" i="19"/>
  <c r="CH19" i="19"/>
  <c r="U18" i="19"/>
  <c r="T18" i="19"/>
  <c r="G18" i="19"/>
  <c r="F18" i="19"/>
  <c r="J18" i="19"/>
  <c r="C18" i="19"/>
  <c r="CH18" i="19"/>
  <c r="DS17" i="19"/>
  <c r="DR17" i="19"/>
  <c r="DQ17" i="19"/>
  <c r="DU17" i="19"/>
  <c r="DI17" i="19"/>
  <c r="DH17" i="19"/>
  <c r="DG17" i="19"/>
  <c r="DK17" i="19"/>
  <c r="AW17" i="19"/>
  <c r="AV17" i="19"/>
  <c r="AL17" i="19"/>
  <c r="AK17" i="19"/>
  <c r="AA17" i="19"/>
  <c r="Z17" i="19"/>
  <c r="U17" i="19"/>
  <c r="T17" i="19"/>
  <c r="J17" i="19"/>
  <c r="I17" i="19"/>
  <c r="G17" i="19"/>
  <c r="F17" i="19"/>
  <c r="C17" i="19"/>
  <c r="CH17" i="19"/>
  <c r="CG16" i="19"/>
  <c r="CF16" i="19"/>
  <c r="CB16" i="19"/>
  <c r="CA16" i="19"/>
  <c r="BR16" i="19"/>
  <c r="BQ16" i="19"/>
  <c r="BH16" i="19"/>
  <c r="BG16" i="19"/>
  <c r="U16" i="19"/>
  <c r="T16" i="19"/>
  <c r="G16" i="19"/>
  <c r="J16" i="19"/>
  <c r="C16" i="19"/>
  <c r="CH16" i="19"/>
  <c r="DS15" i="19"/>
  <c r="DR15" i="19"/>
  <c r="DQ15" i="19"/>
  <c r="DU15" i="19"/>
  <c r="DI15" i="19"/>
  <c r="DH15" i="19"/>
  <c r="DK15" i="19"/>
  <c r="DG15" i="19"/>
  <c r="DJ15" i="19"/>
  <c r="AW15" i="19"/>
  <c r="AV15" i="19"/>
  <c r="AL15" i="19"/>
  <c r="AK15" i="19"/>
  <c r="AA15" i="19"/>
  <c r="Z15" i="19"/>
  <c r="U15" i="19"/>
  <c r="T15" i="19"/>
  <c r="J15" i="19"/>
  <c r="I15" i="19"/>
  <c r="C15" i="19"/>
  <c r="CH15" i="19"/>
  <c r="CG14" i="19"/>
  <c r="CF14" i="19"/>
  <c r="CB14" i="19"/>
  <c r="CA14" i="19"/>
  <c r="BR14" i="19"/>
  <c r="BQ14" i="19"/>
  <c r="BH14" i="19"/>
  <c r="BG14" i="19"/>
  <c r="U14" i="19"/>
  <c r="T14" i="19"/>
  <c r="J14" i="19"/>
  <c r="I14" i="19"/>
  <c r="C14" i="19"/>
  <c r="CH14" i="19"/>
  <c r="DS13" i="19"/>
  <c r="DR13" i="19"/>
  <c r="DQ13" i="19"/>
  <c r="DI13" i="19"/>
  <c r="DH13" i="19"/>
  <c r="DK13" i="19"/>
  <c r="DG13" i="19"/>
  <c r="DJ13" i="19"/>
  <c r="AW13" i="19"/>
  <c r="AV13" i="19"/>
  <c r="AL13" i="19"/>
  <c r="AK13" i="19"/>
  <c r="AA13" i="19"/>
  <c r="Z13" i="19"/>
  <c r="U13" i="19"/>
  <c r="T13" i="19"/>
  <c r="J13" i="19"/>
  <c r="I13" i="19"/>
  <c r="C13" i="19"/>
  <c r="CH13" i="19"/>
  <c r="CG12" i="19"/>
  <c r="CF12" i="19"/>
  <c r="CB12" i="19"/>
  <c r="CA12" i="19"/>
  <c r="BR12" i="19"/>
  <c r="BQ12" i="19"/>
  <c r="BH12" i="19"/>
  <c r="BG12" i="19"/>
  <c r="U12" i="19"/>
  <c r="T12" i="19"/>
  <c r="J12" i="19"/>
  <c r="I12" i="19"/>
  <c r="C12" i="19"/>
  <c r="CH12" i="19"/>
  <c r="DS11" i="19"/>
  <c r="DR11" i="19"/>
  <c r="DQ11" i="19"/>
  <c r="DI11" i="19"/>
  <c r="DH11" i="19"/>
  <c r="DK11" i="19"/>
  <c r="DG11" i="19"/>
  <c r="AW11" i="19"/>
  <c r="AV11" i="19"/>
  <c r="AL11" i="19"/>
  <c r="AK11" i="19"/>
  <c r="AA11" i="19"/>
  <c r="Z11" i="19"/>
  <c r="U11" i="19"/>
  <c r="T11" i="19"/>
  <c r="J11" i="19"/>
  <c r="I11" i="19"/>
  <c r="C11" i="19"/>
  <c r="CH11" i="19"/>
  <c r="DS10" i="19"/>
  <c r="DR10" i="19"/>
  <c r="DQ10" i="19"/>
  <c r="DU10" i="19"/>
  <c r="DK10" i="19"/>
  <c r="DI10" i="19"/>
  <c r="DH10" i="19"/>
  <c r="DG10" i="19"/>
  <c r="DJ10" i="19"/>
  <c r="AW10" i="19"/>
  <c r="AV10" i="19"/>
  <c r="AL10" i="19"/>
  <c r="AK10" i="19"/>
  <c r="AA10" i="19"/>
  <c r="Z10" i="19"/>
  <c r="U10" i="19"/>
  <c r="T10" i="19"/>
  <c r="J10" i="19"/>
  <c r="I10" i="19"/>
  <c r="C10" i="19"/>
  <c r="CH10" i="19"/>
  <c r="DS9" i="19"/>
  <c r="DR9" i="19"/>
  <c r="DQ9" i="19"/>
  <c r="DI9" i="19"/>
  <c r="DH9" i="19"/>
  <c r="DG9" i="19"/>
  <c r="DJ9" i="19"/>
  <c r="CH9" i="19"/>
  <c r="CG9" i="19"/>
  <c r="CF9" i="19"/>
  <c r="CB9" i="19"/>
  <c r="CA9" i="19"/>
  <c r="BR9" i="19"/>
  <c r="BQ9" i="19"/>
  <c r="BH9" i="19"/>
  <c r="BG9" i="19"/>
  <c r="AW9" i="19"/>
  <c r="AV9" i="19"/>
  <c r="AL9" i="19"/>
  <c r="AK9" i="19"/>
  <c r="AA9" i="19"/>
  <c r="Z9" i="19"/>
  <c r="U9" i="19"/>
  <c r="T9" i="19"/>
  <c r="J9" i="19"/>
  <c r="I9" i="19"/>
  <c r="C9" i="19"/>
  <c r="DS8" i="19"/>
  <c r="DR8" i="19"/>
  <c r="DQ8" i="19"/>
  <c r="DU8" i="19"/>
  <c r="DI8" i="19"/>
  <c r="DJ8" i="19"/>
  <c r="DH8" i="19"/>
  <c r="DG8" i="19"/>
  <c r="DK8" i="19"/>
  <c r="AW8" i="19"/>
  <c r="AV8" i="19"/>
  <c r="AL8" i="19"/>
  <c r="AK8" i="19"/>
  <c r="AA8" i="19"/>
  <c r="Z8" i="19"/>
  <c r="U8" i="19"/>
  <c r="T8" i="19"/>
  <c r="J8" i="19"/>
  <c r="I8" i="19"/>
  <c r="C8" i="19"/>
  <c r="DS7" i="19"/>
  <c r="DR7" i="19"/>
  <c r="DQ7" i="19"/>
  <c r="DU7" i="19"/>
  <c r="DI7" i="19"/>
  <c r="DK7" i="19"/>
  <c r="DH7" i="19"/>
  <c r="DG7" i="19"/>
  <c r="DJ7" i="19"/>
  <c r="AW7" i="19"/>
  <c r="AV7" i="19"/>
  <c r="AL7" i="19"/>
  <c r="AK7" i="19"/>
  <c r="AA7" i="19"/>
  <c r="Z7" i="19"/>
  <c r="U7" i="19"/>
  <c r="T7" i="19"/>
  <c r="J7" i="19"/>
  <c r="I7" i="19"/>
  <c r="C7" i="19"/>
  <c r="CH7" i="19"/>
  <c r="DS6" i="19"/>
  <c r="DR6" i="19"/>
  <c r="DQ6" i="19"/>
  <c r="DI6" i="19"/>
  <c r="DH6" i="19"/>
  <c r="DG6" i="19"/>
  <c r="DJ6" i="19"/>
  <c r="CG6" i="19"/>
  <c r="CF6" i="19"/>
  <c r="CB6" i="19"/>
  <c r="CA6" i="19"/>
  <c r="BR6" i="19"/>
  <c r="BQ6" i="19"/>
  <c r="BH6" i="19"/>
  <c r="BG6" i="19"/>
  <c r="AW6" i="19"/>
  <c r="AV6" i="19"/>
  <c r="AL6" i="19"/>
  <c r="AK6" i="19"/>
  <c r="AA6" i="19"/>
  <c r="Z6" i="19"/>
  <c r="U6" i="19"/>
  <c r="T6" i="19"/>
  <c r="J6" i="19"/>
  <c r="I6" i="19"/>
  <c r="C6" i="19"/>
  <c r="W92" i="18"/>
  <c r="V92" i="18"/>
  <c r="U92" i="18"/>
  <c r="T92" i="18"/>
  <c r="S92" i="18"/>
  <c r="R92" i="18"/>
  <c r="Q92" i="18"/>
  <c r="P92" i="18"/>
  <c r="O92" i="18"/>
  <c r="N92" i="18"/>
  <c r="W91" i="18"/>
  <c r="V91" i="18"/>
  <c r="U91" i="18"/>
  <c r="T91" i="18"/>
  <c r="S91" i="18"/>
  <c r="R91" i="18"/>
  <c r="Q91" i="18"/>
  <c r="P91" i="18"/>
  <c r="O91" i="18"/>
  <c r="N91" i="18"/>
  <c r="W90" i="18"/>
  <c r="V90" i="18"/>
  <c r="U90" i="18"/>
  <c r="T90" i="18"/>
  <c r="S90" i="18"/>
  <c r="R90" i="18"/>
  <c r="Q90" i="18"/>
  <c r="P90" i="18"/>
  <c r="O90" i="18"/>
  <c r="N90" i="18"/>
  <c r="W89" i="18"/>
  <c r="V89" i="18"/>
  <c r="U89" i="18"/>
  <c r="T89" i="18"/>
  <c r="S89" i="18"/>
  <c r="R89" i="18"/>
  <c r="Q89" i="18"/>
  <c r="P89" i="18"/>
  <c r="O89" i="18"/>
  <c r="N89" i="18"/>
  <c r="W88" i="18"/>
  <c r="V88" i="18"/>
  <c r="U88" i="18"/>
  <c r="T88" i="18"/>
  <c r="S88" i="18"/>
  <c r="R88" i="18"/>
  <c r="Q88" i="18"/>
  <c r="P88" i="18"/>
  <c r="O88" i="18"/>
  <c r="N88" i="18"/>
  <c r="W86" i="18"/>
  <c r="V86" i="18"/>
  <c r="U86" i="18"/>
  <c r="T86" i="18"/>
  <c r="S86" i="18"/>
  <c r="R86" i="18"/>
  <c r="Q86" i="18"/>
  <c r="P86" i="18"/>
  <c r="O86" i="18"/>
  <c r="N86" i="18"/>
  <c r="W85" i="18"/>
  <c r="V85" i="18"/>
  <c r="U85" i="18"/>
  <c r="T85" i="18"/>
  <c r="S85" i="18"/>
  <c r="R85" i="18"/>
  <c r="Q85" i="18"/>
  <c r="P85" i="18"/>
  <c r="O85" i="18"/>
  <c r="N85" i="18"/>
  <c r="X85" i="18"/>
  <c r="W84" i="18"/>
  <c r="V84" i="18"/>
  <c r="U84" i="18"/>
  <c r="T84" i="18"/>
  <c r="S84" i="18"/>
  <c r="R84" i="18"/>
  <c r="Q84" i="18"/>
  <c r="P84" i="18"/>
  <c r="O84" i="18"/>
  <c r="N84" i="18"/>
  <c r="W83" i="18"/>
  <c r="V83" i="18"/>
  <c r="U83" i="18"/>
  <c r="T83" i="18"/>
  <c r="S83" i="18"/>
  <c r="R83" i="18"/>
  <c r="Q83" i="18"/>
  <c r="P83" i="18"/>
  <c r="O83" i="18"/>
  <c r="N83" i="18"/>
  <c r="W82" i="18"/>
  <c r="V82" i="18"/>
  <c r="U82" i="18"/>
  <c r="T82" i="18"/>
  <c r="S82" i="18"/>
  <c r="R82" i="18"/>
  <c r="Q82" i="18"/>
  <c r="P82" i="18"/>
  <c r="O82" i="18"/>
  <c r="N82" i="18"/>
  <c r="W81" i="18"/>
  <c r="V81" i="18"/>
  <c r="U81" i="18"/>
  <c r="T81" i="18"/>
  <c r="S81" i="18"/>
  <c r="R81" i="18"/>
  <c r="Q81" i="18"/>
  <c r="P81" i="18"/>
  <c r="O81" i="18"/>
  <c r="N81" i="18"/>
  <c r="W80" i="18"/>
  <c r="V80" i="18"/>
  <c r="U80" i="18"/>
  <c r="T80" i="18"/>
  <c r="S80" i="18"/>
  <c r="R80" i="18"/>
  <c r="Q80" i="18"/>
  <c r="P80" i="18"/>
  <c r="O80" i="18"/>
  <c r="N80" i="18"/>
  <c r="W79" i="18"/>
  <c r="V79" i="18"/>
  <c r="U79" i="18"/>
  <c r="T79" i="18"/>
  <c r="S79" i="18"/>
  <c r="R79" i="18"/>
  <c r="Q79" i="18"/>
  <c r="P79" i="18"/>
  <c r="O79" i="18"/>
  <c r="N79" i="18"/>
  <c r="W78" i="18"/>
  <c r="V78" i="18"/>
  <c r="U78" i="18"/>
  <c r="T78" i="18"/>
  <c r="S78" i="18"/>
  <c r="R78" i="18"/>
  <c r="Q78" i="18"/>
  <c r="P78" i="18"/>
  <c r="O78" i="18"/>
  <c r="N78" i="18"/>
  <c r="W77" i="18"/>
  <c r="V77" i="18"/>
  <c r="U77" i="18"/>
  <c r="T77" i="18"/>
  <c r="S77" i="18"/>
  <c r="R77" i="18"/>
  <c r="Q77" i="18"/>
  <c r="P77" i="18"/>
  <c r="O77" i="18"/>
  <c r="N77" i="18"/>
  <c r="X77" i="18"/>
  <c r="W76" i="18"/>
  <c r="V76" i="18"/>
  <c r="U76" i="18"/>
  <c r="T76" i="18"/>
  <c r="S76" i="18"/>
  <c r="R76" i="18"/>
  <c r="Q76" i="18"/>
  <c r="P76" i="18"/>
  <c r="O76" i="18"/>
  <c r="N76" i="18"/>
  <c r="W75" i="18"/>
  <c r="V75" i="18"/>
  <c r="U75" i="18"/>
  <c r="T75" i="18"/>
  <c r="S75" i="18"/>
  <c r="R75" i="18"/>
  <c r="Q75" i="18"/>
  <c r="P75" i="18"/>
  <c r="O75" i="18"/>
  <c r="N75" i="18"/>
  <c r="W72" i="18"/>
  <c r="V72" i="18"/>
  <c r="U72" i="18"/>
  <c r="T72" i="18"/>
  <c r="S72" i="18"/>
  <c r="R72" i="18"/>
  <c r="Q72" i="18"/>
  <c r="P72" i="18"/>
  <c r="O72" i="18"/>
  <c r="N72" i="18"/>
  <c r="W71" i="18"/>
  <c r="V71" i="18"/>
  <c r="U71" i="18"/>
  <c r="T71" i="18"/>
  <c r="S71" i="18"/>
  <c r="R71" i="18"/>
  <c r="Q71" i="18"/>
  <c r="P71" i="18"/>
  <c r="O71" i="18"/>
  <c r="N71" i="18"/>
  <c r="W70" i="18"/>
  <c r="V70" i="18"/>
  <c r="U70" i="18"/>
  <c r="T70" i="18"/>
  <c r="S70" i="18"/>
  <c r="R70" i="18"/>
  <c r="Q70" i="18"/>
  <c r="P70" i="18"/>
  <c r="O70" i="18"/>
  <c r="N70" i="18"/>
  <c r="W69" i="18"/>
  <c r="V69" i="18"/>
  <c r="U69" i="18"/>
  <c r="T69" i="18"/>
  <c r="S69" i="18"/>
  <c r="R69" i="18"/>
  <c r="Q69" i="18"/>
  <c r="P69" i="18"/>
  <c r="O69" i="18"/>
  <c r="N69" i="18"/>
  <c r="W68" i="18"/>
  <c r="V68" i="18"/>
  <c r="U68" i="18"/>
  <c r="T68" i="18"/>
  <c r="S68" i="18"/>
  <c r="R68" i="18"/>
  <c r="Q68" i="18"/>
  <c r="P68" i="18"/>
  <c r="O68" i="18"/>
  <c r="N68" i="18"/>
  <c r="W67" i="18"/>
  <c r="V67" i="18"/>
  <c r="U67" i="18"/>
  <c r="T67" i="18"/>
  <c r="S67" i="18"/>
  <c r="R67" i="18"/>
  <c r="Q67" i="18"/>
  <c r="P67" i="18"/>
  <c r="O67" i="18"/>
  <c r="N67" i="18"/>
  <c r="X67" i="18"/>
  <c r="AM10" i="18"/>
  <c r="W66" i="18"/>
  <c r="V66" i="18"/>
  <c r="U66" i="18"/>
  <c r="T66" i="18"/>
  <c r="S66" i="18"/>
  <c r="R66" i="18"/>
  <c r="Q66" i="18"/>
  <c r="P66" i="18"/>
  <c r="O66" i="18"/>
  <c r="N66" i="18"/>
  <c r="W65" i="18"/>
  <c r="V65" i="18"/>
  <c r="U65" i="18"/>
  <c r="T65" i="18"/>
  <c r="S65" i="18"/>
  <c r="R65" i="18"/>
  <c r="Q65" i="18"/>
  <c r="P65" i="18"/>
  <c r="O65" i="18"/>
  <c r="N65" i="18"/>
  <c r="W64" i="18"/>
  <c r="V64" i="18"/>
  <c r="U64" i="18"/>
  <c r="T64" i="18"/>
  <c r="S64" i="18"/>
  <c r="R64" i="18"/>
  <c r="Q64" i="18"/>
  <c r="P64" i="18"/>
  <c r="O64" i="18"/>
  <c r="N64" i="18"/>
  <c r="W63" i="18"/>
  <c r="V63" i="18"/>
  <c r="U63" i="18"/>
  <c r="T63" i="18"/>
  <c r="S63" i="18"/>
  <c r="R63" i="18"/>
  <c r="Q63" i="18"/>
  <c r="P63" i="18"/>
  <c r="O63" i="18"/>
  <c r="N63" i="18"/>
  <c r="W62" i="18"/>
  <c r="V62" i="18"/>
  <c r="U62" i="18"/>
  <c r="T62" i="18"/>
  <c r="S62" i="18"/>
  <c r="R62" i="18"/>
  <c r="Q62" i="18"/>
  <c r="P62" i="18"/>
  <c r="O62" i="18"/>
  <c r="N62" i="18"/>
  <c r="W61" i="18"/>
  <c r="V61" i="18"/>
  <c r="U61" i="18"/>
  <c r="T61" i="18"/>
  <c r="S61" i="18"/>
  <c r="R61" i="18"/>
  <c r="Q61" i="18"/>
  <c r="P61" i="18"/>
  <c r="O61" i="18"/>
  <c r="N61" i="18"/>
  <c r="W60" i="18"/>
  <c r="V60" i="18"/>
  <c r="U60" i="18"/>
  <c r="T60" i="18"/>
  <c r="S60" i="18"/>
  <c r="R60" i="18"/>
  <c r="Q60" i="18"/>
  <c r="P60" i="18"/>
  <c r="O60" i="18"/>
  <c r="N60" i="18"/>
  <c r="W59" i="18"/>
  <c r="V59" i="18"/>
  <c r="U59" i="18"/>
  <c r="T59" i="18"/>
  <c r="S59" i="18"/>
  <c r="R59" i="18"/>
  <c r="Q59" i="18"/>
  <c r="P59" i="18"/>
  <c r="O59" i="18"/>
  <c r="N59" i="18"/>
  <c r="X59" i="18"/>
  <c r="AN8" i="18"/>
  <c r="W57" i="18"/>
  <c r="V57" i="18"/>
  <c r="U57" i="18"/>
  <c r="T57" i="18"/>
  <c r="S57" i="18"/>
  <c r="R57" i="18"/>
  <c r="Q57" i="18"/>
  <c r="P57" i="18"/>
  <c r="O57" i="18"/>
  <c r="N57" i="18"/>
  <c r="W56" i="18"/>
  <c r="V56" i="18"/>
  <c r="U56" i="18"/>
  <c r="T56" i="18"/>
  <c r="S56" i="18"/>
  <c r="R56" i="18"/>
  <c r="Q56" i="18"/>
  <c r="P56" i="18"/>
  <c r="O56" i="18"/>
  <c r="N56" i="18"/>
  <c r="W55" i="18"/>
  <c r="V55" i="18"/>
  <c r="U55" i="18"/>
  <c r="T55" i="18"/>
  <c r="S55" i="18"/>
  <c r="R55" i="18"/>
  <c r="Q55" i="18"/>
  <c r="P55" i="18"/>
  <c r="O55" i="18"/>
  <c r="N55" i="18"/>
  <c r="W54" i="18"/>
  <c r="V54" i="18"/>
  <c r="U54" i="18"/>
  <c r="T54" i="18"/>
  <c r="S54" i="18"/>
  <c r="R54" i="18"/>
  <c r="Q54" i="18"/>
  <c r="P54" i="18"/>
  <c r="O54" i="18"/>
  <c r="X54" i="18"/>
  <c r="AO6" i="18"/>
  <c r="N54" i="18"/>
  <c r="W53" i="18"/>
  <c r="V53" i="18"/>
  <c r="U53" i="18"/>
  <c r="T53" i="18"/>
  <c r="S53" i="18"/>
  <c r="R53" i="18"/>
  <c r="Q53" i="18"/>
  <c r="P53" i="18"/>
  <c r="O53" i="18"/>
  <c r="N53" i="18"/>
  <c r="W52" i="18"/>
  <c r="V52" i="18"/>
  <c r="U52" i="18"/>
  <c r="T52" i="18"/>
  <c r="S52" i="18"/>
  <c r="R52" i="18"/>
  <c r="Q52" i="18"/>
  <c r="P52" i="18"/>
  <c r="O52" i="18"/>
  <c r="N52" i="18"/>
  <c r="P22" i="18"/>
  <c r="P26" i="18"/>
  <c r="F16" i="18"/>
  <c r="R15" i="18"/>
  <c r="R22" i="18"/>
  <c r="Q15" i="18"/>
  <c r="Q22" i="18"/>
  <c r="P15" i="18"/>
  <c r="U14" i="18"/>
  <c r="T14" i="18"/>
  <c r="O14" i="18"/>
  <c r="N14" i="18"/>
  <c r="F14" i="18"/>
  <c r="E14" i="18"/>
  <c r="D14" i="18"/>
  <c r="D16" i="18"/>
  <c r="C14" i="18"/>
  <c r="U13" i="18"/>
  <c r="T13" i="18"/>
  <c r="O13" i="18"/>
  <c r="N13" i="18"/>
  <c r="F13" i="18"/>
  <c r="E13" i="18"/>
  <c r="D13" i="18"/>
  <c r="I13" i="18"/>
  <c r="BC13" i="18"/>
  <c r="C13" i="18"/>
  <c r="O12" i="18"/>
  <c r="N12" i="18"/>
  <c r="F12" i="18"/>
  <c r="H12" i="18"/>
  <c r="BB12" i="18"/>
  <c r="E12" i="18"/>
  <c r="D12" i="18"/>
  <c r="C12" i="18"/>
  <c r="U11" i="18"/>
  <c r="T11" i="18"/>
  <c r="O11" i="18"/>
  <c r="N11" i="18"/>
  <c r="F11" i="18"/>
  <c r="R16" i="18"/>
  <c r="E11" i="18"/>
  <c r="Q16" i="18"/>
  <c r="D11" i="18"/>
  <c r="P16" i="18"/>
  <c r="C11" i="18"/>
  <c r="O10" i="18"/>
  <c r="N10" i="18"/>
  <c r="F10" i="18"/>
  <c r="E10" i="18"/>
  <c r="D10" i="18"/>
  <c r="C10" i="18"/>
  <c r="O9" i="18"/>
  <c r="N9" i="18"/>
  <c r="I9" i="18"/>
  <c r="BC9" i="18"/>
  <c r="H9" i="18"/>
  <c r="BB9" i="18"/>
  <c r="C9" i="18"/>
  <c r="O8" i="18"/>
  <c r="N8" i="18"/>
  <c r="I8" i="18"/>
  <c r="BC8" i="18"/>
  <c r="H8" i="18"/>
  <c r="BB8" i="18"/>
  <c r="C8" i="18"/>
  <c r="AG7" i="18"/>
  <c r="AF7" i="18"/>
  <c r="AA7" i="18"/>
  <c r="Z7" i="18"/>
  <c r="U7" i="18"/>
  <c r="T7" i="18"/>
  <c r="O7" i="18"/>
  <c r="N7" i="18"/>
  <c r="I7" i="18"/>
  <c r="BC7" i="18"/>
  <c r="H7" i="18"/>
  <c r="BB7" i="18"/>
  <c r="C7" i="18"/>
  <c r="F15" i="18"/>
  <c r="U6" i="18"/>
  <c r="T6" i="18"/>
  <c r="O6" i="18"/>
  <c r="N6" i="18"/>
  <c r="I6" i="18"/>
  <c r="BC6" i="18"/>
  <c r="H6" i="18"/>
  <c r="BB6" i="18"/>
  <c r="C6" i="18"/>
  <c r="AV81" i="17"/>
  <c r="AU81" i="17"/>
  <c r="AT81" i="17"/>
  <c r="AS81" i="17"/>
  <c r="AR81" i="17"/>
  <c r="AQ81" i="17"/>
  <c r="AP81" i="17"/>
  <c r="AO81" i="17"/>
  <c r="AN81" i="17"/>
  <c r="AM81" i="17"/>
  <c r="W81" i="17"/>
  <c r="V81" i="17"/>
  <c r="U81" i="17"/>
  <c r="T81" i="17"/>
  <c r="S81" i="17"/>
  <c r="R81" i="17"/>
  <c r="Q81" i="17"/>
  <c r="P81" i="17"/>
  <c r="O81" i="17"/>
  <c r="N81" i="17"/>
  <c r="AV80" i="17"/>
  <c r="AU80" i="17"/>
  <c r="AT80" i="17"/>
  <c r="AS80" i="17"/>
  <c r="AR80" i="17"/>
  <c r="AQ80" i="17"/>
  <c r="AP80" i="17"/>
  <c r="AO80" i="17"/>
  <c r="AN80" i="17"/>
  <c r="AM80" i="17"/>
  <c r="W80" i="17"/>
  <c r="V80" i="17"/>
  <c r="U80" i="17"/>
  <c r="T80" i="17"/>
  <c r="S80" i="17"/>
  <c r="R80" i="17"/>
  <c r="Q80" i="17"/>
  <c r="P80" i="17"/>
  <c r="O80" i="17"/>
  <c r="N80" i="17"/>
  <c r="AV79" i="17"/>
  <c r="AU79" i="17"/>
  <c r="AT79" i="17"/>
  <c r="AS79" i="17"/>
  <c r="AR79" i="17"/>
  <c r="AQ79" i="17"/>
  <c r="AP79" i="17"/>
  <c r="AO79" i="17"/>
  <c r="AN79" i="17"/>
  <c r="AM79" i="17"/>
  <c r="W79" i="17"/>
  <c r="V79" i="17"/>
  <c r="U79" i="17"/>
  <c r="T79" i="17"/>
  <c r="S79" i="17"/>
  <c r="R79" i="17"/>
  <c r="Q79" i="17"/>
  <c r="P79" i="17"/>
  <c r="O79" i="17"/>
  <c r="N79" i="17"/>
  <c r="AV78" i="17"/>
  <c r="AU78" i="17"/>
  <c r="AT78" i="17"/>
  <c r="AS78" i="17"/>
  <c r="AR78" i="17"/>
  <c r="AQ78" i="17"/>
  <c r="AP78" i="17"/>
  <c r="AO78" i="17"/>
  <c r="AN78" i="17"/>
  <c r="AM78" i="17"/>
  <c r="W78" i="17"/>
  <c r="V78" i="17"/>
  <c r="U78" i="17"/>
  <c r="T78" i="17"/>
  <c r="S78" i="17"/>
  <c r="R78" i="17"/>
  <c r="Q78" i="17"/>
  <c r="P78" i="17"/>
  <c r="O78" i="17"/>
  <c r="N78" i="17"/>
  <c r="AV77" i="17"/>
  <c r="AU77" i="17"/>
  <c r="AT77" i="17"/>
  <c r="AS77" i="17"/>
  <c r="AR77" i="17"/>
  <c r="AQ77" i="17"/>
  <c r="AP77" i="17"/>
  <c r="AO77" i="17"/>
  <c r="AN77" i="17"/>
  <c r="AM77" i="17"/>
  <c r="W77" i="17"/>
  <c r="V77" i="17"/>
  <c r="U77" i="17"/>
  <c r="T77" i="17"/>
  <c r="S77" i="17"/>
  <c r="R77" i="17"/>
  <c r="Q77" i="17"/>
  <c r="P77" i="17"/>
  <c r="O77" i="17"/>
  <c r="N77" i="17"/>
  <c r="AV76" i="17"/>
  <c r="AU76" i="17"/>
  <c r="AT76" i="17"/>
  <c r="AS76" i="17"/>
  <c r="AR76" i="17"/>
  <c r="AQ76" i="17"/>
  <c r="AP76" i="17"/>
  <c r="AO76" i="17"/>
  <c r="AN76" i="17"/>
  <c r="AM76" i="17"/>
  <c r="W76" i="17"/>
  <c r="V76" i="17"/>
  <c r="U76" i="17"/>
  <c r="T76" i="17"/>
  <c r="S76" i="17"/>
  <c r="R76" i="17"/>
  <c r="Q76" i="17"/>
  <c r="P76" i="17"/>
  <c r="O76" i="17"/>
  <c r="N76" i="17"/>
  <c r="AV75" i="17"/>
  <c r="AU75" i="17"/>
  <c r="AT75" i="17"/>
  <c r="AS75" i="17"/>
  <c r="AR75" i="17"/>
  <c r="AQ75" i="17"/>
  <c r="AP75" i="17"/>
  <c r="AO75" i="17"/>
  <c r="AN75" i="17"/>
  <c r="AM75" i="17"/>
  <c r="W75" i="17"/>
  <c r="V75" i="17"/>
  <c r="U75" i="17"/>
  <c r="T75" i="17"/>
  <c r="S75" i="17"/>
  <c r="R75" i="17"/>
  <c r="Q75" i="17"/>
  <c r="P75" i="17"/>
  <c r="O75" i="17"/>
  <c r="N75" i="17"/>
  <c r="AV74" i="17"/>
  <c r="AU74" i="17"/>
  <c r="AT74" i="17"/>
  <c r="AS74" i="17"/>
  <c r="AR74" i="17"/>
  <c r="AQ74" i="17"/>
  <c r="AP74" i="17"/>
  <c r="AO74" i="17"/>
  <c r="AN74" i="17"/>
  <c r="AM74" i="17"/>
  <c r="W74" i="17"/>
  <c r="V74" i="17"/>
  <c r="U74" i="17"/>
  <c r="T74" i="17"/>
  <c r="S74" i="17"/>
  <c r="R74" i="17"/>
  <c r="Q74" i="17"/>
  <c r="P74" i="17"/>
  <c r="O74" i="17"/>
  <c r="N74" i="17"/>
  <c r="AV73" i="17"/>
  <c r="AU73" i="17"/>
  <c r="AT73" i="17"/>
  <c r="AS73" i="17"/>
  <c r="AR73" i="17"/>
  <c r="AQ73" i="17"/>
  <c r="AP73" i="17"/>
  <c r="AO73" i="17"/>
  <c r="AN73" i="17"/>
  <c r="AM73" i="17"/>
  <c r="W73" i="17"/>
  <c r="V73" i="17"/>
  <c r="U73" i="17"/>
  <c r="T73" i="17"/>
  <c r="S73" i="17"/>
  <c r="R73" i="17"/>
  <c r="Q73" i="17"/>
  <c r="P73" i="17"/>
  <c r="O73" i="17"/>
  <c r="N73" i="17"/>
  <c r="W72" i="17"/>
  <c r="V72" i="17"/>
  <c r="U72" i="17"/>
  <c r="T72" i="17"/>
  <c r="S72" i="17"/>
  <c r="R72" i="17"/>
  <c r="Q72" i="17"/>
  <c r="P72" i="17"/>
  <c r="O72" i="17"/>
  <c r="N72" i="17"/>
  <c r="Y72" i="17"/>
  <c r="W71" i="17"/>
  <c r="V71" i="17"/>
  <c r="U71" i="17"/>
  <c r="T71" i="17"/>
  <c r="S71" i="17"/>
  <c r="R71" i="17"/>
  <c r="Q71" i="17"/>
  <c r="P71" i="17"/>
  <c r="O71" i="17"/>
  <c r="N71" i="17"/>
  <c r="W70" i="17"/>
  <c r="V70" i="17"/>
  <c r="U70" i="17"/>
  <c r="T70" i="17"/>
  <c r="S70" i="17"/>
  <c r="R70" i="17"/>
  <c r="Q70" i="17"/>
  <c r="P70" i="17"/>
  <c r="O70" i="17"/>
  <c r="N70" i="17"/>
  <c r="W69" i="17"/>
  <c r="V69" i="17"/>
  <c r="U69" i="17"/>
  <c r="T69" i="17"/>
  <c r="S69" i="17"/>
  <c r="R69" i="17"/>
  <c r="Q69" i="17"/>
  <c r="P69" i="17"/>
  <c r="O69" i="17"/>
  <c r="N69" i="17"/>
  <c r="W68" i="17"/>
  <c r="V68" i="17"/>
  <c r="U68" i="17"/>
  <c r="T68" i="17"/>
  <c r="S68" i="17"/>
  <c r="R68" i="17"/>
  <c r="Q68" i="17"/>
  <c r="P68" i="17"/>
  <c r="O68" i="17"/>
  <c r="N68" i="17"/>
  <c r="W67" i="17"/>
  <c r="V67" i="17"/>
  <c r="U67" i="17"/>
  <c r="T67" i="17"/>
  <c r="S67" i="17"/>
  <c r="R67" i="17"/>
  <c r="Q67" i="17"/>
  <c r="P67" i="17"/>
  <c r="O67" i="17"/>
  <c r="N67" i="17"/>
  <c r="AV66" i="17"/>
  <c r="AU66" i="17"/>
  <c r="AT66" i="17"/>
  <c r="AS66" i="17"/>
  <c r="AR66" i="17"/>
  <c r="AQ66" i="17"/>
  <c r="AP66" i="17"/>
  <c r="AO66" i="17"/>
  <c r="AN66" i="17"/>
  <c r="AM66" i="17"/>
  <c r="W66" i="17"/>
  <c r="V66" i="17"/>
  <c r="U66" i="17"/>
  <c r="T66" i="17"/>
  <c r="S66" i="17"/>
  <c r="R66" i="17"/>
  <c r="Q66" i="17"/>
  <c r="P66" i="17"/>
  <c r="O66" i="17"/>
  <c r="N66" i="17"/>
  <c r="AV65" i="17"/>
  <c r="AU65" i="17"/>
  <c r="AT65" i="17"/>
  <c r="AS65" i="17"/>
  <c r="AR65" i="17"/>
  <c r="AQ65" i="17"/>
  <c r="AP65" i="17"/>
  <c r="AO65" i="17"/>
  <c r="AN65" i="17"/>
  <c r="AM65" i="17"/>
  <c r="W65" i="17"/>
  <c r="V65" i="17"/>
  <c r="U65" i="17"/>
  <c r="T65" i="17"/>
  <c r="S65" i="17"/>
  <c r="R65" i="17"/>
  <c r="Q65" i="17"/>
  <c r="P65" i="17"/>
  <c r="O65" i="17"/>
  <c r="N65" i="17"/>
  <c r="AV64" i="17"/>
  <c r="AU64" i="17"/>
  <c r="AT64" i="17"/>
  <c r="AS64" i="17"/>
  <c r="AR64" i="17"/>
  <c r="AQ64" i="17"/>
  <c r="AP64" i="17"/>
  <c r="AO64" i="17"/>
  <c r="AN64" i="17"/>
  <c r="AM64" i="17"/>
  <c r="W64" i="17"/>
  <c r="V64" i="17"/>
  <c r="U64" i="17"/>
  <c r="T64" i="17"/>
  <c r="S64" i="17"/>
  <c r="R64" i="17"/>
  <c r="Q64" i="17"/>
  <c r="P64" i="17"/>
  <c r="O64" i="17"/>
  <c r="N64" i="17"/>
  <c r="AV60" i="17"/>
  <c r="AU60" i="17"/>
  <c r="AT60" i="17"/>
  <c r="AS60" i="17"/>
  <c r="AR60" i="17"/>
  <c r="AQ60" i="17"/>
  <c r="AP60" i="17"/>
  <c r="AO60" i="17"/>
  <c r="AN60" i="17"/>
  <c r="AM60" i="17"/>
  <c r="W60" i="17"/>
  <c r="V60" i="17"/>
  <c r="U60" i="17"/>
  <c r="T60" i="17"/>
  <c r="S60" i="17"/>
  <c r="R60" i="17"/>
  <c r="Q60" i="17"/>
  <c r="P60" i="17"/>
  <c r="O60" i="17"/>
  <c r="N60" i="17"/>
  <c r="AV59" i="17"/>
  <c r="AU59" i="17"/>
  <c r="AT59" i="17"/>
  <c r="AS59" i="17"/>
  <c r="AR59" i="17"/>
  <c r="AQ59" i="17"/>
  <c r="AP59" i="17"/>
  <c r="AO59" i="17"/>
  <c r="AN59" i="17"/>
  <c r="AM59" i="17"/>
  <c r="W59" i="17"/>
  <c r="V59" i="17"/>
  <c r="U59" i="17"/>
  <c r="T59" i="17"/>
  <c r="S59" i="17"/>
  <c r="R59" i="17"/>
  <c r="Q59" i="17"/>
  <c r="P59" i="17"/>
  <c r="O59" i="17"/>
  <c r="N59" i="17"/>
  <c r="AV58" i="17"/>
  <c r="AU58" i="17"/>
  <c r="AT58" i="17"/>
  <c r="AS58" i="17"/>
  <c r="AR58" i="17"/>
  <c r="AQ58" i="17"/>
  <c r="AP58" i="17"/>
  <c r="AO58" i="17"/>
  <c r="AN58" i="17"/>
  <c r="AW58" i="17"/>
  <c r="AG11" i="17"/>
  <c r="AM58" i="17"/>
  <c r="W58" i="17"/>
  <c r="V58" i="17"/>
  <c r="U58" i="17"/>
  <c r="T58" i="17"/>
  <c r="S58" i="17"/>
  <c r="R58" i="17"/>
  <c r="Q58" i="17"/>
  <c r="P58" i="17"/>
  <c r="O58" i="17"/>
  <c r="N58" i="17"/>
  <c r="AV57" i="17"/>
  <c r="AU57" i="17"/>
  <c r="AT57" i="17"/>
  <c r="AS57" i="17"/>
  <c r="AR57" i="17"/>
  <c r="AQ57" i="17"/>
  <c r="AP57" i="17"/>
  <c r="AO57" i="17"/>
  <c r="AN57" i="17"/>
  <c r="AM57" i="17"/>
  <c r="W57" i="17"/>
  <c r="V57" i="17"/>
  <c r="U57" i="17"/>
  <c r="T57" i="17"/>
  <c r="S57" i="17"/>
  <c r="R57" i="17"/>
  <c r="Q57" i="17"/>
  <c r="P57" i="17"/>
  <c r="O57" i="17"/>
  <c r="N57" i="17"/>
  <c r="Y57" i="17"/>
  <c r="AI10" i="17"/>
  <c r="AV56" i="17"/>
  <c r="AU56" i="17"/>
  <c r="AT56" i="17"/>
  <c r="AS56" i="17"/>
  <c r="AR56" i="17"/>
  <c r="AQ56" i="17"/>
  <c r="AP56" i="17"/>
  <c r="AO56" i="17"/>
  <c r="AW56" i="17"/>
  <c r="AN56" i="17"/>
  <c r="AM56" i="17"/>
  <c r="W56" i="17"/>
  <c r="V56" i="17"/>
  <c r="U56" i="17"/>
  <c r="T56" i="17"/>
  <c r="S56" i="17"/>
  <c r="R56" i="17"/>
  <c r="Q56" i="17"/>
  <c r="P56" i="17"/>
  <c r="O56" i="17"/>
  <c r="N56" i="17"/>
  <c r="AV55" i="17"/>
  <c r="AU55" i="17"/>
  <c r="AT55" i="17"/>
  <c r="AS55" i="17"/>
  <c r="AR55" i="17"/>
  <c r="AQ55" i="17"/>
  <c r="AP55" i="17"/>
  <c r="AO55" i="17"/>
  <c r="AN55" i="17"/>
  <c r="AM55" i="17"/>
  <c r="W55" i="17"/>
  <c r="V55" i="17"/>
  <c r="U55" i="17"/>
  <c r="T55" i="17"/>
  <c r="S55" i="17"/>
  <c r="R55" i="17"/>
  <c r="Q55" i="17"/>
  <c r="P55" i="17"/>
  <c r="O55" i="17"/>
  <c r="N55" i="17"/>
  <c r="Y55" i="17"/>
  <c r="AG10" i="17"/>
  <c r="AV54" i="17"/>
  <c r="AU54" i="17"/>
  <c r="AT54" i="17"/>
  <c r="AS54" i="17"/>
  <c r="AR54" i="17"/>
  <c r="AQ54" i="17"/>
  <c r="AP54" i="17"/>
  <c r="AO54" i="17"/>
  <c r="AW54" i="17"/>
  <c r="AN54" i="17"/>
  <c r="AM54" i="17"/>
  <c r="W54" i="17"/>
  <c r="V54" i="17"/>
  <c r="U54" i="17"/>
  <c r="T54" i="17"/>
  <c r="S54" i="17"/>
  <c r="R54" i="17"/>
  <c r="Q54" i="17"/>
  <c r="P54" i="17"/>
  <c r="O54" i="17"/>
  <c r="N54" i="17"/>
  <c r="AV53" i="17"/>
  <c r="AU53" i="17"/>
  <c r="AT53" i="17"/>
  <c r="AS53" i="17"/>
  <c r="AR53" i="17"/>
  <c r="AQ53" i="17"/>
  <c r="AP53" i="17"/>
  <c r="AO53" i="17"/>
  <c r="AN53" i="17"/>
  <c r="AM53" i="17"/>
  <c r="W53" i="17"/>
  <c r="V53" i="17"/>
  <c r="U53" i="17"/>
  <c r="T53" i="17"/>
  <c r="S53" i="17"/>
  <c r="R53" i="17"/>
  <c r="Q53" i="17"/>
  <c r="P53" i="17"/>
  <c r="O53" i="17"/>
  <c r="N53" i="17"/>
  <c r="Y53" i="17"/>
  <c r="AH9" i="17"/>
  <c r="AV52" i="17"/>
  <c r="AU52" i="17"/>
  <c r="AT52" i="17"/>
  <c r="AS52" i="17"/>
  <c r="AR52" i="17"/>
  <c r="AQ52" i="17"/>
  <c r="AP52" i="17"/>
  <c r="AO52" i="17"/>
  <c r="AW52" i="17"/>
  <c r="AN52" i="17"/>
  <c r="AM52" i="17"/>
  <c r="W52" i="17"/>
  <c r="V52" i="17"/>
  <c r="U52" i="17"/>
  <c r="T52" i="17"/>
  <c r="S52" i="17"/>
  <c r="R52" i="17"/>
  <c r="Q52" i="17"/>
  <c r="P52" i="17"/>
  <c r="O52" i="17"/>
  <c r="N52" i="17"/>
  <c r="W51" i="17"/>
  <c r="V51" i="17"/>
  <c r="U51" i="17"/>
  <c r="T51" i="17"/>
  <c r="S51" i="17"/>
  <c r="R51" i="17"/>
  <c r="Q51" i="17"/>
  <c r="P51" i="17"/>
  <c r="O51" i="17"/>
  <c r="N51" i="17"/>
  <c r="W50" i="17"/>
  <c r="V50" i="17"/>
  <c r="U50" i="17"/>
  <c r="T50" i="17"/>
  <c r="S50" i="17"/>
  <c r="R50" i="17"/>
  <c r="Q50" i="17"/>
  <c r="P50" i="17"/>
  <c r="O50" i="17"/>
  <c r="N50" i="17"/>
  <c r="Y50" i="17"/>
  <c r="AH8" i="17"/>
  <c r="W49" i="17"/>
  <c r="V49" i="17"/>
  <c r="U49" i="17"/>
  <c r="T49" i="17"/>
  <c r="S49" i="17"/>
  <c r="R49" i="17"/>
  <c r="Q49" i="17"/>
  <c r="P49" i="17"/>
  <c r="Y49" i="17"/>
  <c r="AG8" i="17"/>
  <c r="O49" i="17"/>
  <c r="N49" i="17"/>
  <c r="W48" i="17"/>
  <c r="V48" i="17"/>
  <c r="U48" i="17"/>
  <c r="T48" i="17"/>
  <c r="S48" i="17"/>
  <c r="R48" i="17"/>
  <c r="Q48" i="17"/>
  <c r="P48" i="17"/>
  <c r="O48" i="17"/>
  <c r="N48" i="17"/>
  <c r="W47" i="17"/>
  <c r="V47" i="17"/>
  <c r="U47" i="17"/>
  <c r="T47" i="17"/>
  <c r="S47" i="17"/>
  <c r="R47" i="17"/>
  <c r="Q47" i="17"/>
  <c r="P47" i="17"/>
  <c r="O47" i="17"/>
  <c r="N47" i="17"/>
  <c r="X46" i="17"/>
  <c r="W46" i="17"/>
  <c r="V46" i="17"/>
  <c r="U46" i="17"/>
  <c r="T46" i="17"/>
  <c r="S46" i="17"/>
  <c r="R46" i="17"/>
  <c r="Q46" i="17"/>
  <c r="P46" i="17"/>
  <c r="O46" i="17"/>
  <c r="N46" i="17"/>
  <c r="AV45" i="17"/>
  <c r="AU45" i="17"/>
  <c r="AT45" i="17"/>
  <c r="AS45" i="17"/>
  <c r="AR45" i="17"/>
  <c r="AQ45" i="17"/>
  <c r="AP45" i="17"/>
  <c r="AO45" i="17"/>
  <c r="AN45" i="17"/>
  <c r="AM45" i="17"/>
  <c r="W45" i="17"/>
  <c r="V45" i="17"/>
  <c r="U45" i="17"/>
  <c r="T45" i="17"/>
  <c r="S45" i="17"/>
  <c r="R45" i="17"/>
  <c r="Q45" i="17"/>
  <c r="P45" i="17"/>
  <c r="O45" i="17"/>
  <c r="N45" i="17"/>
  <c r="AV44" i="17"/>
  <c r="AU44" i="17"/>
  <c r="AT44" i="17"/>
  <c r="AS44" i="17"/>
  <c r="AR44" i="17"/>
  <c r="AQ44" i="17"/>
  <c r="AP44" i="17"/>
  <c r="AO44" i="17"/>
  <c r="AN44" i="17"/>
  <c r="AM44" i="17"/>
  <c r="W44" i="17"/>
  <c r="V44" i="17"/>
  <c r="U44" i="17"/>
  <c r="T44" i="17"/>
  <c r="S44" i="17"/>
  <c r="R44" i="17"/>
  <c r="Q44" i="17"/>
  <c r="P44" i="17"/>
  <c r="O44" i="17"/>
  <c r="N44" i="17"/>
  <c r="AV43" i="17"/>
  <c r="AU43" i="17"/>
  <c r="AT43" i="17"/>
  <c r="AS43" i="17"/>
  <c r="AR43" i="17"/>
  <c r="AQ43" i="17"/>
  <c r="AP43" i="17"/>
  <c r="AO43" i="17"/>
  <c r="AN43" i="17"/>
  <c r="AM43" i="17"/>
  <c r="W43" i="17"/>
  <c r="V43" i="17"/>
  <c r="U43" i="17"/>
  <c r="T43" i="17"/>
  <c r="S43" i="17"/>
  <c r="R43" i="17"/>
  <c r="Q43" i="17"/>
  <c r="P43" i="17"/>
  <c r="O43" i="17"/>
  <c r="N43" i="17"/>
  <c r="X14" i="17"/>
  <c r="W14" i="17"/>
  <c r="V14" i="17"/>
  <c r="R14" i="17"/>
  <c r="R21" i="17"/>
  <c r="Q14" i="17"/>
  <c r="T14" i="17"/>
  <c r="P14" i="17"/>
  <c r="O13" i="17"/>
  <c r="N13" i="17"/>
  <c r="H13" i="17"/>
  <c r="F13" i="17"/>
  <c r="F15" i="17"/>
  <c r="E13" i="17"/>
  <c r="E15" i="17"/>
  <c r="D13" i="17"/>
  <c r="D15" i="17"/>
  <c r="C13" i="17"/>
  <c r="U12" i="17"/>
  <c r="T12" i="17"/>
  <c r="O12" i="17"/>
  <c r="N12" i="17"/>
  <c r="F12" i="17"/>
  <c r="E12" i="17"/>
  <c r="D12" i="17"/>
  <c r="I12" i="17"/>
  <c r="C12" i="17"/>
  <c r="U11" i="17"/>
  <c r="T11" i="17"/>
  <c r="O11" i="17"/>
  <c r="N11" i="17"/>
  <c r="F11" i="17"/>
  <c r="E11" i="17"/>
  <c r="D11" i="17"/>
  <c r="C11" i="17"/>
  <c r="AA10" i="17"/>
  <c r="Z10" i="17"/>
  <c r="U10" i="17"/>
  <c r="T10" i="17"/>
  <c r="O10" i="17"/>
  <c r="N10" i="17"/>
  <c r="F10" i="17"/>
  <c r="R15" i="17"/>
  <c r="R16" i="17"/>
  <c r="E10" i="17"/>
  <c r="Q15" i="17"/>
  <c r="D10" i="17"/>
  <c r="P15" i="17"/>
  <c r="C10" i="17"/>
  <c r="O9" i="17"/>
  <c r="N9" i="17"/>
  <c r="I9" i="17"/>
  <c r="H9" i="17"/>
  <c r="D9" i="17"/>
  <c r="C9" i="17"/>
  <c r="O8" i="17"/>
  <c r="N8" i="17"/>
  <c r="I8" i="17"/>
  <c r="H8" i="17"/>
  <c r="C8" i="17"/>
  <c r="AA7" i="17"/>
  <c r="Z7" i="17"/>
  <c r="U7" i="17"/>
  <c r="T7" i="17"/>
  <c r="O7" i="17"/>
  <c r="N7" i="17"/>
  <c r="I7" i="17"/>
  <c r="H7" i="17"/>
  <c r="C7" i="17"/>
  <c r="U6" i="17"/>
  <c r="T6" i="17"/>
  <c r="O6" i="17"/>
  <c r="N6" i="17"/>
  <c r="I6" i="17"/>
  <c r="H6" i="17"/>
  <c r="C6" i="17"/>
  <c r="W89" i="16"/>
  <c r="V89" i="16"/>
  <c r="U89" i="16"/>
  <c r="T89" i="16"/>
  <c r="S89" i="16"/>
  <c r="R89" i="16"/>
  <c r="Q89" i="16"/>
  <c r="P89" i="16"/>
  <c r="O89" i="16"/>
  <c r="N89" i="16"/>
  <c r="W88" i="16"/>
  <c r="V88" i="16"/>
  <c r="U88" i="16"/>
  <c r="T88" i="16"/>
  <c r="S88" i="16"/>
  <c r="R88" i="16"/>
  <c r="Q88" i="16"/>
  <c r="P88" i="16"/>
  <c r="O88" i="16"/>
  <c r="N88" i="16"/>
  <c r="W87" i="16"/>
  <c r="V87" i="16"/>
  <c r="U87" i="16"/>
  <c r="T87" i="16"/>
  <c r="S87" i="16"/>
  <c r="R87" i="16"/>
  <c r="Q87" i="16"/>
  <c r="P87" i="16"/>
  <c r="O87" i="16"/>
  <c r="N87" i="16"/>
  <c r="W86" i="16"/>
  <c r="V86" i="16"/>
  <c r="U86" i="16"/>
  <c r="T86" i="16"/>
  <c r="S86" i="16"/>
  <c r="R86" i="16"/>
  <c r="Q86" i="16"/>
  <c r="P86" i="16"/>
  <c r="O86" i="16"/>
  <c r="N86" i="16"/>
  <c r="W85" i="16"/>
  <c r="V85" i="16"/>
  <c r="U85" i="16"/>
  <c r="T85" i="16"/>
  <c r="S85" i="16"/>
  <c r="R85" i="16"/>
  <c r="Q85" i="16"/>
  <c r="P85" i="16"/>
  <c r="O85" i="16"/>
  <c r="N85" i="16"/>
  <c r="W84" i="16"/>
  <c r="V84" i="16"/>
  <c r="U84" i="16"/>
  <c r="T84" i="16"/>
  <c r="S84" i="16"/>
  <c r="R84" i="16"/>
  <c r="Q84" i="16"/>
  <c r="P84" i="16"/>
  <c r="O84" i="16"/>
  <c r="N84" i="16"/>
  <c r="X84" i="16"/>
  <c r="W83" i="16"/>
  <c r="V83" i="16"/>
  <c r="U83" i="16"/>
  <c r="T83" i="16"/>
  <c r="S83" i="16"/>
  <c r="R83" i="16"/>
  <c r="Q83" i="16"/>
  <c r="P83" i="16"/>
  <c r="X83" i="16"/>
  <c r="O83" i="16"/>
  <c r="N83" i="16"/>
  <c r="W82" i="16"/>
  <c r="V82" i="16"/>
  <c r="U82" i="16"/>
  <c r="T82" i="16"/>
  <c r="S82" i="16"/>
  <c r="R82" i="16"/>
  <c r="Q82" i="16"/>
  <c r="P82" i="16"/>
  <c r="O82" i="16"/>
  <c r="N82" i="16"/>
  <c r="W81" i="16"/>
  <c r="V81" i="16"/>
  <c r="U81" i="16"/>
  <c r="T81" i="16"/>
  <c r="S81" i="16"/>
  <c r="R81" i="16"/>
  <c r="Q81" i="16"/>
  <c r="P81" i="16"/>
  <c r="O81" i="16"/>
  <c r="N81" i="16"/>
  <c r="W80" i="16"/>
  <c r="V80" i="16"/>
  <c r="U80" i="16"/>
  <c r="T80" i="16"/>
  <c r="S80" i="16"/>
  <c r="R80" i="16"/>
  <c r="Q80" i="16"/>
  <c r="P80" i="16"/>
  <c r="O80" i="16"/>
  <c r="N80" i="16"/>
  <c r="W79" i="16"/>
  <c r="V79" i="16"/>
  <c r="U79" i="16"/>
  <c r="T79" i="16"/>
  <c r="S79" i="16"/>
  <c r="R79" i="16"/>
  <c r="Q79" i="16"/>
  <c r="P79" i="16"/>
  <c r="O79" i="16"/>
  <c r="N79" i="16"/>
  <c r="W78" i="16"/>
  <c r="V78" i="16"/>
  <c r="U78" i="16"/>
  <c r="T78" i="16"/>
  <c r="S78" i="16"/>
  <c r="R78" i="16"/>
  <c r="Q78" i="16"/>
  <c r="P78" i="16"/>
  <c r="O78" i="16"/>
  <c r="N78" i="16"/>
  <c r="W77" i="16"/>
  <c r="V77" i="16"/>
  <c r="U77" i="16"/>
  <c r="T77" i="16"/>
  <c r="S77" i="16"/>
  <c r="R77" i="16"/>
  <c r="Q77" i="16"/>
  <c r="P77" i="16"/>
  <c r="O77" i="16"/>
  <c r="N77" i="16"/>
  <c r="W76" i="16"/>
  <c r="V76" i="16"/>
  <c r="U76" i="16"/>
  <c r="T76" i="16"/>
  <c r="S76" i="16"/>
  <c r="R76" i="16"/>
  <c r="Q76" i="16"/>
  <c r="P76" i="16"/>
  <c r="O76" i="16"/>
  <c r="N76" i="16"/>
  <c r="X76" i="16"/>
  <c r="W75" i="16"/>
  <c r="V75" i="16"/>
  <c r="U75" i="16"/>
  <c r="T75" i="16"/>
  <c r="S75" i="16"/>
  <c r="R75" i="16"/>
  <c r="Q75" i="16"/>
  <c r="P75" i="16"/>
  <c r="X75" i="16"/>
  <c r="O75" i="16"/>
  <c r="N75" i="16"/>
  <c r="W74" i="16"/>
  <c r="V74" i="16"/>
  <c r="U74" i="16"/>
  <c r="T74" i="16"/>
  <c r="S74" i="16"/>
  <c r="R74" i="16"/>
  <c r="Q74" i="16"/>
  <c r="P74" i="16"/>
  <c r="O74" i="16"/>
  <c r="N74" i="16"/>
  <c r="W73" i="16"/>
  <c r="V73" i="16"/>
  <c r="U73" i="16"/>
  <c r="T73" i="16"/>
  <c r="S73" i="16"/>
  <c r="R73" i="16"/>
  <c r="Q73" i="16"/>
  <c r="P73" i="16"/>
  <c r="O73" i="16"/>
  <c r="N73" i="16"/>
  <c r="W72" i="16"/>
  <c r="V72" i="16"/>
  <c r="U72" i="16"/>
  <c r="T72" i="16"/>
  <c r="S72" i="16"/>
  <c r="R72" i="16"/>
  <c r="Q72" i="16"/>
  <c r="P72" i="16"/>
  <c r="O72" i="16"/>
  <c r="N72" i="16"/>
  <c r="W71" i="16"/>
  <c r="V71" i="16"/>
  <c r="U71" i="16"/>
  <c r="T71" i="16"/>
  <c r="S71" i="16"/>
  <c r="R71" i="16"/>
  <c r="Q71" i="16"/>
  <c r="P71" i="16"/>
  <c r="O71" i="16"/>
  <c r="N71" i="16"/>
  <c r="W70" i="16"/>
  <c r="V70" i="16"/>
  <c r="U70" i="16"/>
  <c r="T70" i="16"/>
  <c r="S70" i="16"/>
  <c r="R70" i="16"/>
  <c r="Q70" i="16"/>
  <c r="P70" i="16"/>
  <c r="O70" i="16"/>
  <c r="N70" i="16"/>
  <c r="W69" i="16"/>
  <c r="V69" i="16"/>
  <c r="U69" i="16"/>
  <c r="T69" i="16"/>
  <c r="S69" i="16"/>
  <c r="R69" i="16"/>
  <c r="Q69" i="16"/>
  <c r="P69" i="16"/>
  <c r="O69" i="16"/>
  <c r="N69" i="16"/>
  <c r="W66" i="16"/>
  <c r="V66" i="16"/>
  <c r="U66" i="16"/>
  <c r="T66" i="16"/>
  <c r="S66" i="16"/>
  <c r="R66" i="16"/>
  <c r="Q66" i="16"/>
  <c r="P66" i="16"/>
  <c r="O66" i="16"/>
  <c r="N66" i="16"/>
  <c r="X66" i="16"/>
  <c r="AI12" i="16"/>
  <c r="W65" i="16"/>
  <c r="V65" i="16"/>
  <c r="U65" i="16"/>
  <c r="T65" i="16"/>
  <c r="S65" i="16"/>
  <c r="R65" i="16"/>
  <c r="Q65" i="16"/>
  <c r="P65" i="16"/>
  <c r="X65" i="16"/>
  <c r="AH12" i="16"/>
  <c r="O65" i="16"/>
  <c r="N65" i="16"/>
  <c r="W64" i="16"/>
  <c r="V64" i="16"/>
  <c r="U64" i="16"/>
  <c r="T64" i="16"/>
  <c r="S64" i="16"/>
  <c r="R64" i="16"/>
  <c r="Q64" i="16"/>
  <c r="P64" i="16"/>
  <c r="O64" i="16"/>
  <c r="N64" i="16"/>
  <c r="W63" i="16"/>
  <c r="V63" i="16"/>
  <c r="U63" i="16"/>
  <c r="T63" i="16"/>
  <c r="S63" i="16"/>
  <c r="R63" i="16"/>
  <c r="Q63" i="16"/>
  <c r="P63" i="16"/>
  <c r="O63" i="16"/>
  <c r="N63" i="16"/>
  <c r="W62" i="16"/>
  <c r="V62" i="16"/>
  <c r="U62" i="16"/>
  <c r="T62" i="16"/>
  <c r="S62" i="16"/>
  <c r="R62" i="16"/>
  <c r="Q62" i="16"/>
  <c r="P62" i="16"/>
  <c r="O62" i="16"/>
  <c r="N62" i="16"/>
  <c r="X62" i="16"/>
  <c r="AH11" i="16"/>
  <c r="W61" i="16"/>
  <c r="V61" i="16"/>
  <c r="U61" i="16"/>
  <c r="T61" i="16"/>
  <c r="S61" i="16"/>
  <c r="R61" i="16"/>
  <c r="Q61" i="16"/>
  <c r="P61" i="16"/>
  <c r="O61" i="16"/>
  <c r="N61" i="16"/>
  <c r="W60" i="16"/>
  <c r="V60" i="16"/>
  <c r="U60" i="16"/>
  <c r="T60" i="16"/>
  <c r="S60" i="16"/>
  <c r="R60" i="16"/>
  <c r="Q60" i="16"/>
  <c r="P60" i="16"/>
  <c r="O60" i="16"/>
  <c r="N60" i="16"/>
  <c r="W59" i="16"/>
  <c r="V59" i="16"/>
  <c r="U59" i="16"/>
  <c r="T59" i="16"/>
  <c r="S59" i="16"/>
  <c r="R59" i="16"/>
  <c r="Q59" i="16"/>
  <c r="P59" i="16"/>
  <c r="O59" i="16"/>
  <c r="N59" i="16"/>
  <c r="W58" i="16"/>
  <c r="V58" i="16"/>
  <c r="U58" i="16"/>
  <c r="T58" i="16"/>
  <c r="S58" i="16"/>
  <c r="R58" i="16"/>
  <c r="Q58" i="16"/>
  <c r="P58" i="16"/>
  <c r="O58" i="16"/>
  <c r="N58" i="16"/>
  <c r="X58" i="16"/>
  <c r="AG10" i="16"/>
  <c r="W57" i="16"/>
  <c r="V57" i="16"/>
  <c r="U57" i="16"/>
  <c r="T57" i="16"/>
  <c r="S57" i="16"/>
  <c r="R57" i="16"/>
  <c r="Q57" i="16"/>
  <c r="P57" i="16"/>
  <c r="X57" i="16"/>
  <c r="AI9" i="16"/>
  <c r="O57" i="16"/>
  <c r="N57" i="16"/>
  <c r="W56" i="16"/>
  <c r="V56" i="16"/>
  <c r="U56" i="16"/>
  <c r="T56" i="16"/>
  <c r="S56" i="16"/>
  <c r="R56" i="16"/>
  <c r="Q56" i="16"/>
  <c r="P56" i="16"/>
  <c r="O56" i="16"/>
  <c r="N56" i="16"/>
  <c r="W55" i="16"/>
  <c r="V55" i="16"/>
  <c r="U55" i="16"/>
  <c r="T55" i="16"/>
  <c r="S55" i="16"/>
  <c r="R55" i="16"/>
  <c r="Q55" i="16"/>
  <c r="P55" i="16"/>
  <c r="O55" i="16"/>
  <c r="N55" i="16"/>
  <c r="W54" i="16"/>
  <c r="V54" i="16"/>
  <c r="U54" i="16"/>
  <c r="T54" i="16"/>
  <c r="S54" i="16"/>
  <c r="R54" i="16"/>
  <c r="Q54" i="16"/>
  <c r="P54" i="16"/>
  <c r="O54" i="16"/>
  <c r="N54" i="16"/>
  <c r="X54" i="16"/>
  <c r="AI8" i="16"/>
  <c r="W53" i="16"/>
  <c r="V53" i="16"/>
  <c r="U53" i="16"/>
  <c r="T53" i="16"/>
  <c r="S53" i="16"/>
  <c r="R53" i="16"/>
  <c r="Q53" i="16"/>
  <c r="P53" i="16"/>
  <c r="O53" i="16"/>
  <c r="N53" i="16"/>
  <c r="W52" i="16"/>
  <c r="V52" i="16"/>
  <c r="U52" i="16"/>
  <c r="T52" i="16"/>
  <c r="S52" i="16"/>
  <c r="R52" i="16"/>
  <c r="Q52" i="16"/>
  <c r="P52" i="16"/>
  <c r="O52" i="16"/>
  <c r="N52" i="16"/>
  <c r="W51" i="16"/>
  <c r="V51" i="16"/>
  <c r="U51" i="16"/>
  <c r="T51" i="16"/>
  <c r="S51" i="16"/>
  <c r="R51" i="16"/>
  <c r="Q51" i="16"/>
  <c r="P51" i="16"/>
  <c r="O51" i="16"/>
  <c r="N51" i="16"/>
  <c r="W50" i="16"/>
  <c r="V50" i="16"/>
  <c r="U50" i="16"/>
  <c r="T50" i="16"/>
  <c r="S50" i="16"/>
  <c r="R50" i="16"/>
  <c r="Q50" i="16"/>
  <c r="P50" i="16"/>
  <c r="O50" i="16"/>
  <c r="N50" i="16"/>
  <c r="X50" i="16"/>
  <c r="AH7" i="16"/>
  <c r="W49" i="16"/>
  <c r="V49" i="16"/>
  <c r="U49" i="16"/>
  <c r="T49" i="16"/>
  <c r="S49" i="16"/>
  <c r="R49" i="16"/>
  <c r="Q49" i="16"/>
  <c r="P49" i="16"/>
  <c r="X49" i="16"/>
  <c r="AG7" i="16"/>
  <c r="O49" i="16"/>
  <c r="N49" i="16"/>
  <c r="W48" i="16"/>
  <c r="V48" i="16"/>
  <c r="U48" i="16"/>
  <c r="T48" i="16"/>
  <c r="S48" i="16"/>
  <c r="R48" i="16"/>
  <c r="Q48" i="16"/>
  <c r="P48" i="16"/>
  <c r="O48" i="16"/>
  <c r="N48" i="16"/>
  <c r="W47" i="16"/>
  <c r="V47" i="16"/>
  <c r="U47" i="16"/>
  <c r="T47" i="16"/>
  <c r="S47" i="16"/>
  <c r="R47" i="16"/>
  <c r="Q47" i="16"/>
  <c r="P47" i="16"/>
  <c r="O47" i="16"/>
  <c r="N47" i="16"/>
  <c r="W46" i="16"/>
  <c r="V46" i="16"/>
  <c r="U46" i="16"/>
  <c r="T46" i="16"/>
  <c r="S46" i="16"/>
  <c r="R46" i="16"/>
  <c r="Q46" i="16"/>
  <c r="P46" i="16"/>
  <c r="O46" i="16"/>
  <c r="N46" i="16"/>
  <c r="X46" i="16"/>
  <c r="AH6" i="16"/>
  <c r="W45" i="16"/>
  <c r="V45" i="16"/>
  <c r="U45" i="16"/>
  <c r="T45" i="16"/>
  <c r="S45" i="16"/>
  <c r="R45" i="16"/>
  <c r="Q45" i="16"/>
  <c r="P45" i="16"/>
  <c r="O45" i="16"/>
  <c r="N45" i="16"/>
  <c r="W44" i="16"/>
  <c r="V44" i="16"/>
  <c r="U44" i="16"/>
  <c r="T44" i="16"/>
  <c r="S44" i="16"/>
  <c r="R44" i="16"/>
  <c r="Q44" i="16"/>
  <c r="P44" i="16"/>
  <c r="O44" i="16"/>
  <c r="N44" i="16"/>
  <c r="W43" i="16"/>
  <c r="V43" i="16"/>
  <c r="U43" i="16"/>
  <c r="T43" i="16"/>
  <c r="S43" i="16"/>
  <c r="R43" i="16"/>
  <c r="Q43" i="16"/>
  <c r="P43" i="16"/>
  <c r="O43" i="16"/>
  <c r="N43" i="16"/>
  <c r="Q21" i="16"/>
  <c r="P21" i="16"/>
  <c r="R15" i="16"/>
  <c r="Q15" i="16"/>
  <c r="Q16" i="16"/>
  <c r="P15" i="16"/>
  <c r="P16" i="16"/>
  <c r="F15" i="16"/>
  <c r="T14" i="16"/>
  <c r="R14" i="16"/>
  <c r="R21" i="16"/>
  <c r="Q14" i="16"/>
  <c r="P14" i="16"/>
  <c r="U14" i="16"/>
  <c r="O13" i="16"/>
  <c r="N13" i="16"/>
  <c r="E13" i="16"/>
  <c r="E15" i="16"/>
  <c r="D13" i="16"/>
  <c r="C13" i="16"/>
  <c r="U12" i="16"/>
  <c r="T12" i="16"/>
  <c r="O12" i="16"/>
  <c r="N12" i="16"/>
  <c r="H12" i="16"/>
  <c r="E12" i="16"/>
  <c r="D12" i="16"/>
  <c r="I12" i="16"/>
  <c r="C12" i="16"/>
  <c r="U11" i="16"/>
  <c r="T11" i="16"/>
  <c r="O11" i="16"/>
  <c r="N11" i="16"/>
  <c r="I11" i="16"/>
  <c r="H11" i="16"/>
  <c r="C11" i="16"/>
  <c r="AA10" i="16"/>
  <c r="Z10" i="16"/>
  <c r="U10" i="16"/>
  <c r="T10" i="16"/>
  <c r="O10" i="16"/>
  <c r="N10" i="16"/>
  <c r="I10" i="16"/>
  <c r="H10" i="16"/>
  <c r="C10" i="16"/>
  <c r="O9" i="16"/>
  <c r="N9" i="16"/>
  <c r="I9" i="16"/>
  <c r="H9" i="16"/>
  <c r="C9" i="16"/>
  <c r="O8" i="16"/>
  <c r="N8" i="16"/>
  <c r="I8" i="16"/>
  <c r="H8" i="16"/>
  <c r="C8" i="16"/>
  <c r="E14" i="16"/>
  <c r="Q18" i="16"/>
  <c r="AA7" i="16"/>
  <c r="Z7" i="16"/>
  <c r="U7" i="16"/>
  <c r="T7" i="16"/>
  <c r="O7" i="16"/>
  <c r="N7" i="16"/>
  <c r="I7" i="16"/>
  <c r="H7" i="16"/>
  <c r="C7" i="16"/>
  <c r="U6" i="16"/>
  <c r="T6" i="16"/>
  <c r="O6" i="16"/>
  <c r="N6" i="16"/>
  <c r="I6" i="16"/>
  <c r="H6" i="16"/>
  <c r="C6" i="16"/>
  <c r="Q22" i="15"/>
  <c r="R15" i="15"/>
  <c r="L20" i="15"/>
  <c r="Q15" i="15"/>
  <c r="K20" i="15"/>
  <c r="P15" i="15"/>
  <c r="J20" i="15"/>
  <c r="F15" i="15"/>
  <c r="E15" i="15"/>
  <c r="D15" i="15"/>
  <c r="X14" i="15"/>
  <c r="X22" i="15"/>
  <c r="W14" i="15"/>
  <c r="W16" i="15"/>
  <c r="V14" i="15"/>
  <c r="V16" i="15"/>
  <c r="R14" i="15"/>
  <c r="R22" i="15"/>
  <c r="Q14" i="15"/>
  <c r="P14" i="15"/>
  <c r="P22" i="15"/>
  <c r="I13" i="15"/>
  <c r="H13" i="15"/>
  <c r="C13" i="15"/>
  <c r="O12" i="15"/>
  <c r="N12" i="15"/>
  <c r="I12" i="15"/>
  <c r="H12" i="15"/>
  <c r="C12" i="15"/>
  <c r="AA11" i="15"/>
  <c r="Z11" i="15"/>
  <c r="U11" i="15"/>
  <c r="T11" i="15"/>
  <c r="O11" i="15"/>
  <c r="N11" i="15"/>
  <c r="I11" i="15"/>
  <c r="H11" i="15"/>
  <c r="C11" i="15"/>
  <c r="O10" i="15"/>
  <c r="N10" i="15"/>
  <c r="I10" i="15"/>
  <c r="H10" i="15"/>
  <c r="C10" i="15"/>
  <c r="O9" i="15"/>
  <c r="N9" i="15"/>
  <c r="I9" i="15"/>
  <c r="H9" i="15"/>
  <c r="C9" i="15"/>
  <c r="O8" i="15"/>
  <c r="N8" i="15"/>
  <c r="I8" i="15"/>
  <c r="H8" i="15"/>
  <c r="C8" i="15"/>
  <c r="AA7" i="15"/>
  <c r="Z7" i="15"/>
  <c r="U7" i="15"/>
  <c r="T7" i="15"/>
  <c r="O7" i="15"/>
  <c r="N7" i="15"/>
  <c r="I7" i="15"/>
  <c r="H7" i="15"/>
  <c r="C7" i="15"/>
  <c r="O6" i="15"/>
  <c r="N6" i="15"/>
  <c r="I6" i="15"/>
  <c r="H6" i="15"/>
  <c r="C6" i="15"/>
  <c r="P19" i="14"/>
  <c r="W14" i="14"/>
  <c r="P13" i="14"/>
  <c r="R12" i="14"/>
  <c r="L17" i="14"/>
  <c r="Q12" i="14"/>
  <c r="P12" i="14"/>
  <c r="U12" i="14"/>
  <c r="F12" i="14"/>
  <c r="E12" i="14"/>
  <c r="D12" i="14"/>
  <c r="H12" i="14"/>
  <c r="X11" i="14"/>
  <c r="X13" i="14"/>
  <c r="W11" i="14"/>
  <c r="W13" i="14"/>
  <c r="V11" i="14"/>
  <c r="V13" i="14"/>
  <c r="R11" i="14"/>
  <c r="R19" i="14"/>
  <c r="Q11" i="14"/>
  <c r="Q19" i="14"/>
  <c r="P11" i="14"/>
  <c r="AA10" i="14"/>
  <c r="Z10" i="14"/>
  <c r="U10" i="14"/>
  <c r="T10" i="14"/>
  <c r="O10" i="14"/>
  <c r="N10" i="14"/>
  <c r="I10" i="14"/>
  <c r="AC10" i="14"/>
  <c r="H10" i="14"/>
  <c r="AB10" i="14"/>
  <c r="C10" i="14"/>
  <c r="AA9" i="14"/>
  <c r="Z9" i="14"/>
  <c r="U9" i="14"/>
  <c r="T9" i="14"/>
  <c r="O9" i="14"/>
  <c r="N9" i="14"/>
  <c r="I9" i="14"/>
  <c r="AC9" i="14"/>
  <c r="H9" i="14"/>
  <c r="AB9" i="14"/>
  <c r="C9" i="14"/>
  <c r="O8" i="14"/>
  <c r="N8" i="14"/>
  <c r="I8" i="14"/>
  <c r="AC8" i="14"/>
  <c r="H8" i="14"/>
  <c r="AB8" i="14"/>
  <c r="C8" i="14"/>
  <c r="E11" i="14"/>
  <c r="W16" i="14"/>
  <c r="AA7" i="14"/>
  <c r="Z7" i="14"/>
  <c r="U7" i="14"/>
  <c r="T7" i="14"/>
  <c r="O7" i="14"/>
  <c r="N7" i="14"/>
  <c r="I7" i="14"/>
  <c r="AC7" i="14"/>
  <c r="H7" i="14"/>
  <c r="AB7" i="14"/>
  <c r="C7" i="14"/>
  <c r="F11" i="14"/>
  <c r="R15" i="14"/>
  <c r="U6" i="14"/>
  <c r="T6" i="14"/>
  <c r="O6" i="14"/>
  <c r="N6" i="14"/>
  <c r="I6" i="14"/>
  <c r="AC6" i="14"/>
  <c r="H6" i="14"/>
  <c r="AB6" i="14"/>
  <c r="C6" i="14"/>
  <c r="Q20" i="13"/>
  <c r="W14" i="13"/>
  <c r="R12" i="13"/>
  <c r="L17" i="13"/>
  <c r="Q12" i="13"/>
  <c r="K17" i="13"/>
  <c r="P12" i="13"/>
  <c r="J17" i="13"/>
  <c r="F12" i="13"/>
  <c r="E12" i="13"/>
  <c r="D12" i="13"/>
  <c r="X11" i="13"/>
  <c r="X19" i="13"/>
  <c r="W11" i="13"/>
  <c r="W19" i="13"/>
  <c r="V11" i="13"/>
  <c r="R11" i="13"/>
  <c r="R19" i="13"/>
  <c r="Q11" i="13"/>
  <c r="Q19" i="13"/>
  <c r="P11" i="13"/>
  <c r="P19" i="13"/>
  <c r="AA10" i="13"/>
  <c r="Z10" i="13"/>
  <c r="U10" i="13"/>
  <c r="T10" i="13"/>
  <c r="O10" i="13"/>
  <c r="N10" i="13"/>
  <c r="I10" i="13"/>
  <c r="H10" i="13"/>
  <c r="C10" i="13"/>
  <c r="AA9" i="13"/>
  <c r="Z9" i="13"/>
  <c r="U9" i="13"/>
  <c r="T9" i="13"/>
  <c r="O9" i="13"/>
  <c r="N9" i="13"/>
  <c r="I9" i="13"/>
  <c r="H9" i="13"/>
  <c r="C9" i="13"/>
  <c r="AA8" i="13"/>
  <c r="Z8" i="13"/>
  <c r="U8" i="13"/>
  <c r="T8" i="13"/>
  <c r="O8" i="13"/>
  <c r="N8" i="13"/>
  <c r="I8" i="13"/>
  <c r="H8" i="13"/>
  <c r="C8" i="13"/>
  <c r="AA7" i="13"/>
  <c r="Z7" i="13"/>
  <c r="U7" i="13"/>
  <c r="T7" i="13"/>
  <c r="O7" i="13"/>
  <c r="N7" i="13"/>
  <c r="I7" i="13"/>
  <c r="H7" i="13"/>
  <c r="C7" i="13"/>
  <c r="D11" i="13"/>
  <c r="U6" i="13"/>
  <c r="T6" i="13"/>
  <c r="O6" i="13"/>
  <c r="N6" i="13"/>
  <c r="I6" i="13"/>
  <c r="H6" i="13"/>
  <c r="C6" i="13"/>
  <c r="Q21" i="12"/>
  <c r="R12" i="12"/>
  <c r="L18" i="12"/>
  <c r="Q12" i="12"/>
  <c r="K18" i="12"/>
  <c r="P12" i="12"/>
  <c r="J18" i="12"/>
  <c r="F12" i="12"/>
  <c r="E12" i="12"/>
  <c r="D12" i="12"/>
  <c r="X11" i="12"/>
  <c r="X20" i="12"/>
  <c r="W11" i="12"/>
  <c r="W20" i="12"/>
  <c r="V11" i="12"/>
  <c r="V13" i="12"/>
  <c r="R11" i="12"/>
  <c r="R20" i="12"/>
  <c r="Q11" i="12"/>
  <c r="Q20" i="12"/>
  <c r="P11" i="12"/>
  <c r="P20" i="12"/>
  <c r="O10" i="12"/>
  <c r="N10" i="12"/>
  <c r="I10" i="12"/>
  <c r="H10" i="12"/>
  <c r="C10" i="12"/>
  <c r="AA9" i="12"/>
  <c r="Z9" i="12"/>
  <c r="U9" i="12"/>
  <c r="T9" i="12"/>
  <c r="O9" i="12"/>
  <c r="N9" i="12"/>
  <c r="I9" i="12"/>
  <c r="H9" i="12"/>
  <c r="C9" i="12"/>
  <c r="AA8" i="12"/>
  <c r="Z8" i="12"/>
  <c r="U8" i="12"/>
  <c r="T8" i="12"/>
  <c r="O8" i="12"/>
  <c r="N8" i="12"/>
  <c r="I8" i="12"/>
  <c r="H8" i="12"/>
  <c r="C8" i="12"/>
  <c r="AA7" i="12"/>
  <c r="Z7" i="12"/>
  <c r="U7" i="12"/>
  <c r="T7" i="12"/>
  <c r="O7" i="12"/>
  <c r="N7" i="12"/>
  <c r="I7" i="12"/>
  <c r="H7" i="12"/>
  <c r="C7" i="12"/>
  <c r="F11" i="12"/>
  <c r="U6" i="12"/>
  <c r="T6" i="12"/>
  <c r="O6" i="12"/>
  <c r="N6" i="12"/>
  <c r="I6" i="12"/>
  <c r="H6" i="12"/>
  <c r="C6" i="12"/>
  <c r="Q24" i="11"/>
  <c r="V23" i="11"/>
  <c r="T16" i="11"/>
  <c r="R16" i="11"/>
  <c r="L21" i="11"/>
  <c r="Q16" i="11"/>
  <c r="K21" i="11"/>
  <c r="P16" i="11"/>
  <c r="J21" i="11"/>
  <c r="F16" i="11"/>
  <c r="E16" i="11"/>
  <c r="D16" i="11"/>
  <c r="X15" i="11"/>
  <c r="X23" i="11"/>
  <c r="W15" i="11"/>
  <c r="W23" i="11"/>
  <c r="V15" i="11"/>
  <c r="R15" i="11"/>
  <c r="R23" i="11"/>
  <c r="Q15" i="11"/>
  <c r="Q23" i="11"/>
  <c r="P15" i="11"/>
  <c r="P23" i="11"/>
  <c r="O14" i="11"/>
  <c r="N14" i="11"/>
  <c r="I14" i="11"/>
  <c r="H14" i="11"/>
  <c r="C14" i="11"/>
  <c r="O13" i="11"/>
  <c r="N13" i="11"/>
  <c r="I13" i="11"/>
  <c r="H13" i="11"/>
  <c r="C13" i="11"/>
  <c r="O12" i="11"/>
  <c r="N12" i="11"/>
  <c r="G12" i="11"/>
  <c r="F12" i="11"/>
  <c r="E12" i="11"/>
  <c r="D12" i="11"/>
  <c r="I12" i="11"/>
  <c r="C12" i="11"/>
  <c r="AA11" i="11"/>
  <c r="Z11" i="11"/>
  <c r="U11" i="11"/>
  <c r="T11" i="11"/>
  <c r="O11" i="11"/>
  <c r="N11" i="11"/>
  <c r="I11" i="11"/>
  <c r="H11" i="11"/>
  <c r="C11" i="11"/>
  <c r="O10" i="11"/>
  <c r="N10" i="11"/>
  <c r="I10" i="11"/>
  <c r="H10" i="11"/>
  <c r="C10" i="11"/>
  <c r="O9" i="11"/>
  <c r="N9" i="11"/>
  <c r="I9" i="11"/>
  <c r="H9" i="11"/>
  <c r="C9" i="11"/>
  <c r="O8" i="11"/>
  <c r="N8" i="11"/>
  <c r="I8" i="11"/>
  <c r="H8" i="11"/>
  <c r="C8" i="11"/>
  <c r="U7" i="11"/>
  <c r="T7" i="11"/>
  <c r="O7" i="11"/>
  <c r="N7" i="11"/>
  <c r="I7" i="11"/>
  <c r="H7" i="11"/>
  <c r="C7" i="11"/>
  <c r="O6" i="11"/>
  <c r="N6" i="11"/>
  <c r="I6" i="11"/>
  <c r="H6" i="11"/>
  <c r="C6" i="11"/>
  <c r="Q14" i="10"/>
  <c r="K19" i="10"/>
  <c r="P14" i="10"/>
  <c r="P15" i="10"/>
  <c r="X13" i="10"/>
  <c r="W13" i="10"/>
  <c r="W21" i="10"/>
  <c r="W25" i="10"/>
  <c r="V13" i="10"/>
  <c r="V15" i="10"/>
  <c r="R13" i="10"/>
  <c r="R21" i="10"/>
  <c r="Q13" i="10"/>
  <c r="W15" i="10"/>
  <c r="P13" i="10"/>
  <c r="P21" i="10"/>
  <c r="F13" i="10"/>
  <c r="R18" i="10"/>
  <c r="AA12" i="10"/>
  <c r="Z12" i="10"/>
  <c r="U12" i="10"/>
  <c r="T12" i="10"/>
  <c r="O12" i="10"/>
  <c r="N12" i="10"/>
  <c r="F12" i="10"/>
  <c r="E12" i="10"/>
  <c r="D12" i="10"/>
  <c r="C12" i="10"/>
  <c r="AA11" i="10"/>
  <c r="Z11" i="10"/>
  <c r="U11" i="10"/>
  <c r="T11" i="10"/>
  <c r="O11" i="10"/>
  <c r="N11" i="10"/>
  <c r="F11" i="10"/>
  <c r="F14" i="10"/>
  <c r="E11" i="10"/>
  <c r="E14" i="10"/>
  <c r="D11" i="10"/>
  <c r="C11" i="10"/>
  <c r="AA10" i="10"/>
  <c r="Z10" i="10"/>
  <c r="U10" i="10"/>
  <c r="T10" i="10"/>
  <c r="O10" i="10"/>
  <c r="N10" i="10"/>
  <c r="F10" i="10"/>
  <c r="R14" i="10"/>
  <c r="R22" i="10"/>
  <c r="R26" i="10"/>
  <c r="E10" i="10"/>
  <c r="H10" i="10"/>
  <c r="AB10" i="10"/>
  <c r="D10" i="10"/>
  <c r="C10" i="10"/>
  <c r="AC9" i="10"/>
  <c r="AB9" i="10"/>
  <c r="O9" i="10"/>
  <c r="N9" i="10"/>
  <c r="I9" i="10"/>
  <c r="H9" i="10"/>
  <c r="C9" i="10"/>
  <c r="AB8" i="10"/>
  <c r="O8" i="10"/>
  <c r="N8" i="10"/>
  <c r="I8" i="10"/>
  <c r="AC8" i="10"/>
  <c r="H8" i="10"/>
  <c r="C8" i="10"/>
  <c r="AB7" i="10"/>
  <c r="U7" i="10"/>
  <c r="T7" i="10"/>
  <c r="O7" i="10"/>
  <c r="N7" i="10"/>
  <c r="I7" i="10"/>
  <c r="AC7" i="10"/>
  <c r="H7" i="10"/>
  <c r="C7" i="10"/>
  <c r="AC6" i="10"/>
  <c r="U6" i="10"/>
  <c r="T6" i="10"/>
  <c r="O6" i="10"/>
  <c r="N6" i="10"/>
  <c r="I6" i="10"/>
  <c r="H6" i="10"/>
  <c r="AB6" i="10"/>
  <c r="C6" i="10"/>
  <c r="W14" i="9"/>
  <c r="D13" i="9"/>
  <c r="X12" i="9"/>
  <c r="X20" i="9"/>
  <c r="W12" i="9"/>
  <c r="W20" i="9"/>
  <c r="V12" i="9"/>
  <c r="V14" i="9"/>
  <c r="R12" i="9"/>
  <c r="R20" i="9"/>
  <c r="Q12" i="9"/>
  <c r="Q20" i="9"/>
  <c r="P12" i="9"/>
  <c r="P20" i="9"/>
  <c r="D12" i="9"/>
  <c r="V16" i="9"/>
  <c r="AA11" i="9"/>
  <c r="Z11" i="9"/>
  <c r="U11" i="9"/>
  <c r="T11" i="9"/>
  <c r="O11" i="9"/>
  <c r="N11" i="9"/>
  <c r="F11" i="9"/>
  <c r="F13" i="9"/>
  <c r="E11" i="9"/>
  <c r="E13" i="9"/>
  <c r="D11" i="9"/>
  <c r="C11" i="9"/>
  <c r="AA10" i="9"/>
  <c r="Z10" i="9"/>
  <c r="U10" i="9"/>
  <c r="T10" i="9"/>
  <c r="O10" i="9"/>
  <c r="N10" i="9"/>
  <c r="F10" i="9"/>
  <c r="R13" i="9"/>
  <c r="E10" i="9"/>
  <c r="Q13" i="9"/>
  <c r="D10" i="9"/>
  <c r="I10" i="9"/>
  <c r="C10" i="9"/>
  <c r="O9" i="9"/>
  <c r="N9" i="9"/>
  <c r="I9" i="9"/>
  <c r="H9" i="9"/>
  <c r="C9" i="9"/>
  <c r="O8" i="9"/>
  <c r="N8" i="9"/>
  <c r="I8" i="9"/>
  <c r="H8" i="9"/>
  <c r="C8" i="9"/>
  <c r="AA7" i="9"/>
  <c r="Z7" i="9"/>
  <c r="U7" i="9"/>
  <c r="T7" i="9"/>
  <c r="O7" i="9"/>
  <c r="N7" i="9"/>
  <c r="I7" i="9"/>
  <c r="H7" i="9"/>
  <c r="C7" i="9"/>
  <c r="E12" i="9"/>
  <c r="AA6" i="9"/>
  <c r="Z6" i="9"/>
  <c r="U6" i="9"/>
  <c r="T6" i="9"/>
  <c r="O6" i="9"/>
  <c r="N6" i="9"/>
  <c r="I6" i="9"/>
  <c r="H6" i="9"/>
  <c r="C6" i="9"/>
  <c r="X13" i="8"/>
  <c r="R12" i="8"/>
  <c r="L17" i="8"/>
  <c r="Q12" i="8"/>
  <c r="K17" i="8"/>
  <c r="P12" i="8"/>
  <c r="P13" i="8"/>
  <c r="F12" i="8"/>
  <c r="E12" i="8"/>
  <c r="D12" i="8"/>
  <c r="I12" i="8"/>
  <c r="X11" i="8"/>
  <c r="X19" i="8"/>
  <c r="W11" i="8"/>
  <c r="W19" i="8"/>
  <c r="V11" i="8"/>
  <c r="V13" i="8"/>
  <c r="T11" i="8"/>
  <c r="R11" i="8"/>
  <c r="R19" i="8"/>
  <c r="Q11" i="8"/>
  <c r="Q19" i="8"/>
  <c r="P11" i="8"/>
  <c r="P19" i="8"/>
  <c r="AA10" i="8"/>
  <c r="Z10" i="8"/>
  <c r="U10" i="8"/>
  <c r="T10" i="8"/>
  <c r="O10" i="8"/>
  <c r="N10" i="8"/>
  <c r="I10" i="8"/>
  <c r="H10" i="8"/>
  <c r="C10" i="8"/>
  <c r="AA9" i="8"/>
  <c r="Z9" i="8"/>
  <c r="U9" i="8"/>
  <c r="T9" i="8"/>
  <c r="O9" i="8"/>
  <c r="N9" i="8"/>
  <c r="I9" i="8"/>
  <c r="H9" i="8"/>
  <c r="C9" i="8"/>
  <c r="O8" i="8"/>
  <c r="N8" i="8"/>
  <c r="I8" i="8"/>
  <c r="H8" i="8"/>
  <c r="C8" i="8"/>
  <c r="U7" i="8"/>
  <c r="T7" i="8"/>
  <c r="O7" i="8"/>
  <c r="N7" i="8"/>
  <c r="I7" i="8"/>
  <c r="H7" i="8"/>
  <c r="C7" i="8"/>
  <c r="F11" i="8"/>
  <c r="R16" i="8"/>
  <c r="U6" i="8"/>
  <c r="T6" i="8"/>
  <c r="O6" i="8"/>
  <c r="N6" i="8"/>
  <c r="I6" i="8"/>
  <c r="H6" i="8"/>
  <c r="C6" i="8"/>
  <c r="W17" i="11"/>
  <c r="D11" i="8"/>
  <c r="V15" i="8"/>
  <c r="U12" i="8"/>
  <c r="I16" i="11"/>
  <c r="W18" i="11"/>
  <c r="W14" i="12"/>
  <c r="E14" i="15"/>
  <c r="I15" i="15"/>
  <c r="V22" i="15"/>
  <c r="P22" i="16"/>
  <c r="AW44" i="17"/>
  <c r="Y59" i="17"/>
  <c r="AW60" i="17"/>
  <c r="AI11" i="17"/>
  <c r="Y64" i="17"/>
  <c r="AW65" i="17"/>
  <c r="Y66" i="17"/>
  <c r="Y68" i="17"/>
  <c r="Y69" i="17"/>
  <c r="X55" i="18"/>
  <c r="AM7" i="18"/>
  <c r="X60" i="18"/>
  <c r="AO8" i="18"/>
  <c r="X63" i="18"/>
  <c r="AN9" i="18"/>
  <c r="X64" i="18"/>
  <c r="X68" i="18"/>
  <c r="AN10" i="18"/>
  <c r="X71" i="18"/>
  <c r="AN11" i="18"/>
  <c r="X72" i="18"/>
  <c r="AO11" i="18"/>
  <c r="X78" i="18"/>
  <c r="X81" i="18"/>
  <c r="X86" i="18"/>
  <c r="X90" i="18"/>
  <c r="I18" i="19"/>
  <c r="X61" i="19"/>
  <c r="X62" i="19"/>
  <c r="X65" i="19"/>
  <c r="AV68" i="19"/>
  <c r="X74" i="19"/>
  <c r="X82" i="19"/>
  <c r="AV88" i="19"/>
  <c r="X94" i="19"/>
  <c r="DV6" i="20"/>
  <c r="DU16" i="20"/>
  <c r="AX63" i="20"/>
  <c r="E11" i="8"/>
  <c r="W15" i="8"/>
  <c r="W13" i="8"/>
  <c r="I10" i="10"/>
  <c r="AC10" i="10"/>
  <c r="W16" i="10"/>
  <c r="I12" i="12"/>
  <c r="V20" i="12"/>
  <c r="V13" i="13"/>
  <c r="T11" i="14"/>
  <c r="V19" i="14"/>
  <c r="V23" i="14"/>
  <c r="F14" i="15"/>
  <c r="H15" i="15"/>
  <c r="W22" i="15"/>
  <c r="F14" i="16"/>
  <c r="X43" i="16"/>
  <c r="X51" i="16"/>
  <c r="AI7" i="16"/>
  <c r="X59" i="16"/>
  <c r="AH10" i="16"/>
  <c r="X69" i="16"/>
  <c r="X72" i="16"/>
  <c r="X77" i="16"/>
  <c r="X80" i="16"/>
  <c r="X85" i="16"/>
  <c r="X88" i="16"/>
  <c r="U14" i="17"/>
  <c r="Q21" i="17"/>
  <c r="Y47" i="17"/>
  <c r="AH7" i="17"/>
  <c r="Y51" i="17"/>
  <c r="AW53" i="17"/>
  <c r="AW55" i="17"/>
  <c r="AW57" i="17"/>
  <c r="Y73" i="17"/>
  <c r="AW74" i="17"/>
  <c r="AW76" i="17"/>
  <c r="AW78" i="17"/>
  <c r="AW80" i="17"/>
  <c r="X52" i="18"/>
  <c r="AM6" i="18"/>
  <c r="X82" i="18"/>
  <c r="X91" i="18"/>
  <c r="CI4" i="20"/>
  <c r="DL8" i="20"/>
  <c r="I15" i="20"/>
  <c r="AX81" i="20"/>
  <c r="F15" i="11"/>
  <c r="T12" i="13"/>
  <c r="R20" i="14"/>
  <c r="R24" i="14"/>
  <c r="D14" i="16"/>
  <c r="P17" i="16"/>
  <c r="X47" i="16"/>
  <c r="X55" i="16"/>
  <c r="AG9" i="16"/>
  <c r="X63" i="16"/>
  <c r="AI11" i="16"/>
  <c r="X73" i="16"/>
  <c r="X81" i="16"/>
  <c r="X89" i="16"/>
  <c r="F14" i="17"/>
  <c r="H10" i="17"/>
  <c r="I11" i="17"/>
  <c r="AW59" i="17"/>
  <c r="AH11" i="17"/>
  <c r="AW64" i="17"/>
  <c r="AW66" i="17"/>
  <c r="Y70" i="17"/>
  <c r="I10" i="18"/>
  <c r="BC10" i="18"/>
  <c r="U15" i="18"/>
  <c r="X61" i="18"/>
  <c r="AM9" i="18"/>
  <c r="X69" i="18"/>
  <c r="AO10" i="18"/>
  <c r="X79" i="18"/>
  <c r="X88" i="18"/>
  <c r="DK6" i="19"/>
  <c r="DK9" i="19"/>
  <c r="DU13" i="19"/>
  <c r="X59" i="19"/>
  <c r="X63" i="19"/>
  <c r="X66" i="19"/>
  <c r="X67" i="19"/>
  <c r="X72" i="19"/>
  <c r="X81" i="19"/>
  <c r="X87" i="19"/>
  <c r="AV92" i="19"/>
  <c r="DK13" i="20"/>
  <c r="AX62" i="20"/>
  <c r="F12" i="9"/>
  <c r="R17" i="9"/>
  <c r="W14" i="8"/>
  <c r="E13" i="10"/>
  <c r="V21" i="10"/>
  <c r="V25" i="10"/>
  <c r="D15" i="11"/>
  <c r="H12" i="11"/>
  <c r="Q25" i="11"/>
  <c r="W13" i="13"/>
  <c r="X48" i="16"/>
  <c r="AI6" i="16"/>
  <c r="X56" i="16"/>
  <c r="AH9" i="16"/>
  <c r="X64" i="16"/>
  <c r="AG12" i="16"/>
  <c r="X74" i="16"/>
  <c r="X82" i="16"/>
  <c r="Y48" i="17"/>
  <c r="AI7" i="17"/>
  <c r="Y52" i="17"/>
  <c r="AG9" i="17"/>
  <c r="Y54" i="17"/>
  <c r="AI9" i="17"/>
  <c r="Y56" i="17"/>
  <c r="AH10" i="17"/>
  <c r="Y58" i="17"/>
  <c r="AW73" i="17"/>
  <c r="Y75" i="17"/>
  <c r="AW75" i="17"/>
  <c r="Y77" i="17"/>
  <c r="AW77" i="17"/>
  <c r="Y79" i="17"/>
  <c r="AW79" i="17"/>
  <c r="AB11" i="17"/>
  <c r="Y81" i="17"/>
  <c r="AW81" i="17"/>
  <c r="AD11" i="17"/>
  <c r="AN11" i="17"/>
  <c r="H11" i="18"/>
  <c r="BB11" i="18"/>
  <c r="I12" i="18"/>
  <c r="BC12" i="18"/>
  <c r="I14" i="18"/>
  <c r="BC14" i="18"/>
  <c r="X53" i="18"/>
  <c r="AN6" i="18"/>
  <c r="DT6" i="19"/>
  <c r="X69" i="19"/>
  <c r="AV74" i="19"/>
  <c r="AV82" i="19"/>
  <c r="X89" i="19"/>
  <c r="AV96" i="19"/>
  <c r="DU7" i="20"/>
  <c r="I12" i="20"/>
  <c r="AE18" i="20"/>
  <c r="X18" i="10"/>
  <c r="V19" i="8"/>
  <c r="I11" i="10"/>
  <c r="AC11" i="10"/>
  <c r="I12" i="13"/>
  <c r="U11" i="14"/>
  <c r="Q13" i="14"/>
  <c r="T14" i="15"/>
  <c r="R16" i="16"/>
  <c r="H12" i="17"/>
  <c r="Y43" i="17"/>
  <c r="AG6" i="17"/>
  <c r="AW43" i="17"/>
  <c r="Y45" i="17"/>
  <c r="AI6" i="17"/>
  <c r="AW45" i="17"/>
  <c r="Y60" i="17"/>
  <c r="Y65" i="17"/>
  <c r="Y67" i="17"/>
  <c r="Y71" i="17"/>
  <c r="E15" i="18"/>
  <c r="H13" i="18"/>
  <c r="BB13" i="18"/>
  <c r="X56" i="18"/>
  <c r="AN7" i="18"/>
  <c r="X57" i="18"/>
  <c r="AO7" i="18"/>
  <c r="X62" i="18"/>
  <c r="X65" i="18"/>
  <c r="AO9" i="18"/>
  <c r="X66" i="18"/>
  <c r="X70" i="18"/>
  <c r="AM11" i="18"/>
  <c r="X75" i="18"/>
  <c r="AH6" i="18"/>
  <c r="X76" i="18"/>
  <c r="AI6" i="18"/>
  <c r="AS6" i="18"/>
  <c r="X80" i="18"/>
  <c r="X83" i="18"/>
  <c r="X84" i="18"/>
  <c r="X89" i="18"/>
  <c r="X92" i="18"/>
  <c r="CI3" i="19"/>
  <c r="DU9" i="19"/>
  <c r="X64" i="19"/>
  <c r="X71" i="19"/>
  <c r="X80" i="19"/>
  <c r="X97" i="19"/>
  <c r="F17" i="20"/>
  <c r="DV8" i="20"/>
  <c r="DL16" i="20"/>
  <c r="I12" i="10"/>
  <c r="AC12" i="10"/>
  <c r="W13" i="12"/>
  <c r="Q20" i="8"/>
  <c r="Q21" i="8"/>
  <c r="X16" i="10"/>
  <c r="V17" i="11"/>
  <c r="T11" i="12"/>
  <c r="V19" i="13"/>
  <c r="J19" i="16"/>
  <c r="X44" i="16"/>
  <c r="AG6" i="16"/>
  <c r="X45" i="16"/>
  <c r="X52" i="16"/>
  <c r="AG8" i="16"/>
  <c r="X53" i="16"/>
  <c r="AH8" i="16"/>
  <c r="X60" i="16"/>
  <c r="AI10" i="16"/>
  <c r="X61" i="16"/>
  <c r="AG11" i="16"/>
  <c r="X70" i="16"/>
  <c r="X71" i="16"/>
  <c r="AD6" i="16"/>
  <c r="AN6" i="16"/>
  <c r="X78" i="16"/>
  <c r="X79" i="16"/>
  <c r="AC9" i="16"/>
  <c r="AM9" i="16"/>
  <c r="X86" i="16"/>
  <c r="X87" i="16"/>
  <c r="AB12" i="16"/>
  <c r="H11" i="17"/>
  <c r="Y74" i="17"/>
  <c r="Y76" i="17"/>
  <c r="Y78" i="17"/>
  <c r="Y80" i="17"/>
  <c r="DJ11" i="19"/>
  <c r="X68" i="19"/>
  <c r="X73" i="19"/>
  <c r="AV81" i="19"/>
  <c r="X88" i="19"/>
  <c r="DL6" i="20"/>
  <c r="DV11" i="20"/>
  <c r="DL13" i="20"/>
  <c r="AX79" i="20"/>
  <c r="D11" i="14"/>
  <c r="W17" i="15"/>
  <c r="I13" i="16"/>
  <c r="P23" i="16"/>
  <c r="Y44" i="17"/>
  <c r="AH6" i="17"/>
  <c r="Y46" i="17"/>
  <c r="AG7" i="17"/>
  <c r="AJ6" i="18"/>
  <c r="AT6" i="18"/>
  <c r="AI9" i="18"/>
  <c r="AS9" i="18"/>
  <c r="X83" i="19"/>
  <c r="AV89" i="19"/>
  <c r="AX64" i="20"/>
  <c r="AB8" i="16"/>
  <c r="AC8" i="16"/>
  <c r="AM8" i="16"/>
  <c r="AD10" i="16"/>
  <c r="AN10" i="16"/>
  <c r="AB11" i="16"/>
  <c r="X93" i="19"/>
  <c r="DV13" i="20"/>
  <c r="J16" i="20"/>
  <c r="AX76" i="20"/>
  <c r="AX78" i="20"/>
  <c r="AX82" i="20"/>
  <c r="I13" i="20"/>
  <c r="I16" i="20"/>
  <c r="CH7" i="20"/>
  <c r="DK7" i="20"/>
  <c r="DK9" i="20"/>
  <c r="J13" i="20"/>
  <c r="I14" i="20"/>
  <c r="DK6" i="20"/>
  <c r="DK8" i="20"/>
  <c r="DK11" i="20"/>
  <c r="J14" i="20"/>
  <c r="P19" i="20"/>
  <c r="DU13" i="20"/>
  <c r="E17" i="20"/>
  <c r="CI3" i="20"/>
  <c r="CI8" i="20"/>
  <c r="CI4" i="19"/>
  <c r="CI14" i="19"/>
  <c r="AV70" i="19"/>
  <c r="X76" i="19"/>
  <c r="X84" i="19"/>
  <c r="X90" i="19"/>
  <c r="CH8" i="19"/>
  <c r="DU11" i="19"/>
  <c r="DT11" i="19"/>
  <c r="CH6" i="19"/>
  <c r="X60" i="19"/>
  <c r="X95" i="19"/>
  <c r="DU6" i="19"/>
  <c r="G21" i="19"/>
  <c r="F21" i="19"/>
  <c r="E21" i="19"/>
  <c r="AV71" i="19"/>
  <c r="AV80" i="19"/>
  <c r="X86" i="19"/>
  <c r="X92" i="19"/>
  <c r="AV97" i="19"/>
  <c r="Q23" i="19"/>
  <c r="U23" i="19"/>
  <c r="DT17" i="19"/>
  <c r="I19" i="19"/>
  <c r="I16" i="19"/>
  <c r="J19" i="19"/>
  <c r="DJ20" i="19"/>
  <c r="AE22" i="19"/>
  <c r="AF22" i="19"/>
  <c r="DT8" i="19"/>
  <c r="DT10" i="19"/>
  <c r="DT13" i="19"/>
  <c r="DJ17" i="19"/>
  <c r="DT7" i="19"/>
  <c r="DT9" i="19"/>
  <c r="DT15" i="19"/>
  <c r="Q18" i="18"/>
  <c r="Q19" i="18"/>
  <c r="AQ11" i="18"/>
  <c r="AP11" i="18"/>
  <c r="AR6" i="18"/>
  <c r="AL6" i="18"/>
  <c r="AK6" i="18"/>
  <c r="AJ7" i="18"/>
  <c r="AT7" i="18"/>
  <c r="AJ8" i="18"/>
  <c r="AT8" i="18"/>
  <c r="AH9" i="18"/>
  <c r="AW9" i="18"/>
  <c r="AJ10" i="18"/>
  <c r="AT10" i="18"/>
  <c r="AJ11" i="18"/>
  <c r="AT11" i="18"/>
  <c r="AX8" i="18"/>
  <c r="AQ8" i="18"/>
  <c r="AP8" i="18"/>
  <c r="AP10" i="18"/>
  <c r="AQ10" i="18"/>
  <c r="AY6" i="18"/>
  <c r="I16" i="18"/>
  <c r="T16" i="18"/>
  <c r="P17" i="18"/>
  <c r="P23" i="18"/>
  <c r="J20" i="18"/>
  <c r="U16" i="18"/>
  <c r="AQ7" i="18"/>
  <c r="AP7" i="18"/>
  <c r="AX9" i="18"/>
  <c r="AH7" i="18"/>
  <c r="AJ9" i="18"/>
  <c r="AT9" i="18"/>
  <c r="AH11" i="18"/>
  <c r="AW11" i="18"/>
  <c r="K20" i="18"/>
  <c r="Q17" i="18"/>
  <c r="Q23" i="18"/>
  <c r="Q27" i="18"/>
  <c r="AP6" i="18"/>
  <c r="AW6" i="18"/>
  <c r="AQ6" i="18"/>
  <c r="AI8" i="18"/>
  <c r="AI11" i="18"/>
  <c r="AS11" i="18"/>
  <c r="R17" i="18"/>
  <c r="R23" i="18"/>
  <c r="R27" i="18"/>
  <c r="L20" i="18"/>
  <c r="AQ9" i="18"/>
  <c r="AP9" i="18"/>
  <c r="Q26" i="18"/>
  <c r="Q24" i="18"/>
  <c r="AX6" i="18"/>
  <c r="I11" i="18"/>
  <c r="BC11" i="18"/>
  <c r="E16" i="18"/>
  <c r="H16" i="18"/>
  <c r="R18" i="18"/>
  <c r="P25" i="18"/>
  <c r="R26" i="18"/>
  <c r="R25" i="18"/>
  <c r="H10" i="18"/>
  <c r="BB10" i="18"/>
  <c r="H14" i="18"/>
  <c r="BB14" i="18"/>
  <c r="D15" i="18"/>
  <c r="T15" i="18"/>
  <c r="R19" i="18"/>
  <c r="AK9" i="17"/>
  <c r="AJ9" i="17"/>
  <c r="AS9" i="17"/>
  <c r="AD9" i="17"/>
  <c r="AN9" i="17"/>
  <c r="AC10" i="17"/>
  <c r="AM10" i="17"/>
  <c r="AL11" i="17"/>
  <c r="AK6" i="17"/>
  <c r="AJ6" i="17"/>
  <c r="AC6" i="17"/>
  <c r="AM6" i="17"/>
  <c r="AB7" i="17"/>
  <c r="AC8" i="17"/>
  <c r="AM8" i="17"/>
  <c r="AC9" i="17"/>
  <c r="AM9" i="17"/>
  <c r="AB10" i="17"/>
  <c r="AD10" i="17"/>
  <c r="AN10" i="17"/>
  <c r="AR6" i="17"/>
  <c r="AS10" i="17"/>
  <c r="Q16" i="17"/>
  <c r="Q22" i="17"/>
  <c r="Q23" i="17"/>
  <c r="K19" i="17"/>
  <c r="AS11" i="17"/>
  <c r="AD7" i="17"/>
  <c r="AN7" i="17"/>
  <c r="AI8" i="17"/>
  <c r="AS8" i="17"/>
  <c r="AD8" i="17"/>
  <c r="AB9" i="17"/>
  <c r="AC11" i="17"/>
  <c r="AM11" i="17"/>
  <c r="AK7" i="17"/>
  <c r="AJ7" i="17"/>
  <c r="P16" i="17"/>
  <c r="P22" i="17"/>
  <c r="J19" i="17"/>
  <c r="U15" i="17"/>
  <c r="T15" i="17"/>
  <c r="AJ10" i="17"/>
  <c r="AK10" i="17"/>
  <c r="AQ10" i="17"/>
  <c r="AJ11" i="17"/>
  <c r="AQ11" i="17"/>
  <c r="AK11" i="17"/>
  <c r="R17" i="17"/>
  <c r="R18" i="17"/>
  <c r="AB8" i="17"/>
  <c r="AQ8" i="17"/>
  <c r="I15" i="17"/>
  <c r="H15" i="17"/>
  <c r="P21" i="17"/>
  <c r="I10" i="17"/>
  <c r="I13" i="17"/>
  <c r="D14" i="17"/>
  <c r="L19" i="17"/>
  <c r="R22" i="17"/>
  <c r="R23" i="17"/>
  <c r="E14" i="17"/>
  <c r="AD8" i="16"/>
  <c r="AN8" i="16"/>
  <c r="AC12" i="16"/>
  <c r="AM12" i="16"/>
  <c r="AS6" i="16"/>
  <c r="AR9" i="16"/>
  <c r="AK12" i="16"/>
  <c r="AJ12" i="16"/>
  <c r="AQ12" i="16"/>
  <c r="AD7" i="16"/>
  <c r="AN7" i="16"/>
  <c r="AC10" i="16"/>
  <c r="AM10" i="16"/>
  <c r="AJ6" i="16"/>
  <c r="AK6" i="16"/>
  <c r="AR8" i="16"/>
  <c r="AS10" i="16"/>
  <c r="AB9" i="16"/>
  <c r="AD11" i="16"/>
  <c r="AN11" i="16"/>
  <c r="AL12" i="16"/>
  <c r="AJ8" i="16"/>
  <c r="AQ8" i="16"/>
  <c r="AK8" i="16"/>
  <c r="AK11" i="16"/>
  <c r="AQ11" i="16"/>
  <c r="AJ11" i="16"/>
  <c r="AC6" i="16"/>
  <c r="AM6" i="16"/>
  <c r="AK7" i="16"/>
  <c r="AJ7" i="16"/>
  <c r="AS8" i="16"/>
  <c r="AR11" i="16"/>
  <c r="AL8" i="16"/>
  <c r="AE8" i="16"/>
  <c r="AR7" i="16"/>
  <c r="AK10" i="16"/>
  <c r="AJ10" i="16"/>
  <c r="AF11" i="16"/>
  <c r="AL11" i="16"/>
  <c r="AD9" i="16"/>
  <c r="AN9" i="16"/>
  <c r="R17" i="16"/>
  <c r="R18" i="16"/>
  <c r="AB7" i="16"/>
  <c r="AQ7" i="16"/>
  <c r="AC11" i="16"/>
  <c r="AM11" i="16"/>
  <c r="U16" i="16"/>
  <c r="T16" i="16"/>
  <c r="AJ9" i="16"/>
  <c r="AQ9" i="16"/>
  <c r="AK9" i="16"/>
  <c r="AC7" i="16"/>
  <c r="AM7" i="16"/>
  <c r="AB10" i="16"/>
  <c r="AD12" i="16"/>
  <c r="AN12" i="16"/>
  <c r="D15" i="16"/>
  <c r="T15" i="16"/>
  <c r="Q17" i="16"/>
  <c r="T17" i="16"/>
  <c r="U15" i="16"/>
  <c r="H13" i="16"/>
  <c r="I14" i="16"/>
  <c r="K19" i="16"/>
  <c r="N19" i="16"/>
  <c r="Q22" i="16"/>
  <c r="Q23" i="16"/>
  <c r="L19" i="16"/>
  <c r="R22" i="16"/>
  <c r="R23" i="16"/>
  <c r="P18" i="16"/>
  <c r="H14" i="16"/>
  <c r="W18" i="15"/>
  <c r="Q19" i="15"/>
  <c r="Q18" i="15"/>
  <c r="W19" i="15"/>
  <c r="O20" i="15"/>
  <c r="N20" i="15"/>
  <c r="R19" i="15"/>
  <c r="R18" i="15"/>
  <c r="X19" i="15"/>
  <c r="X18" i="15"/>
  <c r="P24" i="15"/>
  <c r="Z14" i="15"/>
  <c r="X17" i="15"/>
  <c r="T15" i="15"/>
  <c r="P23" i="15"/>
  <c r="D14" i="15"/>
  <c r="U15" i="15"/>
  <c r="X16" i="15"/>
  <c r="Z16" i="15"/>
  <c r="Q23" i="15"/>
  <c r="Q24" i="15"/>
  <c r="U14" i="15"/>
  <c r="P16" i="15"/>
  <c r="R23" i="15"/>
  <c r="R24" i="15"/>
  <c r="Q16" i="15"/>
  <c r="R16" i="15"/>
  <c r="V17" i="15"/>
  <c r="AA14" i="15"/>
  <c r="R23" i="14"/>
  <c r="AA13" i="14"/>
  <c r="Z13" i="14"/>
  <c r="P16" i="14"/>
  <c r="P15" i="14"/>
  <c r="I11" i="14"/>
  <c r="V16" i="14"/>
  <c r="V15" i="14"/>
  <c r="H11" i="14"/>
  <c r="Q23" i="14"/>
  <c r="Q15" i="14"/>
  <c r="I12" i="14"/>
  <c r="R13" i="14"/>
  <c r="T13" i="14"/>
  <c r="V14" i="14"/>
  <c r="Q16" i="14"/>
  <c r="J17" i="14"/>
  <c r="Z11" i="14"/>
  <c r="U13" i="14"/>
  <c r="X14" i="14"/>
  <c r="K17" i="14"/>
  <c r="W19" i="14"/>
  <c r="W23" i="14"/>
  <c r="P23" i="14"/>
  <c r="R16" i="14"/>
  <c r="AA11" i="14"/>
  <c r="W15" i="14"/>
  <c r="X19" i="14"/>
  <c r="X23" i="14"/>
  <c r="X16" i="14"/>
  <c r="T12" i="14"/>
  <c r="X15" i="14"/>
  <c r="P20" i="14"/>
  <c r="P24" i="14"/>
  <c r="Q20" i="14"/>
  <c r="Q24" i="14"/>
  <c r="Q21" i="13"/>
  <c r="O17" i="13"/>
  <c r="N17" i="13"/>
  <c r="V15" i="13"/>
  <c r="P15" i="13"/>
  <c r="P16" i="13"/>
  <c r="V16" i="13"/>
  <c r="Z13" i="13"/>
  <c r="P20" i="13"/>
  <c r="P21" i="13"/>
  <c r="T11" i="13"/>
  <c r="E11" i="13"/>
  <c r="H11" i="13"/>
  <c r="U11" i="13"/>
  <c r="P13" i="13"/>
  <c r="R20" i="13"/>
  <c r="R21" i="13"/>
  <c r="X13" i="13"/>
  <c r="AA13" i="13"/>
  <c r="F11" i="13"/>
  <c r="H12" i="13"/>
  <c r="Q13" i="13"/>
  <c r="U12" i="13"/>
  <c r="R13" i="13"/>
  <c r="V14" i="13"/>
  <c r="Z11" i="13"/>
  <c r="X14" i="13"/>
  <c r="AA11" i="13"/>
  <c r="R16" i="12"/>
  <c r="R15" i="12"/>
  <c r="X16" i="12"/>
  <c r="X15" i="12"/>
  <c r="Q22" i="12"/>
  <c r="O18" i="12"/>
  <c r="N18" i="12"/>
  <c r="T12" i="12"/>
  <c r="P21" i="12"/>
  <c r="P22" i="12"/>
  <c r="E11" i="12"/>
  <c r="U11" i="12"/>
  <c r="P13" i="12"/>
  <c r="R21" i="12"/>
  <c r="R22" i="12"/>
  <c r="D11" i="12"/>
  <c r="U12" i="12"/>
  <c r="H12" i="12"/>
  <c r="Q13" i="12"/>
  <c r="X13" i="12"/>
  <c r="AA13" i="12"/>
  <c r="R13" i="12"/>
  <c r="V14" i="12"/>
  <c r="Z11" i="12"/>
  <c r="X14" i="12"/>
  <c r="AA11" i="12"/>
  <c r="V19" i="11"/>
  <c r="P20" i="11"/>
  <c r="P19" i="11"/>
  <c r="V20" i="11"/>
  <c r="O21" i="11"/>
  <c r="N21" i="11"/>
  <c r="R20" i="11"/>
  <c r="R19" i="11"/>
  <c r="X20" i="11"/>
  <c r="X19" i="11"/>
  <c r="P24" i="11"/>
  <c r="P25" i="11"/>
  <c r="U16" i="11"/>
  <c r="E15" i="11"/>
  <c r="I15" i="11"/>
  <c r="U15" i="11"/>
  <c r="P17" i="11"/>
  <c r="R24" i="11"/>
  <c r="R25" i="11"/>
  <c r="H16" i="11"/>
  <c r="Q17" i="11"/>
  <c r="T15" i="11"/>
  <c r="X17" i="11"/>
  <c r="AA17" i="11"/>
  <c r="R17" i="11"/>
  <c r="V18" i="11"/>
  <c r="Z15" i="11"/>
  <c r="X18" i="11"/>
  <c r="AA15" i="11"/>
  <c r="P25" i="10"/>
  <c r="R23" i="10"/>
  <c r="R25" i="10"/>
  <c r="Q17" i="10"/>
  <c r="W18" i="10"/>
  <c r="W17" i="10"/>
  <c r="Q18" i="10"/>
  <c r="Q15" i="10"/>
  <c r="T15" i="10"/>
  <c r="R17" i="10"/>
  <c r="Q21" i="10"/>
  <c r="R15" i="10"/>
  <c r="U15" i="10"/>
  <c r="V16" i="10"/>
  <c r="H12" i="10"/>
  <c r="AB12" i="10"/>
  <c r="L19" i="10"/>
  <c r="X21" i="10"/>
  <c r="X25" i="10"/>
  <c r="Z13" i="10"/>
  <c r="J19" i="10"/>
  <c r="AA13" i="10"/>
  <c r="D14" i="10"/>
  <c r="T14" i="10"/>
  <c r="X17" i="10"/>
  <c r="P22" i="10"/>
  <c r="P26" i="10"/>
  <c r="H11" i="10"/>
  <c r="AB11" i="10"/>
  <c r="D13" i="10"/>
  <c r="T13" i="10"/>
  <c r="U14" i="10"/>
  <c r="X15" i="10"/>
  <c r="Z15" i="10"/>
  <c r="Q22" i="10"/>
  <c r="Q26" i="10"/>
  <c r="U13" i="10"/>
  <c r="L18" i="9"/>
  <c r="R14" i="9"/>
  <c r="R21" i="9"/>
  <c r="R22" i="9"/>
  <c r="W16" i="9"/>
  <c r="Q17" i="9"/>
  <c r="Q16" i="9"/>
  <c r="W17" i="9"/>
  <c r="Q14" i="9"/>
  <c r="K18" i="9"/>
  <c r="Q21" i="9"/>
  <c r="Q22" i="9"/>
  <c r="I13" i="9"/>
  <c r="T12" i="9"/>
  <c r="X14" i="9"/>
  <c r="AA14" i="9"/>
  <c r="P16" i="9"/>
  <c r="H11" i="9"/>
  <c r="I11" i="9"/>
  <c r="U12" i="9"/>
  <c r="X17" i="9"/>
  <c r="X16" i="9"/>
  <c r="Z16" i="9"/>
  <c r="H13" i="9"/>
  <c r="H12" i="9"/>
  <c r="R16" i="9"/>
  <c r="H10" i="9"/>
  <c r="I12" i="9"/>
  <c r="P13" i="9"/>
  <c r="W15" i="9"/>
  <c r="V20" i="9"/>
  <c r="Z12" i="9"/>
  <c r="X15" i="9"/>
  <c r="AA12" i="9"/>
  <c r="Z15" i="8"/>
  <c r="AA13" i="8"/>
  <c r="Z13" i="8"/>
  <c r="P21" i="8"/>
  <c r="U13" i="8"/>
  <c r="J17" i="8"/>
  <c r="T12" i="8"/>
  <c r="X15" i="8"/>
  <c r="AA15" i="8"/>
  <c r="V16" i="8"/>
  <c r="P20" i="8"/>
  <c r="U11" i="8"/>
  <c r="Q15" i="8"/>
  <c r="X16" i="8"/>
  <c r="R20" i="8"/>
  <c r="R21" i="8"/>
  <c r="H12" i="8"/>
  <c r="Q13" i="8"/>
  <c r="R15" i="8"/>
  <c r="P16" i="8"/>
  <c r="P15" i="8"/>
  <c r="W16" i="8"/>
  <c r="H11" i="8"/>
  <c r="R13" i="8"/>
  <c r="V14" i="8"/>
  <c r="Q16" i="8"/>
  <c r="I11" i="8"/>
  <c r="Z11" i="8"/>
  <c r="X14" i="8"/>
  <c r="AA11" i="8"/>
  <c r="AX11" i="18"/>
  <c r="AI7" i="18"/>
  <c r="AL7" i="18"/>
  <c r="AD6" i="17"/>
  <c r="AA15" i="10"/>
  <c r="AR8" i="17"/>
  <c r="AB6" i="17"/>
  <c r="AS7" i="17"/>
  <c r="T13" i="8"/>
  <c r="Q22" i="14"/>
  <c r="O19" i="16"/>
  <c r="U17" i="16"/>
  <c r="AA16" i="9"/>
  <c r="AB6" i="16"/>
  <c r="AR10" i="17"/>
  <c r="AT10" i="17"/>
  <c r="AY10" i="18"/>
  <c r="AI10" i="18"/>
  <c r="AC7" i="17"/>
  <c r="CJ8" i="20"/>
  <c r="CK8" i="20"/>
  <c r="CL8" i="20"/>
  <c r="D8" i="20"/>
  <c r="J17" i="20"/>
  <c r="I17" i="20"/>
  <c r="CI9" i="20"/>
  <c r="CJ9" i="20"/>
  <c r="CK9" i="20"/>
  <c r="CL9" i="20"/>
  <c r="D9" i="20"/>
  <c r="CI16" i="20"/>
  <c r="CI10" i="20"/>
  <c r="CI15" i="20"/>
  <c r="CI6" i="20"/>
  <c r="CJ6" i="20"/>
  <c r="CK6" i="20"/>
  <c r="CL6" i="20"/>
  <c r="D6" i="20"/>
  <c r="U19" i="20"/>
  <c r="T19" i="20"/>
  <c r="CI13" i="20"/>
  <c r="CJ13" i="20"/>
  <c r="CK13" i="20"/>
  <c r="CL13" i="20"/>
  <c r="D13" i="20"/>
  <c r="CI12" i="20"/>
  <c r="CJ12" i="20"/>
  <c r="CK12" i="20"/>
  <c r="CL12" i="20"/>
  <c r="D12" i="20"/>
  <c r="CI14" i="20"/>
  <c r="CI11" i="20"/>
  <c r="CI7" i="20"/>
  <c r="J21" i="19"/>
  <c r="I21" i="19"/>
  <c r="T23" i="19"/>
  <c r="CI18" i="19"/>
  <c r="CI8" i="19"/>
  <c r="CI10" i="19"/>
  <c r="CJ10" i="19"/>
  <c r="CK10" i="19"/>
  <c r="CL10" i="19"/>
  <c r="D10" i="19"/>
  <c r="CI11" i="19"/>
  <c r="CI16" i="19"/>
  <c r="CI7" i="19"/>
  <c r="CI13" i="19"/>
  <c r="CI20" i="19"/>
  <c r="CI9" i="19"/>
  <c r="CI12" i="19"/>
  <c r="CI19" i="19"/>
  <c r="CJ19" i="19"/>
  <c r="CK19" i="19"/>
  <c r="CL19" i="19"/>
  <c r="D19" i="19"/>
  <c r="CI15" i="19"/>
  <c r="CI17" i="19"/>
  <c r="CI6" i="19"/>
  <c r="CJ6" i="19"/>
  <c r="CK6" i="19"/>
  <c r="CL6" i="19"/>
  <c r="D6" i="19"/>
  <c r="AZ9" i="18"/>
  <c r="AV6" i="18"/>
  <c r="AU6" i="18"/>
  <c r="BA6" i="18"/>
  <c r="AZ6" i="18"/>
  <c r="AK7" i="18"/>
  <c r="AR7" i="18"/>
  <c r="AW7" i="18"/>
  <c r="AZ11" i="18"/>
  <c r="Q25" i="18"/>
  <c r="U25" i="18"/>
  <c r="AY11" i="18"/>
  <c r="BA11" i="18"/>
  <c r="R24" i="18"/>
  <c r="R28" i="18"/>
  <c r="R30" i="18"/>
  <c r="R31" i="18"/>
  <c r="R32" i="18"/>
  <c r="R29" i="18"/>
  <c r="AL9" i="18"/>
  <c r="AK9" i="18"/>
  <c r="AR9" i="18"/>
  <c r="AY9" i="18"/>
  <c r="BA9" i="18"/>
  <c r="P24" i="18"/>
  <c r="P27" i="18"/>
  <c r="AY7" i="18"/>
  <c r="O20" i="18"/>
  <c r="N20" i="18"/>
  <c r="P18" i="18"/>
  <c r="P19" i="18"/>
  <c r="I15" i="18"/>
  <c r="H15" i="18"/>
  <c r="AY8" i="18"/>
  <c r="AZ8" i="18"/>
  <c r="U17" i="18"/>
  <c r="T17" i="18"/>
  <c r="Q28" i="18"/>
  <c r="Q30" i="18"/>
  <c r="Q31" i="18"/>
  <c r="Q32" i="18"/>
  <c r="Q29" i="18"/>
  <c r="AL8" i="18"/>
  <c r="AK8" i="18"/>
  <c r="AS8" i="18"/>
  <c r="AR11" i="18"/>
  <c r="AL11" i="18"/>
  <c r="AK11" i="18"/>
  <c r="AK8" i="17"/>
  <c r="AE7" i="17"/>
  <c r="AF7" i="17"/>
  <c r="AL7" i="17"/>
  <c r="AP11" i="17"/>
  <c r="AO11" i="17"/>
  <c r="AF9" i="17"/>
  <c r="AE9" i="17"/>
  <c r="AL9" i="17"/>
  <c r="AU8" i="17"/>
  <c r="AT8" i="17"/>
  <c r="P23" i="17"/>
  <c r="AT11" i="17"/>
  <c r="O19" i="17"/>
  <c r="N19" i="17"/>
  <c r="AN8" i="17"/>
  <c r="AJ8" i="17"/>
  <c r="Q18" i="17"/>
  <c r="Q17" i="17"/>
  <c r="AU10" i="17"/>
  <c r="T16" i="17"/>
  <c r="U16" i="17"/>
  <c r="AL8" i="17"/>
  <c r="AF8" i="17"/>
  <c r="AE8" i="17"/>
  <c r="AQ7" i="17"/>
  <c r="AF10" i="17"/>
  <c r="AE10" i="17"/>
  <c r="AL10" i="17"/>
  <c r="AQ9" i="17"/>
  <c r="AR11" i="17"/>
  <c r="AU11" i="17"/>
  <c r="AE11" i="17"/>
  <c r="P18" i="17"/>
  <c r="P17" i="17"/>
  <c r="H14" i="17"/>
  <c r="I14" i="17"/>
  <c r="AR9" i="17"/>
  <c r="AF11" i="17"/>
  <c r="T23" i="16"/>
  <c r="U23" i="16"/>
  <c r="T18" i="16"/>
  <c r="U18" i="16"/>
  <c r="AU9" i="16"/>
  <c r="AE12" i="16"/>
  <c r="AR10" i="16"/>
  <c r="I15" i="16"/>
  <c r="H15" i="16"/>
  <c r="AP11" i="16"/>
  <c r="AO11" i="16"/>
  <c r="AS9" i="16"/>
  <c r="AT9" i="16"/>
  <c r="AF12" i="16"/>
  <c r="AP12" i="16"/>
  <c r="AO12" i="16"/>
  <c r="AL10" i="16"/>
  <c r="AF10" i="16"/>
  <c r="AE10" i="16"/>
  <c r="AE11" i="16"/>
  <c r="AL7" i="16"/>
  <c r="AF7" i="16"/>
  <c r="AE7" i="16"/>
  <c r="AR6" i="16"/>
  <c r="AE9" i="16"/>
  <c r="AF9" i="16"/>
  <c r="AL9" i="16"/>
  <c r="AS11" i="16"/>
  <c r="AU11" i="16"/>
  <c r="AS7" i="16"/>
  <c r="AU7" i="16"/>
  <c r="AR12" i="16"/>
  <c r="AP8" i="16"/>
  <c r="AO8" i="16"/>
  <c r="AT8" i="16"/>
  <c r="AU8" i="16"/>
  <c r="AE6" i="16"/>
  <c r="AS12" i="16"/>
  <c r="AU12" i="16"/>
  <c r="AQ10" i="16"/>
  <c r="AF8" i="16"/>
  <c r="AF6" i="16"/>
  <c r="AA16" i="15"/>
  <c r="U24" i="15"/>
  <c r="T24" i="15"/>
  <c r="Z17" i="15"/>
  <c r="AA17" i="15"/>
  <c r="I14" i="15"/>
  <c r="H14" i="15"/>
  <c r="P19" i="15"/>
  <c r="P18" i="15"/>
  <c r="V19" i="15"/>
  <c r="V18" i="15"/>
  <c r="U16" i="15"/>
  <c r="T16" i="15"/>
  <c r="Q25" i="14"/>
  <c r="Q26" i="14"/>
  <c r="P22" i="14"/>
  <c r="P21" i="14"/>
  <c r="U16" i="14"/>
  <c r="T16" i="14"/>
  <c r="U15" i="14"/>
  <c r="T15" i="14"/>
  <c r="P25" i="14"/>
  <c r="P26" i="14"/>
  <c r="AA14" i="14"/>
  <c r="Z14" i="14"/>
  <c r="O17" i="14"/>
  <c r="N17" i="14"/>
  <c r="Z15" i="14"/>
  <c r="AA15" i="14"/>
  <c r="R21" i="14"/>
  <c r="R22" i="14"/>
  <c r="S22" i="14"/>
  <c r="Q21" i="14"/>
  <c r="S21" i="14"/>
  <c r="Z16" i="14"/>
  <c r="AA16" i="14"/>
  <c r="R25" i="14"/>
  <c r="R27" i="14"/>
  <c r="R28" i="14"/>
  <c r="R29" i="14"/>
  <c r="R26" i="14"/>
  <c r="U21" i="13"/>
  <c r="T21" i="13"/>
  <c r="Z14" i="13"/>
  <c r="AA14" i="13"/>
  <c r="T13" i="13"/>
  <c r="U13" i="13"/>
  <c r="T16" i="13"/>
  <c r="W15" i="13"/>
  <c r="Q16" i="13"/>
  <c r="W16" i="13"/>
  <c r="Z16" i="13"/>
  <c r="Q15" i="13"/>
  <c r="T15" i="13"/>
  <c r="R16" i="13"/>
  <c r="R15" i="13"/>
  <c r="X16" i="13"/>
  <c r="X15" i="13"/>
  <c r="AA15" i="13"/>
  <c r="I11" i="13"/>
  <c r="Z15" i="13"/>
  <c r="U22" i="12"/>
  <c r="T22" i="12"/>
  <c r="V15" i="12"/>
  <c r="I11" i="12"/>
  <c r="H11" i="12"/>
  <c r="P15" i="12"/>
  <c r="P16" i="12"/>
  <c r="V16" i="12"/>
  <c r="Z13" i="12"/>
  <c r="Z14" i="12"/>
  <c r="AA14" i="12"/>
  <c r="U13" i="12"/>
  <c r="T13" i="12"/>
  <c r="W15" i="12"/>
  <c r="Q16" i="12"/>
  <c r="W16" i="12"/>
  <c r="Q15" i="12"/>
  <c r="U25" i="11"/>
  <c r="T25" i="11"/>
  <c r="Z17" i="11"/>
  <c r="U17" i="11"/>
  <c r="T17" i="11"/>
  <c r="U19" i="11"/>
  <c r="Z18" i="11"/>
  <c r="AA18" i="11"/>
  <c r="W19" i="11"/>
  <c r="Z19" i="11"/>
  <c r="Q20" i="11"/>
  <c r="U20" i="11"/>
  <c r="W20" i="11"/>
  <c r="Z20" i="11"/>
  <c r="Q19" i="11"/>
  <c r="T19" i="11"/>
  <c r="H15" i="11"/>
  <c r="O19" i="10"/>
  <c r="N19" i="10"/>
  <c r="I13" i="10"/>
  <c r="P17" i="10"/>
  <c r="V18" i="10"/>
  <c r="V17" i="10"/>
  <c r="H13" i="10"/>
  <c r="P18" i="10"/>
  <c r="R28" i="10"/>
  <c r="R27" i="10"/>
  <c r="R29" i="10"/>
  <c r="R30" i="10"/>
  <c r="R31" i="10"/>
  <c r="R24" i="10"/>
  <c r="P23" i="10"/>
  <c r="AA16" i="10"/>
  <c r="Z16" i="10"/>
  <c r="P27" i="10"/>
  <c r="P28" i="10"/>
  <c r="I14" i="10"/>
  <c r="H14" i="10"/>
  <c r="P24" i="10"/>
  <c r="Q24" i="10"/>
  <c r="Q25" i="10"/>
  <c r="Q23" i="10"/>
  <c r="P21" i="9"/>
  <c r="P22" i="9"/>
  <c r="J18" i="9"/>
  <c r="T13" i="9"/>
  <c r="P14" i="9"/>
  <c r="U13" i="9"/>
  <c r="V17" i="9"/>
  <c r="U16" i="9"/>
  <c r="T16" i="9"/>
  <c r="Z14" i="9"/>
  <c r="V15" i="9"/>
  <c r="P17" i="9"/>
  <c r="Z14" i="8"/>
  <c r="AA14" i="8"/>
  <c r="O17" i="8"/>
  <c r="N17" i="8"/>
  <c r="U15" i="8"/>
  <c r="T15" i="8"/>
  <c r="U21" i="8"/>
  <c r="T21" i="8"/>
  <c r="U16" i="8"/>
  <c r="T16" i="8"/>
  <c r="AA16" i="8"/>
  <c r="Z16" i="8"/>
  <c r="AA19" i="11"/>
  <c r="AA16" i="13"/>
  <c r="AS10" i="18"/>
  <c r="AL10" i="18"/>
  <c r="AK10" i="18"/>
  <c r="AX10" i="18"/>
  <c r="T20" i="11"/>
  <c r="U15" i="13"/>
  <c r="U16" i="13"/>
  <c r="AF6" i="17"/>
  <c r="AQ6" i="17"/>
  <c r="AE6" i="17"/>
  <c r="AL6" i="17"/>
  <c r="AL6" i="16"/>
  <c r="AQ6" i="16"/>
  <c r="AU6" i="16"/>
  <c r="T26" i="14"/>
  <c r="AN6" i="17"/>
  <c r="AS6" i="17"/>
  <c r="AT12" i="16"/>
  <c r="AT11" i="16"/>
  <c r="AS7" i="18"/>
  <c r="AU7" i="18"/>
  <c r="AX7" i="18"/>
  <c r="AM7" i="17"/>
  <c r="AP7" i="17"/>
  <c r="AR7" i="17"/>
  <c r="BS12" i="20"/>
  <c r="K12" i="20"/>
  <c r="BT12" i="20"/>
  <c r="BK12" i="20"/>
  <c r="BI12" i="20"/>
  <c r="BU12" i="20"/>
  <c r="BJ12" i="20"/>
  <c r="M12" i="20"/>
  <c r="L12" i="20"/>
  <c r="AD13" i="20"/>
  <c r="AO13" i="20"/>
  <c r="AC13" i="20"/>
  <c r="AZ13" i="20"/>
  <c r="AN13" i="20"/>
  <c r="AB13" i="20"/>
  <c r="L13" i="20"/>
  <c r="AY13" i="20"/>
  <c r="AM13" i="20"/>
  <c r="K13" i="20"/>
  <c r="AX13" i="20"/>
  <c r="M13" i="20"/>
  <c r="AO6" i="20"/>
  <c r="AC6" i="20"/>
  <c r="M6" i="20"/>
  <c r="AD6" i="20"/>
  <c r="AZ6" i="20"/>
  <c r="AN6" i="20"/>
  <c r="AB6" i="20"/>
  <c r="L6" i="20"/>
  <c r="BK6" i="20"/>
  <c r="AY6" i="20"/>
  <c r="AM6" i="20"/>
  <c r="K6" i="20"/>
  <c r="BU6" i="20"/>
  <c r="BJ6" i="20"/>
  <c r="AX6" i="20"/>
  <c r="BT6" i="20"/>
  <c r="BI6" i="20"/>
  <c r="BS6" i="20"/>
  <c r="CJ7" i="20"/>
  <c r="CK7" i="20"/>
  <c r="CL7" i="20"/>
  <c r="D7" i="20"/>
  <c r="CJ15" i="20"/>
  <c r="CK15" i="20"/>
  <c r="CL15" i="20"/>
  <c r="D15" i="20"/>
  <c r="AZ9" i="20"/>
  <c r="AN9" i="20"/>
  <c r="AB9" i="20"/>
  <c r="L9" i="20"/>
  <c r="AY9" i="20"/>
  <c r="AM9" i="20"/>
  <c r="K9" i="20"/>
  <c r="AX9" i="20"/>
  <c r="AC9" i="20"/>
  <c r="AO9" i="20"/>
  <c r="AD9" i="20"/>
  <c r="M9" i="20"/>
  <c r="CJ11" i="20"/>
  <c r="CK11" i="20"/>
  <c r="CL11" i="20"/>
  <c r="D11" i="20"/>
  <c r="CJ10" i="20"/>
  <c r="CK10" i="20"/>
  <c r="CL10" i="20"/>
  <c r="D10" i="20"/>
  <c r="AO8" i="20"/>
  <c r="AC8" i="20"/>
  <c r="M8" i="20"/>
  <c r="AZ8" i="20"/>
  <c r="AN8" i="20"/>
  <c r="AB8" i="20"/>
  <c r="L8" i="20"/>
  <c r="BK8" i="20"/>
  <c r="AY8" i="20"/>
  <c r="AM8" i="20"/>
  <c r="K8" i="20"/>
  <c r="BU8" i="20"/>
  <c r="BJ8" i="20"/>
  <c r="AX8" i="20"/>
  <c r="AD8" i="20"/>
  <c r="BT8" i="20"/>
  <c r="BI8" i="20"/>
  <c r="BS8" i="20"/>
  <c r="CJ14" i="20"/>
  <c r="CK14" i="20"/>
  <c r="CL14" i="20"/>
  <c r="D14" i="20"/>
  <c r="CJ16" i="20"/>
  <c r="CK16" i="20"/>
  <c r="CL16" i="20"/>
  <c r="D16" i="20"/>
  <c r="AC6" i="19"/>
  <c r="M6" i="19"/>
  <c r="AZ6" i="19"/>
  <c r="AN6" i="19"/>
  <c r="AB6" i="19"/>
  <c r="L6" i="19"/>
  <c r="BK6" i="19"/>
  <c r="AY6" i="19"/>
  <c r="AM6" i="19"/>
  <c r="K6" i="19"/>
  <c r="BU6" i="19"/>
  <c r="BJ6" i="19"/>
  <c r="AX6" i="19"/>
  <c r="BT6" i="19"/>
  <c r="BI6" i="19"/>
  <c r="BS6" i="19"/>
  <c r="AD6" i="19"/>
  <c r="AO6" i="19"/>
  <c r="CJ7" i="19"/>
  <c r="CK7" i="19"/>
  <c r="CL7" i="19"/>
  <c r="D7" i="19"/>
  <c r="CJ15" i="19"/>
  <c r="CK15" i="19"/>
  <c r="CL15" i="19"/>
  <c r="D15" i="19"/>
  <c r="CJ11" i="19"/>
  <c r="CK11" i="19"/>
  <c r="CL11" i="19"/>
  <c r="D11" i="19"/>
  <c r="AD10" i="19"/>
  <c r="AO10" i="19"/>
  <c r="AC10" i="19"/>
  <c r="M10" i="19"/>
  <c r="AZ10" i="19"/>
  <c r="AN10" i="19"/>
  <c r="AB10" i="19"/>
  <c r="L10" i="19"/>
  <c r="AY10" i="19"/>
  <c r="AM10" i="19"/>
  <c r="K10" i="19"/>
  <c r="AX10" i="19"/>
  <c r="CJ8" i="19"/>
  <c r="CK8" i="19"/>
  <c r="CL8" i="19"/>
  <c r="D8" i="19"/>
  <c r="CJ9" i="19"/>
  <c r="CK9" i="19"/>
  <c r="CL9" i="19"/>
  <c r="D9" i="19"/>
  <c r="CJ18" i="19"/>
  <c r="CK18" i="19"/>
  <c r="CL18" i="19"/>
  <c r="D18" i="19"/>
  <c r="BK19" i="19"/>
  <c r="BU19" i="19"/>
  <c r="BJ19" i="19"/>
  <c r="BT19" i="19"/>
  <c r="BI19" i="19"/>
  <c r="BS19" i="19"/>
  <c r="K19" i="19"/>
  <c r="L19" i="19"/>
  <c r="M19" i="19"/>
  <c r="CJ12" i="19"/>
  <c r="CK12" i="19"/>
  <c r="CL12" i="19"/>
  <c r="D12" i="19"/>
  <c r="CJ20" i="19"/>
  <c r="CK20" i="19"/>
  <c r="CL20" i="19"/>
  <c r="D20" i="19"/>
  <c r="CJ13" i="19"/>
  <c r="CK13" i="19"/>
  <c r="CL13" i="19"/>
  <c r="D13" i="19"/>
  <c r="CJ17" i="19"/>
  <c r="CK17" i="19"/>
  <c r="CL17" i="19"/>
  <c r="D17" i="19"/>
  <c r="CJ16" i="19"/>
  <c r="CK16" i="19"/>
  <c r="CL16" i="19"/>
  <c r="D16" i="19"/>
  <c r="CJ14" i="19"/>
  <c r="CK14" i="19"/>
  <c r="CL14" i="19"/>
  <c r="D14" i="19"/>
  <c r="U24" i="18"/>
  <c r="S24" i="18"/>
  <c r="AV11" i="18"/>
  <c r="AU11" i="18"/>
  <c r="U19" i="18"/>
  <c r="T19" i="18"/>
  <c r="AV8" i="18"/>
  <c r="AU8" i="18"/>
  <c r="T18" i="18"/>
  <c r="U18" i="18"/>
  <c r="AU9" i="18"/>
  <c r="AV9" i="18"/>
  <c r="S25" i="18"/>
  <c r="T25" i="18"/>
  <c r="BA7" i="18"/>
  <c r="AZ7" i="18"/>
  <c r="BA8" i="18"/>
  <c r="P29" i="18"/>
  <c r="P28" i="18"/>
  <c r="AV7" i="18"/>
  <c r="AP10" i="17"/>
  <c r="AO10" i="17"/>
  <c r="AP9" i="17"/>
  <c r="AO9" i="17"/>
  <c r="U17" i="17"/>
  <c r="T17" i="17"/>
  <c r="AU7" i="17"/>
  <c r="AT7" i="17"/>
  <c r="T23" i="17"/>
  <c r="U23" i="17"/>
  <c r="AO7" i="17"/>
  <c r="T18" i="17"/>
  <c r="U18" i="17"/>
  <c r="AP8" i="17"/>
  <c r="AO8" i="17"/>
  <c r="AU9" i="17"/>
  <c r="AT9" i="17"/>
  <c r="AP10" i="16"/>
  <c r="AO10" i="16"/>
  <c r="AT10" i="16"/>
  <c r="AU10" i="16"/>
  <c r="AO7" i="16"/>
  <c r="AP7" i="16"/>
  <c r="AT7" i="16"/>
  <c r="AP9" i="16"/>
  <c r="AO9" i="16"/>
  <c r="U19" i="15"/>
  <c r="T19" i="15"/>
  <c r="AA18" i="15"/>
  <c r="Z18" i="15"/>
  <c r="AA19" i="15"/>
  <c r="Z19" i="15"/>
  <c r="T18" i="15"/>
  <c r="U18" i="15"/>
  <c r="U21" i="14"/>
  <c r="U22" i="14"/>
  <c r="T22" i="14"/>
  <c r="T25" i="14"/>
  <c r="P27" i="14"/>
  <c r="P28" i="14"/>
  <c r="P29" i="14"/>
  <c r="S26" i="14"/>
  <c r="Q27" i="14"/>
  <c r="Q28" i="14"/>
  <c r="Q29" i="14"/>
  <c r="S29" i="14"/>
  <c r="S25" i="14"/>
  <c r="AA16" i="12"/>
  <c r="Z16" i="12"/>
  <c r="U16" i="12"/>
  <c r="T16" i="12"/>
  <c r="U15" i="12"/>
  <c r="T15" i="12"/>
  <c r="AA15" i="12"/>
  <c r="Z15" i="12"/>
  <c r="AA20" i="11"/>
  <c r="T18" i="10"/>
  <c r="U18" i="10"/>
  <c r="P29" i="10"/>
  <c r="P30" i="10"/>
  <c r="P31" i="10"/>
  <c r="Q27" i="10"/>
  <c r="Q29" i="10"/>
  <c r="Q30" i="10"/>
  <c r="Q31" i="10"/>
  <c r="Q28" i="10"/>
  <c r="T28" i="10"/>
  <c r="AA17" i="10"/>
  <c r="Z17" i="10"/>
  <c r="S23" i="10"/>
  <c r="U23" i="10"/>
  <c r="AA18" i="10"/>
  <c r="Z18" i="10"/>
  <c r="U24" i="10"/>
  <c r="T24" i="10"/>
  <c r="S24" i="10"/>
  <c r="U17" i="10"/>
  <c r="T17" i="10"/>
  <c r="U22" i="9"/>
  <c r="T22" i="9"/>
  <c r="N18" i="9"/>
  <c r="O18" i="9"/>
  <c r="U17" i="9"/>
  <c r="T17" i="9"/>
  <c r="Z15" i="9"/>
  <c r="AA15" i="9"/>
  <c r="AA17" i="9"/>
  <c r="Z17" i="9"/>
  <c r="U14" i="9"/>
  <c r="T14" i="9"/>
  <c r="AP6" i="16"/>
  <c r="AO6" i="16"/>
  <c r="AZ10" i="18"/>
  <c r="BA10" i="18"/>
  <c r="T27" i="10"/>
  <c r="AP6" i="17"/>
  <c r="AO6" i="17"/>
  <c r="AU6" i="17"/>
  <c r="AT6" i="17"/>
  <c r="AV10" i="18"/>
  <c r="AU10" i="18"/>
  <c r="S28" i="10"/>
  <c r="AT6" i="16"/>
  <c r="BM8" i="20"/>
  <c r="BL8" i="20"/>
  <c r="O9" i="20"/>
  <c r="N9" i="20"/>
  <c r="AP6" i="20"/>
  <c r="AQ6" i="20"/>
  <c r="BU10" i="20"/>
  <c r="BJ10" i="20"/>
  <c r="M10" i="20"/>
  <c r="BT10" i="20"/>
  <c r="BI10" i="20"/>
  <c r="L10" i="20"/>
  <c r="BS10" i="20"/>
  <c r="K10" i="20"/>
  <c r="BK10" i="20"/>
  <c r="AM17" i="20"/>
  <c r="AQ9" i="20"/>
  <c r="AP9" i="20"/>
  <c r="BW6" i="20"/>
  <c r="BV6" i="20"/>
  <c r="AE13" i="20"/>
  <c r="AF13" i="20"/>
  <c r="O8" i="20"/>
  <c r="N8" i="20"/>
  <c r="AZ7" i="20"/>
  <c r="AZ17" i="20"/>
  <c r="AN7" i="20"/>
  <c r="AB7" i="20"/>
  <c r="L7" i="20"/>
  <c r="L17" i="20"/>
  <c r="M7" i="20"/>
  <c r="M17" i="20"/>
  <c r="AY7" i="20"/>
  <c r="AM7" i="20"/>
  <c r="K7" i="20"/>
  <c r="AX7" i="20"/>
  <c r="AX17" i="20"/>
  <c r="AO7" i="20"/>
  <c r="AO17" i="20"/>
  <c r="AD7" i="20"/>
  <c r="AD17" i="20"/>
  <c r="AD19" i="20"/>
  <c r="AC7" i="20"/>
  <c r="AC17" i="20"/>
  <c r="AC19" i="20"/>
  <c r="AY11" i="20"/>
  <c r="AM11" i="20"/>
  <c r="K11" i="20"/>
  <c r="AB11" i="20"/>
  <c r="AX11" i="20"/>
  <c r="AZ11" i="20"/>
  <c r="AN11" i="20"/>
  <c r="AD11" i="20"/>
  <c r="L11" i="20"/>
  <c r="AO11" i="20"/>
  <c r="AC11" i="20"/>
  <c r="M11" i="20"/>
  <c r="AY17" i="20"/>
  <c r="BM6" i="20"/>
  <c r="BL6" i="20"/>
  <c r="K14" i="20"/>
  <c r="L14" i="20"/>
  <c r="M14" i="20"/>
  <c r="BA8" i="20"/>
  <c r="BB8" i="20"/>
  <c r="AF8" i="20"/>
  <c r="AE8" i="20"/>
  <c r="BM12" i="20"/>
  <c r="BL12" i="20"/>
  <c r="AF9" i="20"/>
  <c r="AE9" i="20"/>
  <c r="BA6" i="20"/>
  <c r="BB6" i="20"/>
  <c r="AF6" i="20"/>
  <c r="AE6" i="20"/>
  <c r="BB13" i="20"/>
  <c r="BA13" i="20"/>
  <c r="AD16" i="20"/>
  <c r="AO16" i="20"/>
  <c r="AC16" i="20"/>
  <c r="AZ16" i="20"/>
  <c r="AN16" i="20"/>
  <c r="AB16" i="20"/>
  <c r="L16" i="20"/>
  <c r="L18" i="20"/>
  <c r="AY16" i="20"/>
  <c r="AM16" i="20"/>
  <c r="K16" i="20"/>
  <c r="AX16" i="20"/>
  <c r="M16" i="20"/>
  <c r="M18" i="20"/>
  <c r="AN17" i="20"/>
  <c r="O13" i="20"/>
  <c r="N13" i="20"/>
  <c r="AQ13" i="20"/>
  <c r="AP13" i="20"/>
  <c r="O12" i="20"/>
  <c r="N12" i="20"/>
  <c r="BW8" i="20"/>
  <c r="BV8" i="20"/>
  <c r="AP8" i="20"/>
  <c r="AQ8" i="20"/>
  <c r="BA9" i="20"/>
  <c r="BB9" i="20"/>
  <c r="BT15" i="20"/>
  <c r="BI15" i="20"/>
  <c r="M15" i="20"/>
  <c r="BS15" i="20"/>
  <c r="K15" i="20"/>
  <c r="BJ15" i="20"/>
  <c r="BK15" i="20"/>
  <c r="BU15" i="20"/>
  <c r="L15" i="20"/>
  <c r="N6" i="20"/>
  <c r="O6" i="20"/>
  <c r="BW12" i="20"/>
  <c r="BV12" i="20"/>
  <c r="AD17" i="19"/>
  <c r="AO17" i="19"/>
  <c r="AC17" i="19"/>
  <c r="M17" i="19"/>
  <c r="AZ17" i="19"/>
  <c r="AN17" i="19"/>
  <c r="AB17" i="19"/>
  <c r="L17" i="19"/>
  <c r="AX17" i="19"/>
  <c r="AY17" i="19"/>
  <c r="K17" i="19"/>
  <c r="AM17" i="19"/>
  <c r="BL19" i="19"/>
  <c r="BM19" i="19"/>
  <c r="BB10" i="19"/>
  <c r="BA10" i="19"/>
  <c r="AQ6" i="19"/>
  <c r="AP6" i="19"/>
  <c r="AD13" i="19"/>
  <c r="AO13" i="19"/>
  <c r="AC13" i="19"/>
  <c r="M13" i="19"/>
  <c r="AZ13" i="19"/>
  <c r="AN13" i="19"/>
  <c r="AB13" i="19"/>
  <c r="L13" i="19"/>
  <c r="AY13" i="19"/>
  <c r="AM13" i="19"/>
  <c r="K13" i="19"/>
  <c r="AX13" i="19"/>
  <c r="N10" i="19"/>
  <c r="O10" i="19"/>
  <c r="BW6" i="19"/>
  <c r="BV6" i="19"/>
  <c r="AP10" i="19"/>
  <c r="AQ10" i="19"/>
  <c r="BM6" i="19"/>
  <c r="BL6" i="19"/>
  <c r="BK12" i="19"/>
  <c r="BU12" i="19"/>
  <c r="BJ12" i="19"/>
  <c r="M12" i="19"/>
  <c r="BT12" i="19"/>
  <c r="BI12" i="19"/>
  <c r="L12" i="19"/>
  <c r="BS12" i="19"/>
  <c r="K12" i="19"/>
  <c r="AY20" i="19"/>
  <c r="AM20" i="19"/>
  <c r="AX20" i="19"/>
  <c r="AD20" i="19"/>
  <c r="AC20" i="19"/>
  <c r="M20" i="19"/>
  <c r="M22" i="19"/>
  <c r="AB20" i="19"/>
  <c r="AZ20" i="19"/>
  <c r="AN20" i="19"/>
  <c r="AO20" i="19"/>
  <c r="K20" i="19"/>
  <c r="L20" i="19"/>
  <c r="L22" i="19"/>
  <c r="AF6" i="19"/>
  <c r="AE6" i="19"/>
  <c r="M18" i="19"/>
  <c r="L18" i="19"/>
  <c r="K18" i="19"/>
  <c r="AE10" i="19"/>
  <c r="AF10" i="19"/>
  <c r="AO15" i="19"/>
  <c r="AC15" i="19"/>
  <c r="M15" i="19"/>
  <c r="AZ15" i="19"/>
  <c r="AN15" i="19"/>
  <c r="AB15" i="19"/>
  <c r="L15" i="19"/>
  <c r="AY15" i="19"/>
  <c r="AM15" i="19"/>
  <c r="K15" i="19"/>
  <c r="AX15" i="19"/>
  <c r="AD15" i="19"/>
  <c r="AD11" i="19"/>
  <c r="AO11" i="19"/>
  <c r="AC11" i="19"/>
  <c r="M11" i="19"/>
  <c r="AZ11" i="19"/>
  <c r="AN11" i="19"/>
  <c r="AB11" i="19"/>
  <c r="L11" i="19"/>
  <c r="AY11" i="19"/>
  <c r="AY21" i="19"/>
  <c r="AM11" i="19"/>
  <c r="K11" i="19"/>
  <c r="AX11" i="19"/>
  <c r="BA6" i="19"/>
  <c r="BB6" i="19"/>
  <c r="BK14" i="19"/>
  <c r="BU14" i="19"/>
  <c r="BJ14" i="19"/>
  <c r="M14" i="19"/>
  <c r="BT14" i="19"/>
  <c r="BI14" i="19"/>
  <c r="L14" i="19"/>
  <c r="BS14" i="19"/>
  <c r="K14" i="19"/>
  <c r="N19" i="19"/>
  <c r="O19" i="19"/>
  <c r="AD9" i="19"/>
  <c r="AO9" i="19"/>
  <c r="AC9" i="19"/>
  <c r="M9" i="19"/>
  <c r="AZ9" i="19"/>
  <c r="AN9" i="19"/>
  <c r="AB9" i="19"/>
  <c r="L9" i="19"/>
  <c r="BK9" i="19"/>
  <c r="AY9" i="19"/>
  <c r="AM9" i="19"/>
  <c r="K9" i="19"/>
  <c r="BU9" i="19"/>
  <c r="BJ9" i="19"/>
  <c r="AX9" i="19"/>
  <c r="BT9" i="19"/>
  <c r="BS9" i="19"/>
  <c r="BI9" i="19"/>
  <c r="AO7" i="19"/>
  <c r="AC7" i="19"/>
  <c r="M7" i="19"/>
  <c r="AZ7" i="19"/>
  <c r="AN7" i="19"/>
  <c r="AB7" i="19"/>
  <c r="L7" i="19"/>
  <c r="AY7" i="19"/>
  <c r="AM7" i="19"/>
  <c r="K7" i="19"/>
  <c r="AX7" i="19"/>
  <c r="AD7" i="19"/>
  <c r="BU16" i="19"/>
  <c r="BJ16" i="19"/>
  <c r="BT16" i="19"/>
  <c r="BI16" i="19"/>
  <c r="L16" i="19"/>
  <c r="BS16" i="19"/>
  <c r="K16" i="19"/>
  <c r="BK16" i="19"/>
  <c r="M16" i="19"/>
  <c r="BV19" i="19"/>
  <c r="BW19" i="19"/>
  <c r="AD8" i="19"/>
  <c r="AO8" i="19"/>
  <c r="AC8" i="19"/>
  <c r="M8" i="19"/>
  <c r="AZ8" i="19"/>
  <c r="AN8" i="19"/>
  <c r="AB8" i="19"/>
  <c r="L8" i="19"/>
  <c r="AY8" i="19"/>
  <c r="AM8" i="19"/>
  <c r="K8" i="19"/>
  <c r="AX8" i="19"/>
  <c r="O6" i="19"/>
  <c r="N6" i="19"/>
  <c r="T29" i="18"/>
  <c r="S29" i="18"/>
  <c r="S28" i="18"/>
  <c r="P30" i="18"/>
  <c r="P31" i="18"/>
  <c r="P32" i="18"/>
  <c r="T28" i="18"/>
  <c r="T29" i="14"/>
  <c r="S31" i="10"/>
  <c r="T31" i="10"/>
  <c r="S27" i="10"/>
  <c r="AZ19" i="20"/>
  <c r="AZ18" i="20"/>
  <c r="BB17" i="20"/>
  <c r="BA17" i="20"/>
  <c r="AX19" i="20"/>
  <c r="AY18" i="20"/>
  <c r="AY19" i="20"/>
  <c r="AF11" i="20"/>
  <c r="AE11" i="20"/>
  <c r="O7" i="20"/>
  <c r="N7" i="20"/>
  <c r="K17" i="20"/>
  <c r="AM19" i="20"/>
  <c r="AP17" i="20"/>
  <c r="AQ17" i="20"/>
  <c r="BB16" i="20"/>
  <c r="BA16" i="20"/>
  <c r="O11" i="20"/>
  <c r="N11" i="20"/>
  <c r="AQ7" i="20"/>
  <c r="AP7" i="20"/>
  <c r="K18" i="20"/>
  <c r="O16" i="20"/>
  <c r="N16" i="20"/>
  <c r="AQ11" i="20"/>
  <c r="AP11" i="20"/>
  <c r="N10" i="20"/>
  <c r="O10" i="20"/>
  <c r="AO19" i="20"/>
  <c r="AO18" i="20"/>
  <c r="BB11" i="20"/>
  <c r="BA11" i="20"/>
  <c r="BA7" i="20"/>
  <c r="BB7" i="20"/>
  <c r="O15" i="20"/>
  <c r="N15" i="20"/>
  <c r="AQ16" i="20"/>
  <c r="AP16" i="20"/>
  <c r="AO20" i="20"/>
  <c r="AO21" i="20"/>
  <c r="AD21" i="20"/>
  <c r="AZ20" i="20"/>
  <c r="AZ21" i="20"/>
  <c r="AD20" i="20"/>
  <c r="BV10" i="20"/>
  <c r="BW10" i="20"/>
  <c r="BW15" i="20"/>
  <c r="BV15" i="20"/>
  <c r="N14" i="20"/>
  <c r="O14" i="20"/>
  <c r="AC21" i="20"/>
  <c r="AN20" i="20"/>
  <c r="AN21" i="20"/>
  <c r="AY20" i="20"/>
  <c r="AC20" i="20"/>
  <c r="AY21" i="20"/>
  <c r="AF7" i="20"/>
  <c r="AE7" i="20"/>
  <c r="AB17" i="20"/>
  <c r="AX18" i="20"/>
  <c r="BM10" i="20"/>
  <c r="BL10" i="20"/>
  <c r="BM15" i="20"/>
  <c r="BL15" i="20"/>
  <c r="AN19" i="20"/>
  <c r="AN18" i="20"/>
  <c r="AE16" i="20"/>
  <c r="AF16" i="20"/>
  <c r="AP8" i="19"/>
  <c r="AQ8" i="19"/>
  <c r="BB20" i="19"/>
  <c r="BA20" i="19"/>
  <c r="BM16" i="19"/>
  <c r="BL16" i="19"/>
  <c r="BM9" i="19"/>
  <c r="BL9" i="19"/>
  <c r="O11" i="19"/>
  <c r="N11" i="19"/>
  <c r="L21" i="19"/>
  <c r="BW9" i="19"/>
  <c r="BV9" i="19"/>
  <c r="AQ11" i="19"/>
  <c r="AP11" i="19"/>
  <c r="AM21" i="19"/>
  <c r="AO21" i="19"/>
  <c r="AF15" i="19"/>
  <c r="AE15" i="19"/>
  <c r="O18" i="19"/>
  <c r="N18" i="19"/>
  <c r="AF8" i="19"/>
  <c r="AE8" i="19"/>
  <c r="AB21" i="19"/>
  <c r="AF7" i="19"/>
  <c r="AE7" i="19"/>
  <c r="O12" i="19"/>
  <c r="N12" i="19"/>
  <c r="AF17" i="19"/>
  <c r="AE17" i="19"/>
  <c r="BB9" i="19"/>
  <c r="BA9" i="19"/>
  <c r="AF20" i="19"/>
  <c r="AE20" i="19"/>
  <c r="BB13" i="19"/>
  <c r="BA13" i="19"/>
  <c r="BA15" i="19"/>
  <c r="BB15" i="19"/>
  <c r="N13" i="19"/>
  <c r="O13" i="19"/>
  <c r="AE11" i="19"/>
  <c r="AF11" i="19"/>
  <c r="BB8" i="19"/>
  <c r="BA8" i="19"/>
  <c r="M21" i="19"/>
  <c r="BW14" i="19"/>
  <c r="BV14" i="19"/>
  <c r="AN21" i="19"/>
  <c r="N15" i="19"/>
  <c r="O15" i="19"/>
  <c r="BM12" i="19"/>
  <c r="BL12" i="19"/>
  <c r="AP13" i="19"/>
  <c r="AQ13" i="19"/>
  <c r="AQ17" i="19"/>
  <c r="AP17" i="19"/>
  <c r="AY23" i="19"/>
  <c r="AE9" i="19"/>
  <c r="AF9" i="19"/>
  <c r="BW12" i="19"/>
  <c r="BV12" i="19"/>
  <c r="AD21" i="19"/>
  <c r="AD23" i="19"/>
  <c r="O14" i="19"/>
  <c r="N14" i="19"/>
  <c r="N16" i="19"/>
  <c r="O16" i="19"/>
  <c r="BA7" i="19"/>
  <c r="BB7" i="19"/>
  <c r="N8" i="19"/>
  <c r="O8" i="19"/>
  <c r="BV16" i="19"/>
  <c r="BW16" i="19"/>
  <c r="O7" i="19"/>
  <c r="N7" i="19"/>
  <c r="K21" i="19"/>
  <c r="AC21" i="19"/>
  <c r="AC23" i="19"/>
  <c r="O9" i="19"/>
  <c r="N9" i="19"/>
  <c r="AZ21" i="19"/>
  <c r="AP15" i="19"/>
  <c r="AQ15" i="19"/>
  <c r="O17" i="19"/>
  <c r="N17" i="19"/>
  <c r="AQ7" i="19"/>
  <c r="AP7" i="19"/>
  <c r="AQ9" i="19"/>
  <c r="AP9" i="19"/>
  <c r="BL14" i="19"/>
  <c r="BM14" i="19"/>
  <c r="AX21" i="19"/>
  <c r="BB11" i="19"/>
  <c r="BA11" i="19"/>
  <c r="O20" i="19"/>
  <c r="N20" i="19"/>
  <c r="K22" i="19"/>
  <c r="AQ20" i="19"/>
  <c r="AP20" i="19"/>
  <c r="AE13" i="19"/>
  <c r="AF13" i="19"/>
  <c r="BB17" i="19"/>
  <c r="BA17" i="19"/>
  <c r="S32" i="18"/>
  <c r="T32" i="18"/>
  <c r="AM18" i="20"/>
  <c r="AY22" i="19"/>
  <c r="BB18" i="20"/>
  <c r="BA18" i="20"/>
  <c r="O18" i="20"/>
  <c r="N18" i="20"/>
  <c r="AQ18" i="20"/>
  <c r="AP18" i="20"/>
  <c r="AQ19" i="20"/>
  <c r="AP19" i="20"/>
  <c r="BB19" i="20"/>
  <c r="BA19" i="20"/>
  <c r="AB19" i="20"/>
  <c r="AF17" i="20"/>
  <c r="AE17" i="20"/>
  <c r="AB20" i="20"/>
  <c r="O17" i="20"/>
  <c r="AB21" i="20"/>
  <c r="N17" i="20"/>
  <c r="AM20" i="20"/>
  <c r="AM21" i="20"/>
  <c r="AX20" i="20"/>
  <c r="AX21" i="20"/>
  <c r="AM25" i="19"/>
  <c r="AX24" i="19"/>
  <c r="AX25" i="19"/>
  <c r="AB24" i="19"/>
  <c r="O21" i="19"/>
  <c r="AB25" i="19"/>
  <c r="N21" i="19"/>
  <c r="AM24" i="19"/>
  <c r="AO22" i="19"/>
  <c r="AO23" i="19"/>
  <c r="O22" i="19"/>
  <c r="N22" i="19"/>
  <c r="AZ22" i="19"/>
  <c r="AZ23" i="19"/>
  <c r="AN22" i="19"/>
  <c r="AN23" i="19"/>
  <c r="AE21" i="19"/>
  <c r="AF21" i="19"/>
  <c r="AB23" i="19"/>
  <c r="AM22" i="19"/>
  <c r="AQ21" i="19"/>
  <c r="AP21" i="19"/>
  <c r="AM23" i="19"/>
  <c r="AZ24" i="19"/>
  <c r="AZ25" i="19"/>
  <c r="AD24" i="19"/>
  <c r="AD25" i="19"/>
  <c r="AO24" i="19"/>
  <c r="AO25" i="19"/>
  <c r="AX23" i="19"/>
  <c r="AX22" i="19"/>
  <c r="BB21" i="19"/>
  <c r="BA21" i="19"/>
  <c r="AY24" i="19"/>
  <c r="AY25" i="19"/>
  <c r="AC24" i="19"/>
  <c r="AC25" i="19"/>
  <c r="AN25" i="19"/>
  <c r="AN24" i="19"/>
  <c r="AQ21" i="20"/>
  <c r="AP21" i="20"/>
  <c r="AP20" i="20"/>
  <c r="AQ20" i="20"/>
  <c r="AF21" i="20"/>
  <c r="AE21" i="20"/>
  <c r="AF19" i="20"/>
  <c r="AE19" i="20"/>
  <c r="AF20" i="20"/>
  <c r="AE20" i="20"/>
  <c r="BB20" i="20"/>
  <c r="BA20" i="20"/>
  <c r="BB21" i="20"/>
  <c r="BA21" i="20"/>
  <c r="BA24" i="19"/>
  <c r="BB24" i="19"/>
  <c r="AQ25" i="19"/>
  <c r="AP25" i="19"/>
  <c r="AQ24" i="19"/>
  <c r="AP24" i="19"/>
  <c r="BB22" i="19"/>
  <c r="BA22" i="19"/>
  <c r="AQ23" i="19"/>
  <c r="AP23" i="19"/>
  <c r="BB23" i="19"/>
  <c r="BA23" i="19"/>
  <c r="AP22" i="19"/>
  <c r="AQ22" i="19"/>
  <c r="AF24" i="19"/>
  <c r="AE24" i="19"/>
  <c r="AF25" i="19"/>
  <c r="AE25" i="19"/>
  <c r="AE23" i="19"/>
  <c r="AF23" i="19"/>
  <c r="BA25" i="19"/>
  <c r="BB25" i="19"/>
</calcChain>
</file>

<file path=xl/sharedStrings.xml><?xml version="1.0" encoding="utf-8"?>
<sst xmlns="http://schemas.openxmlformats.org/spreadsheetml/2006/main" count="3557" uniqueCount="350">
  <si>
    <t>Environment constrains fitness advantages of division of labor in microbial consortia engineered for metabolite push or pull interactions</t>
  </si>
  <si>
    <t>1.Department of Chemical and Biological Engineering, Montana State University, Bozeman, MT USA</t>
  </si>
  <si>
    <t>2.Department of Mathematics and Statistics, Montana State University, Bozeman, MT USA</t>
  </si>
  <si>
    <t xml:space="preserve">3.Department of Ecology, Evolution, and Behavior, University of Minnesota, St. Paul, MN USA </t>
  </si>
  <si>
    <t>A</t>
  </si>
  <si>
    <t>pH</t>
  </si>
  <si>
    <t>NA</t>
  </si>
  <si>
    <t>Table of Contents</t>
  </si>
  <si>
    <t>Sheet 1</t>
  </si>
  <si>
    <t>Generalist pH 6.0 Experiment</t>
  </si>
  <si>
    <r>
      <rPr>
        <b/>
        <i/>
        <sz val="11"/>
        <color theme="1"/>
        <rFont val="Calibri"/>
        <family val="2"/>
        <scheme val="minor"/>
      </rPr>
      <t>Escherichia coli</t>
    </r>
    <r>
      <rPr>
        <b/>
        <sz val="11"/>
        <color theme="1"/>
        <rFont val="Calibri"/>
        <family val="2"/>
        <scheme val="minor"/>
      </rPr>
      <t xml:space="preserve"> MG1655 WT</t>
    </r>
  </si>
  <si>
    <t>M9, 5 g/L glc, pH-limited, pH 6.0</t>
  </si>
  <si>
    <t>OD600</t>
  </si>
  <si>
    <t>glucose</t>
  </si>
  <si>
    <t>acetate</t>
  </si>
  <si>
    <t>Time</t>
  </si>
  <si>
    <t>Hours</t>
  </si>
  <si>
    <t>avg</t>
  </si>
  <si>
    <t>sd</t>
  </si>
  <si>
    <t>T0</t>
  </si>
  <si>
    <t>T1</t>
  </si>
  <si>
    <t>BD</t>
  </si>
  <si>
    <t>T2</t>
  </si>
  <si>
    <t>T3</t>
  </si>
  <si>
    <t>T4</t>
  </si>
  <si>
    <r>
      <t>μ</t>
    </r>
    <r>
      <rPr>
        <b/>
        <vertAlign val="subscript"/>
        <sz val="11"/>
        <color theme="1"/>
        <rFont val="Calibri"/>
        <family val="2"/>
      </rPr>
      <t>avg</t>
    </r>
    <r>
      <rPr>
        <b/>
        <sz val="11"/>
        <color theme="1"/>
        <rFont val="Calibri"/>
        <family val="2"/>
      </rPr>
      <t xml:space="preserve"> (h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</si>
  <si>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>ΔS or ΔP (mmol/L)</t>
  </si>
  <si>
    <t>Exponential phase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</si>
  <si>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max</t>
    </r>
    <r>
      <rPr>
        <b/>
        <sz val="11"/>
        <color theme="1"/>
        <rFont val="Calibri"/>
        <family val="2"/>
        <scheme val="minor"/>
      </rPr>
      <t xml:space="preserve"> (g/L)</t>
    </r>
  </si>
  <si>
    <t>ΔX (g/L)</t>
  </si>
  <si>
    <r>
      <t>Y</t>
    </r>
    <r>
      <rPr>
        <b/>
        <vertAlign val="subscript"/>
        <sz val="11"/>
        <color theme="1"/>
        <rFont val="Calibri"/>
        <family val="2"/>
        <scheme val="minor"/>
      </rPr>
      <t>XS</t>
    </r>
    <r>
      <rPr>
        <b/>
        <sz val="11"/>
        <color theme="1"/>
        <rFont val="Calibri"/>
        <family val="2"/>
        <scheme val="minor"/>
      </rPr>
      <t xml:space="preserve"> or Y</t>
    </r>
    <r>
      <rPr>
        <b/>
        <vertAlign val="subscript"/>
        <sz val="11"/>
        <color theme="1"/>
        <rFont val="Calibri"/>
        <family val="2"/>
        <scheme val="minor"/>
      </rPr>
      <t>PS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</si>
  <si>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PX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</si>
  <si>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 or r</t>
    </r>
    <r>
      <rPr>
        <b/>
        <vertAlign val="subscript"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 xml:space="preserve"> (mmol h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</si>
  <si>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 or q</t>
    </r>
    <r>
      <rPr>
        <b/>
        <vertAlign val="subscript"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 xml:space="preserve"> (mmol (g cdw)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h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</si>
  <si>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X/pH</t>
  </si>
  <si>
    <t>Cmol glc</t>
  </si>
  <si>
    <t>mol C in X</t>
  </si>
  <si>
    <t>balance</t>
  </si>
  <si>
    <t>Generalist pH 6.5 Experiment</t>
  </si>
  <si>
    <t>M9, 5 g/L glc, pH-limited, pH 6.5</t>
  </si>
  <si>
    <t>T5</t>
  </si>
  <si>
    <t>Generalist pH 7.0 Experiment</t>
  </si>
  <si>
    <t>M9, 5 g/L glc, pH-limited, pH 7.0</t>
  </si>
  <si>
    <t>CDW avg</t>
  </si>
  <si>
    <t>CDW sd</t>
  </si>
  <si>
    <t>g/L</t>
  </si>
  <si>
    <t>T6</t>
  </si>
  <si>
    <t>CARBON BALANCE</t>
  </si>
  <si>
    <t>Cmmol/L (glc)</t>
  </si>
  <si>
    <t>Cmmol/L (ace)</t>
  </si>
  <si>
    <t>Cmmol/L (X)</t>
  </si>
  <si>
    <t>median</t>
  </si>
  <si>
    <t>Cmmol/L (CO2)</t>
  </si>
  <si>
    <t>Balance (% unaccounted for)</t>
  </si>
  <si>
    <t>ELECTRON BALANCE</t>
  </si>
  <si>
    <t>mmol e-/L (glc)</t>
  </si>
  <si>
    <t>mmol e-/L (ace)</t>
  </si>
  <si>
    <t>mmol e-/L (X)</t>
  </si>
  <si>
    <t>mmol e-/L (O2)</t>
  </si>
  <si>
    <t>O2</t>
  </si>
  <si>
    <t>mmol O2/L</t>
  </si>
  <si>
    <t>mmol O2/g X (Yo2/x)</t>
  </si>
  <si>
    <t>mmol O2/(g X h) (qO2)</t>
  </si>
  <si>
    <t>Generalist pH 7.5 Experiment</t>
  </si>
  <si>
    <t>M9, 5 g/L glc, pH-limited, pH 7.5</t>
  </si>
  <si>
    <t>T7</t>
  </si>
  <si>
    <t>T8</t>
  </si>
  <si>
    <t>Lactate Producer pH 6.0 Experiment</t>
  </si>
  <si>
    <r>
      <rPr>
        <b/>
        <i/>
        <sz val="11"/>
        <color theme="1"/>
        <rFont val="Calibri"/>
        <family val="2"/>
        <scheme val="minor"/>
      </rPr>
      <t>Escherichia coli</t>
    </r>
    <r>
      <rPr>
        <b/>
        <sz val="11"/>
        <color theme="1"/>
        <rFont val="Calibri"/>
        <family val="2"/>
        <scheme val="minor"/>
      </rPr>
      <t xml:space="preserve"> ECOM4LA</t>
    </r>
  </si>
  <si>
    <t>lactate</t>
  </si>
  <si>
    <t>Lactate Producer pH 6.5 Experiment</t>
  </si>
  <si>
    <t>avg OD</t>
  </si>
  <si>
    <t>sd OD</t>
  </si>
  <si>
    <t>avg pH</t>
  </si>
  <si>
    <t>sd pH</t>
  </si>
  <si>
    <t>Lactate Producer pH 7.0 Experiment</t>
  </si>
  <si>
    <t>cdw avg</t>
  </si>
  <si>
    <t>cdw sd</t>
  </si>
  <si>
    <t>Cmmol/L (lac)</t>
  </si>
  <si>
    <t>mmol e-/L (lac)</t>
  </si>
  <si>
    <t>Lactate Producer pH 7.5 Experiment</t>
  </si>
  <si>
    <t>Lactate Consortia pH 6.0 Experiment</t>
  </si>
  <si>
    <r>
      <rPr>
        <b/>
        <i/>
        <sz val="11"/>
        <color theme="1"/>
        <rFont val="Calibri"/>
        <family val="2"/>
        <scheme val="minor"/>
      </rPr>
      <t>Escherichia coli</t>
    </r>
    <r>
      <rPr>
        <b/>
        <sz val="11"/>
        <color theme="1"/>
        <rFont val="Calibri"/>
        <family val="2"/>
        <scheme val="minor"/>
      </rPr>
      <t xml:space="preserve"> ECOM4LA + 403</t>
    </r>
  </si>
  <si>
    <t>ECOM CFU/mL</t>
  </si>
  <si>
    <t>403 CFU/mL</t>
  </si>
  <si>
    <t>ECOM Proportion</t>
  </si>
  <si>
    <t>403 Proportion</t>
  </si>
  <si>
    <t>ΔS (mmol/L)</t>
  </si>
  <si>
    <r>
      <t>Y</t>
    </r>
    <r>
      <rPr>
        <b/>
        <vertAlign val="subscript"/>
        <sz val="11"/>
        <color theme="1"/>
        <rFont val="Calibri"/>
        <family val="2"/>
        <scheme val="minor"/>
      </rPr>
      <t>XS</t>
    </r>
  </si>
  <si>
    <t>M9 + Lactate CFU Counts</t>
  </si>
  <si>
    <t>dilution</t>
  </si>
  <si>
    <t>Avg</t>
  </si>
  <si>
    <t>T0-1</t>
  </si>
  <si>
    <t>T0-2</t>
  </si>
  <si>
    <t>T0-3</t>
  </si>
  <si>
    <t>T1-1</t>
  </si>
  <si>
    <t>T1-2</t>
  </si>
  <si>
    <t>T1-3</t>
  </si>
  <si>
    <t>T2-1</t>
  </si>
  <si>
    <t>T2-2</t>
  </si>
  <si>
    <t>T2-3</t>
  </si>
  <si>
    <t>T3-1</t>
  </si>
  <si>
    <t>T3-2</t>
  </si>
  <si>
    <t>T3-3</t>
  </si>
  <si>
    <t>T4-1</t>
  </si>
  <si>
    <t>T4-2</t>
  </si>
  <si>
    <t>T4-3</t>
  </si>
  <si>
    <t>T5-1</t>
  </si>
  <si>
    <t>T5-2</t>
  </si>
  <si>
    <t>T5-3</t>
  </si>
  <si>
    <t>T6-1</t>
  </si>
  <si>
    <t>T6-2</t>
  </si>
  <si>
    <t>T6-3</t>
  </si>
  <si>
    <t>M9 + Glucose CFU Counts</t>
  </si>
  <si>
    <t>Lactate Consortia pH 6.5 Experiment</t>
  </si>
  <si>
    <t>Lactate Consortia pH 7.0 Experiment</t>
  </si>
  <si>
    <r>
      <rPr>
        <i/>
        <sz val="11"/>
        <color theme="1"/>
        <rFont val="Calibri"/>
        <family val="2"/>
        <scheme val="minor"/>
      </rPr>
      <t>Escherichia coli</t>
    </r>
    <r>
      <rPr>
        <sz val="11"/>
        <color theme="1"/>
        <rFont val="Calibri"/>
        <family val="2"/>
        <scheme val="minor"/>
      </rPr>
      <t xml:space="preserve"> ECOM4LA + 403</t>
    </r>
  </si>
  <si>
    <r>
      <t>μ</t>
    </r>
    <r>
      <rPr>
        <b/>
        <vertAlign val="subscript"/>
        <sz val="11"/>
        <color theme="1"/>
        <rFont val="Calibri"/>
        <family val="2"/>
        <scheme val="minor"/>
      </rPr>
      <t>avg</t>
    </r>
    <r>
      <rPr>
        <b/>
        <sz val="11"/>
        <color theme="1"/>
        <rFont val="Calibri"/>
        <family val="2"/>
        <scheme val="minor"/>
      </rPr>
      <t xml:space="preserve"> (h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</si>
  <si>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 (mmol (g cdw)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h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</si>
  <si>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Lactate Consortia pH 7.0 100:1 Ratio Experiment</t>
  </si>
  <si>
    <t>Parameters from abiotic glucose concentration curve</t>
  </si>
  <si>
    <t>M9, 5 g/L glc, pH-limited, pH 7.0, 100:1 producer:scavenger</t>
  </si>
  <si>
    <t>slope</t>
  </si>
  <si>
    <t>OD600 corrected</t>
  </si>
  <si>
    <t>glucose (mM)</t>
  </si>
  <si>
    <t>glucose corrected (mM)</t>
  </si>
  <si>
    <t>lactate (mM)</t>
  </si>
  <si>
    <t>lactate corrected (mM)</t>
  </si>
  <si>
    <t>acetate (mM)</t>
  </si>
  <si>
    <t>acetate corrected (mM)</t>
  </si>
  <si>
    <t>ECOM CFU/mL corrected</t>
  </si>
  <si>
    <t>403 CFU/mL corrected</t>
  </si>
  <si>
    <t>ECOM proportion</t>
  </si>
  <si>
    <t>403 proportion</t>
  </si>
  <si>
    <t>intercept</t>
  </si>
  <si>
    <t>Lactic Acid</t>
  </si>
  <si>
    <t>Acetic Acid</t>
  </si>
  <si>
    <t>% Vol Remaining</t>
  </si>
  <si>
    <t>Conc (calculated from trendline)</t>
  </si>
  <si>
    <t>Conc factor</t>
  </si>
  <si>
    <t>Vol remaining (mL)</t>
  </si>
  <si>
    <t>% Vol remaining</t>
  </si>
  <si>
    <t>T9</t>
  </si>
  <si>
    <t>T10</t>
  </si>
  <si>
    <t>T11</t>
  </si>
  <si>
    <t>T12</t>
  </si>
  <si>
    <t>T13</t>
  </si>
  <si>
    <t>T14</t>
  </si>
  <si>
    <t>ΔP (mmol/L)</t>
  </si>
  <si>
    <r>
      <t>Y</t>
    </r>
    <r>
      <rPr>
        <b/>
        <vertAlign val="subscript"/>
        <sz val="11"/>
        <color theme="1"/>
        <rFont val="Calibri"/>
        <family val="2"/>
        <scheme val="minor"/>
      </rPr>
      <t>PS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</si>
  <si>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 xml:space="preserve"> (mmol (g cdw)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h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</si>
  <si>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T8-1</t>
  </si>
  <si>
    <t>T8-2</t>
  </si>
  <si>
    <t>T8-3</t>
  </si>
  <si>
    <t>T10-1</t>
  </si>
  <si>
    <t>T10-2</t>
  </si>
  <si>
    <t>T10-3</t>
  </si>
  <si>
    <t>T13-1</t>
  </si>
  <si>
    <t>T13-2</t>
  </si>
  <si>
    <t>T13-3</t>
  </si>
  <si>
    <t>Lactate Consortia pH 7.0 10:1 Ratio Experiment</t>
  </si>
  <si>
    <t>0 = below detection</t>
  </si>
  <si>
    <t>M9, 5 g/L glc, pH-limited, pH 7.0, 10:1 producer:scavenger</t>
  </si>
  <si>
    <t>T9-1</t>
  </si>
  <si>
    <t>T9-2</t>
  </si>
  <si>
    <t>T9-3</t>
  </si>
  <si>
    <t>(large colonies)</t>
  </si>
  <si>
    <t>Lactate Consortia pH 7.5 Experiment</t>
  </si>
  <si>
    <t>T15</t>
  </si>
  <si>
    <t>T16</t>
  </si>
  <si>
    <t>T17</t>
  </si>
  <si>
    <t>T14-1</t>
  </si>
  <si>
    <t>T14-2</t>
  </si>
  <si>
    <t>T14-3</t>
  </si>
  <si>
    <t>Lactate Consortia pH 7.5 Experiment, Trial 2</t>
  </si>
  <si>
    <t>M9, 5 g/L glc, pH-limited, pH 7.5, 1:1 producer:scavenger</t>
  </si>
  <si>
    <t>X/pH max</t>
  </si>
  <si>
    <t>Total glucose consumed</t>
  </si>
  <si>
    <t>T12-1</t>
  </si>
  <si>
    <t>T12-2</t>
  </si>
  <si>
    <t>T12-3</t>
  </si>
  <si>
    <t>T15-1</t>
  </si>
  <si>
    <t>T15-2</t>
  </si>
  <si>
    <t>T15-3</t>
  </si>
  <si>
    <t>T17-1</t>
  </si>
  <si>
    <t>T17-2</t>
  </si>
  <si>
    <t>T17-3</t>
  </si>
  <si>
    <t>Almost all small colonies at T8, even in d4</t>
  </si>
  <si>
    <t>(small colonies)</t>
  </si>
  <si>
    <t>(total)</t>
  </si>
  <si>
    <t>Acetate Producer pH 6.0 Experiment</t>
  </si>
  <si>
    <r>
      <rPr>
        <b/>
        <i/>
        <sz val="11"/>
        <color theme="1"/>
        <rFont val="Calibri"/>
        <family val="2"/>
        <scheme val="minor"/>
      </rPr>
      <t>Escherichia coli</t>
    </r>
    <r>
      <rPr>
        <b/>
        <sz val="11"/>
        <color theme="1"/>
        <rFont val="Calibri"/>
        <family val="2"/>
        <scheme val="minor"/>
      </rPr>
      <t xml:space="preserve"> 409</t>
    </r>
  </si>
  <si>
    <t>Acetate Producer pH 6.5 Experiment</t>
  </si>
  <si>
    <t>Acetate Producer pH 7.0 Experiment</t>
  </si>
  <si>
    <t>Acetate Producer pH 7.5 Experiment</t>
  </si>
  <si>
    <t>Acetate Consortia pH 6.0 Experiment</t>
  </si>
  <si>
    <r>
      <rPr>
        <b/>
        <i/>
        <sz val="11"/>
        <color theme="1"/>
        <rFont val="Calibri"/>
        <family val="2"/>
        <scheme val="minor"/>
      </rPr>
      <t>Escherichia coli</t>
    </r>
    <r>
      <rPr>
        <b/>
        <sz val="11"/>
        <color theme="1"/>
        <rFont val="Calibri"/>
        <family val="2"/>
        <scheme val="minor"/>
      </rPr>
      <t xml:space="preserve"> 409 + 403</t>
    </r>
  </si>
  <si>
    <t>M9, Reduced Buffering Capacity, 5 g/L glc, pH 6.0</t>
  </si>
  <si>
    <t>409 CFU/mL</t>
  </si>
  <si>
    <t>409 Proportion</t>
  </si>
  <si>
    <t>M9 + Acetate CFU Counts</t>
  </si>
  <si>
    <t>Acetate Consortia pH 6.5 Experiment</t>
  </si>
  <si>
    <t>Acetate Consortia pH 7.0 Experiment</t>
  </si>
  <si>
    <t>Acetate Consortia pH 7.5 Experiment</t>
  </si>
  <si>
    <t>T7-1</t>
  </si>
  <si>
    <t>T7-2</t>
  </si>
  <si>
    <t>T7-3</t>
  </si>
  <si>
    <t>Generalist pH 7.0 Regularly Buffered Experiment</t>
  </si>
  <si>
    <t>M9, 4 g/L glc, normal buffering capacity, pH 7.0</t>
  </si>
  <si>
    <t>Lactate Producer pH 7.0 Regularly Buffered Experiment</t>
  </si>
  <si>
    <t>M9, 4.9 g/L glc, normal buffering capacity, pH 7.0</t>
  </si>
  <si>
    <t>succinate (mM)</t>
  </si>
  <si>
    <t>Lactate Consortia pH 7.0 Regularly Buffered Experiment</t>
  </si>
  <si>
    <t>403 Log(CFU/mL)</t>
  </si>
  <si>
    <t>log(CFU/mL)</t>
  </si>
  <si>
    <t>CFU/mL</t>
  </si>
  <si>
    <t>glc plates</t>
  </si>
  <si>
    <t>lac plates</t>
  </si>
  <si>
    <t>difference</t>
  </si>
  <si>
    <t>glc #2</t>
  </si>
  <si>
    <t>diff #1</t>
  </si>
  <si>
    <t>diff #2</t>
  </si>
  <si>
    <t>% PP #1</t>
  </si>
  <si>
    <t>% PP #2</t>
  </si>
  <si>
    <t>% lac of glc</t>
  </si>
  <si>
    <t>hrs</t>
  </si>
  <si>
    <t>glc</t>
  </si>
  <si>
    <t>lac</t>
  </si>
  <si>
    <t>frac ECOM</t>
  </si>
  <si>
    <t>frac 403</t>
  </si>
  <si>
    <t>sum</t>
  </si>
  <si>
    <t>avg ECOM</t>
  </si>
  <si>
    <t>avg 403</t>
  </si>
  <si>
    <t>sd ECOM</t>
  </si>
  <si>
    <t>sd 403</t>
  </si>
  <si>
    <t>glc (mM)</t>
  </si>
  <si>
    <t>lac (mM)</t>
  </si>
  <si>
    <t>ace (mM)</t>
  </si>
  <si>
    <t>avg control</t>
  </si>
  <si>
    <t>CDW curve ECOM</t>
  </si>
  <si>
    <t>CDW curve 403</t>
  </si>
  <si>
    <t>CDW curve avg</t>
  </si>
  <si>
    <t>Take T7 (18 h)</t>
  </si>
  <si>
    <t>ECOM GC #1</t>
  </si>
  <si>
    <t>ECOM GC #2</t>
  </si>
  <si>
    <t>ECOM GC #3</t>
  </si>
  <si>
    <t>mM glc T7</t>
  </si>
  <si>
    <t>mM glc T0</t>
  </si>
  <si>
    <t>mM glc utilized</t>
  </si>
  <si>
    <t>g/L glc utilized</t>
  </si>
  <si>
    <t>g/L biomass</t>
  </si>
  <si>
    <t>Yx/s</t>
  </si>
  <si>
    <t>average</t>
  </si>
  <si>
    <t>Lactate Consortia pH 7.0 1:2 Ratio Experiment</t>
  </si>
  <si>
    <t>M9, 5 g/L glc, pH-limited, pH 7.0, 1:2 producer:scavenger</t>
  </si>
  <si>
    <t>1/h</t>
  </si>
  <si>
    <t>Growth data for WT, buffer limitation, pH 6.0 - 7.5.</t>
  </si>
  <si>
    <t>Growth data for ProdL, buffer limitation, pH 6.0 - 7.5.</t>
  </si>
  <si>
    <t>Growth data for LAE consortium, buffer limitation, pH 6.0 - 7.5.</t>
  </si>
  <si>
    <t>Growth data for LAE consortium, buffer limitation, pH 7.0, prod : cons ratios 100:1, 10:1, &amp; 1:2.</t>
  </si>
  <si>
    <t>Growth data for ProdA, buffer limitation, pH 6.0 - 7.5.</t>
  </si>
  <si>
    <t>Growth data for AAE consortium, buffer limitation, pH 6.0 - 7.5.</t>
  </si>
  <si>
    <t>Growth data for WT, ProdL, &amp; LAE consortium, standard buffer capacity.</t>
  </si>
  <si>
    <t>4.current address: Department of Biological and Environmental Sciences, Carroll College, Helena, MT, USA</t>
  </si>
  <si>
    <t>a.current address: Seeq! Inc., St. Paul, MN, USA</t>
  </si>
  <si>
    <t>b. current address: Whitworth College, Spokane, WA, USA</t>
  </si>
  <si>
    <t>c.current address: Glaxo Smith Kline Inc., Hamilton, MT, USA</t>
  </si>
  <si>
    <t>d.current address: Bechtel National Inc, Richland, WA, USA</t>
  </si>
  <si>
    <t>e.current address: Renewable Resources and Enabling Sciences Center, National Renewable Energy Laboratory, Golden, CO 80401, USA</t>
  </si>
  <si>
    <t>5. Norwegian College of Fisheries Sciences &amp; The Arctic Centre for Sustainable Energy, UiT - The Arctic University of Norway, Tromsø, Norway</t>
  </si>
  <si>
    <t>Inhibition data for gene deletion strains 403G100 and 307G100</t>
  </si>
  <si>
    <t>Acetate inhibition in mutant strains</t>
  </si>
  <si>
    <t>Product inhibition (glucose+acetate medium)</t>
  </si>
  <si>
    <t>Substrate inhibition (acetate only medium)</t>
  </si>
  <si>
    <t>Data Compilation</t>
  </si>
  <si>
    <t>Strain Key:</t>
  </si>
  <si>
    <t>all experiments run in triplicate shake flasks unless otherwise noted</t>
  </si>
  <si>
    <t>MG1655WT control strain</t>
  </si>
  <si>
    <t>MG1655WT - 6.9</t>
  </si>
  <si>
    <t>stdev</t>
  </si>
  <si>
    <t>MG1655WT - 6.0</t>
  </si>
  <si>
    <t>MG1655WT - 5.0</t>
  </si>
  <si>
    <t>307G100: MG1655WT del aceA, frdA, ldh  - adapted for 100 generations</t>
  </si>
  <si>
    <t>media</t>
  </si>
  <si>
    <t>(g/L)</t>
  </si>
  <si>
    <t>Mu (1/h)</t>
  </si>
  <si>
    <t>403G100: MG1655WT del ptsG, ptsM, glk, gcd  - adapted for 100 generations</t>
  </si>
  <si>
    <t>M9+0g/L glc + 0 g/L NaAc</t>
  </si>
  <si>
    <t>M9+0g/L glc + 0.1 g/L NaAc</t>
  </si>
  <si>
    <t>all experiments performed with 2x M9 salts</t>
  </si>
  <si>
    <t>M9+0g/L glc + 0.25 g/L NaAc</t>
  </si>
  <si>
    <t>data and statistics to the left</t>
  </si>
  <si>
    <t>M9+0g/L glc + 0.5 g/L NaAc</t>
  </si>
  <si>
    <t>M9+0g/L glc + 1 g/L NaAc</t>
  </si>
  <si>
    <t>M9+0g/L glc + 2.0 g/L NaAc</t>
  </si>
  <si>
    <t>M9+0g/L glc + 5.0 g/L NaAc</t>
  </si>
  <si>
    <t>M9+0g/L glc + 8.0 g/L NaAc</t>
  </si>
  <si>
    <t>M9+0g/L glc + 10.0 g/L NaAc</t>
  </si>
  <si>
    <t>M9+20g/L glc + 0 g/L NaAc</t>
  </si>
  <si>
    <t>M9 + 20 g/L glc + 0 g/L NaAc</t>
  </si>
  <si>
    <t>M9+20g/L glc + 0.1 g/L NaAc</t>
  </si>
  <si>
    <t>M9 + 20 g/L glc + 0.1 g/L NaAc</t>
  </si>
  <si>
    <t>M9+20g/L glc + 0.2 g/L NaAc</t>
  </si>
  <si>
    <t>M9 + 20 g/L glc + 0.5 g/L NaAc</t>
  </si>
  <si>
    <t>M9+20g/L glc + 0.5 g/L NaAc</t>
  </si>
  <si>
    <t>M9 + 20 g/L glc + 1.0 g/L NaAc</t>
  </si>
  <si>
    <t>M9+20g/L glc + 1 g/L NaAc</t>
  </si>
  <si>
    <t>M9 + 20 g/L glc + 2.0 g/L NaAc</t>
  </si>
  <si>
    <t>M9+20g/L glc + 2.0 g/L NaAc</t>
  </si>
  <si>
    <t>M9 + 20 g/L glc + 5.0 g/L NaAc</t>
  </si>
  <si>
    <t>M9+20g/L glc + 5.0 g/L NaAc</t>
  </si>
  <si>
    <t>M9 + 20 g/L glc + 8.0 g/L NaAc</t>
  </si>
  <si>
    <t>M9+20g/L glc + 10.0 g/L NaAc</t>
  </si>
  <si>
    <t>M9 + 20 g/L glc + 10.0 g/L NaAc</t>
  </si>
  <si>
    <t>M9 + 20 g/L glc + 15.0 g/L NaAc</t>
  </si>
  <si>
    <t>307G100 - 6.9</t>
  </si>
  <si>
    <t>307G100 - 6.0</t>
  </si>
  <si>
    <t>307G100 - 5.0</t>
  </si>
  <si>
    <t>M9+20g/L glc + 0.25 g/L NaAc</t>
  </si>
  <si>
    <t>M9 + 20 g/L glc + 0.25 g/L NaAc</t>
  </si>
  <si>
    <t>M9+20g/L glc + 8.0 g/L NaAc</t>
  </si>
  <si>
    <t>M9+20g/L glc + 15.0 g/L NaAc</t>
  </si>
  <si>
    <t>403G100 - 6.9</t>
  </si>
  <si>
    <t>403G100 - 6.0</t>
  </si>
  <si>
    <t>403G100 - 5.0</t>
  </si>
  <si>
    <t>M9 + 0.7 g/L NaAc</t>
  </si>
  <si>
    <t>M9 + 0 g/L NaAc</t>
  </si>
  <si>
    <t>M9 + 1.0 g/L NaAc</t>
  </si>
  <si>
    <t>M9 + 0.1 g/L NaAc</t>
  </si>
  <si>
    <t>M9 + 1.2 g/L NaAc</t>
  </si>
  <si>
    <t>M9 + 0.25 g/L NaAc</t>
  </si>
  <si>
    <t>M9 + 1.5 g/L NaAc</t>
  </si>
  <si>
    <t>M9 + 0.5 g/L NaAc</t>
  </si>
  <si>
    <t>M9 + 2.0 g/L NaAc</t>
  </si>
  <si>
    <t>M9 + 2.5 g/L NaAc</t>
  </si>
  <si>
    <t>M9 + 4.0 g/L NaAc</t>
  </si>
  <si>
    <t>M9 + 5.0 g/L NaAc</t>
  </si>
  <si>
    <t xml:space="preserve">M9 + 8.0 g/L NaAc </t>
  </si>
  <si>
    <t>M9 + 8.0 g/L NaAc -- 2 samples</t>
  </si>
  <si>
    <t>M9 + 10 g/L NaAc</t>
  </si>
  <si>
    <t>M9 + 12.0 g/L NaAc</t>
  </si>
  <si>
    <t>additional files and code available at: https://github.com/rosspcarlson/becketal-syntheticconsortia.git</t>
  </si>
  <si>
    <r>
      <t>Ashley E. Beck</t>
    </r>
    <r>
      <rPr>
        <b/>
        <vertAlign val="superscript"/>
        <sz val="11"/>
        <color theme="1"/>
        <rFont val="Arial"/>
        <family val="2"/>
      </rPr>
      <t>1,4</t>
    </r>
    <r>
      <rPr>
        <b/>
        <sz val="11"/>
        <color theme="1"/>
        <rFont val="Arial"/>
        <family val="2"/>
      </rPr>
      <t>, Kathryn Pintar</t>
    </r>
    <r>
      <rPr>
        <b/>
        <vertAlign val="superscript"/>
        <sz val="11"/>
        <color theme="1"/>
        <rFont val="Arial"/>
        <family val="2"/>
      </rPr>
      <t>1,a</t>
    </r>
    <r>
      <rPr>
        <b/>
        <sz val="11"/>
        <color theme="1"/>
        <rFont val="Arial"/>
        <family val="2"/>
      </rPr>
      <t>, Diana Schepens</t>
    </r>
    <r>
      <rPr>
        <b/>
        <vertAlign val="superscript"/>
        <sz val="11"/>
        <color theme="1"/>
        <rFont val="Arial"/>
        <family val="2"/>
      </rPr>
      <t>2,b</t>
    </r>
    <r>
      <rPr>
        <b/>
        <sz val="11"/>
        <color theme="1"/>
        <rFont val="Arial"/>
        <family val="2"/>
      </rPr>
      <t>, Ashley Schrammeck</t>
    </r>
    <r>
      <rPr>
        <b/>
        <vertAlign val="superscript"/>
        <sz val="11"/>
        <color theme="1"/>
        <rFont val="Arial"/>
        <family val="2"/>
      </rPr>
      <t>1,c</t>
    </r>
    <r>
      <rPr>
        <b/>
        <sz val="11"/>
        <color theme="1"/>
        <rFont val="Arial"/>
        <family val="2"/>
      </rPr>
      <t>, Timothy Johnson</t>
    </r>
    <r>
      <rPr>
        <b/>
        <vertAlign val="superscript"/>
        <sz val="11"/>
        <color theme="1"/>
        <rFont val="Arial"/>
        <family val="2"/>
      </rPr>
      <t>1,d</t>
    </r>
    <r>
      <rPr>
        <b/>
        <sz val="11"/>
        <color theme="1"/>
        <rFont val="Arial"/>
        <family val="2"/>
      </rPr>
      <t>, Alissa Bleem</t>
    </r>
    <r>
      <rPr>
        <b/>
        <vertAlign val="superscript"/>
        <sz val="11"/>
        <color theme="1"/>
        <rFont val="Arial"/>
        <family val="2"/>
      </rPr>
      <t>1,e</t>
    </r>
    <r>
      <rPr>
        <b/>
        <sz val="11"/>
        <color theme="1"/>
        <rFont val="Arial"/>
        <family val="2"/>
      </rPr>
      <t>, Martina Du</t>
    </r>
    <r>
      <rPr>
        <b/>
        <vertAlign val="superscript"/>
        <sz val="11"/>
        <color theme="1"/>
        <rFont val="Arial"/>
        <family val="2"/>
      </rPr>
      <t>1</t>
    </r>
    <r>
      <rPr>
        <b/>
        <sz val="11"/>
        <color theme="1"/>
        <rFont val="Arial"/>
        <family val="2"/>
      </rPr>
      <t>, William R. Harcombe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, Hans C. Bernstein</t>
    </r>
    <r>
      <rPr>
        <b/>
        <vertAlign val="superscript"/>
        <sz val="11"/>
        <color theme="1"/>
        <rFont val="Arial"/>
        <family val="2"/>
      </rPr>
      <t>5</t>
    </r>
    <r>
      <rPr>
        <b/>
        <sz val="11"/>
        <color theme="1"/>
        <rFont val="Arial"/>
        <family val="2"/>
      </rPr>
      <t>, Jeffrey J. Heys</t>
    </r>
    <r>
      <rPr>
        <b/>
        <vertAlign val="superscript"/>
        <sz val="11"/>
        <color theme="1"/>
        <rFont val="Arial"/>
        <family val="2"/>
      </rPr>
      <t>1</t>
    </r>
    <r>
      <rPr>
        <b/>
        <sz val="11"/>
        <color theme="1"/>
        <rFont val="Arial"/>
        <family val="2"/>
      </rPr>
      <t>, Tomas Gedeon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, Ross P. Carlson</t>
    </r>
    <r>
      <rPr>
        <b/>
        <vertAlign val="superscript"/>
        <sz val="11"/>
        <color theme="1"/>
        <rFont val="Arial"/>
        <family val="2"/>
      </rPr>
      <t>1</t>
    </r>
  </si>
  <si>
    <t>Sheets 2-5</t>
  </si>
  <si>
    <t>Sheets 6-9</t>
  </si>
  <si>
    <t>Sheets 10-14</t>
  </si>
  <si>
    <t>Sheets 15-17</t>
  </si>
  <si>
    <t>Sheets 18-21</t>
  </si>
  <si>
    <t>Sheets 22-25</t>
  </si>
  <si>
    <t>Sheets 26-28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</si>
</sst>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0000FF"/>
      <name val="Calibri"/>
      <family val="2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8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0" fillId="0" borderId="0" xfId="0"/>
    <xf numFmtId="0" fontId="0" fillId="0" borderId="0" xfId="0" applyFill="1"/>
    <xf numFmtId="0" fontId="0" fillId="0" borderId="0" xfId="0" applyFill="1" applyBorder="1"/>
    <xf numFmtId="0" fontId="10" fillId="0" borderId="0" xfId="0" applyFont="1"/>
    <xf numFmtId="0" fontId="5" fillId="0" borderId="0" xfId="0" applyFont="1"/>
    <xf numFmtId="0" fontId="11" fillId="0" borderId="0" xfId="0" applyFont="1"/>
    <xf numFmtId="0" fontId="5" fillId="0" borderId="6" xfId="0" applyFont="1" applyBorder="1"/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2" fontId="0" fillId="0" borderId="0" xfId="0" applyNumberFormat="1"/>
    <xf numFmtId="164" fontId="0" fillId="0" borderId="0" xfId="0" applyNumberFormat="1" applyFill="1"/>
    <xf numFmtId="165" fontId="0" fillId="0" borderId="4" xfId="0" applyNumberFormat="1" applyBorder="1"/>
    <xf numFmtId="165" fontId="0" fillId="0" borderId="0" xfId="0" applyNumberFormat="1" applyBorder="1"/>
    <xf numFmtId="165" fontId="14" fillId="0" borderId="0" xfId="0" applyNumberFormat="1" applyFont="1" applyBorder="1"/>
    <xf numFmtId="165" fontId="14" fillId="0" borderId="5" xfId="0" applyNumberFormat="1" applyFont="1" applyBorder="1"/>
    <xf numFmtId="2" fontId="0" fillId="0" borderId="4" xfId="0" applyNumberFormat="1" applyBorder="1"/>
    <xf numFmtId="2" fontId="0" fillId="0" borderId="0" xfId="0" applyNumberFormat="1" applyBorder="1"/>
    <xf numFmtId="2" fontId="14" fillId="0" borderId="0" xfId="0" applyNumberFormat="1" applyFont="1" applyBorder="1"/>
    <xf numFmtId="2" fontId="14" fillId="0" borderId="5" xfId="0" applyNumberFormat="1" applyFont="1" applyBorder="1"/>
    <xf numFmtId="2" fontId="0" fillId="0" borderId="5" xfId="0" applyNumberFormat="1" applyBorder="1"/>
    <xf numFmtId="164" fontId="0" fillId="3" borderId="0" xfId="0" applyNumberFormat="1" applyFill="1"/>
    <xf numFmtId="165" fontId="0" fillId="4" borderId="4" xfId="0" applyNumberFormat="1" applyFill="1" applyBorder="1"/>
    <xf numFmtId="165" fontId="0" fillId="4" borderId="0" xfId="0" applyNumberFormat="1" applyFill="1" applyBorder="1"/>
    <xf numFmtId="165" fontId="14" fillId="4" borderId="0" xfId="0" applyNumberFormat="1" applyFont="1" applyFill="1" applyBorder="1"/>
    <xf numFmtId="165" fontId="14" fillId="4" borderId="5" xfId="0" applyNumberFormat="1" applyFont="1" applyFill="1" applyBorder="1"/>
    <xf numFmtId="2" fontId="0" fillId="4" borderId="4" xfId="0" applyNumberFormat="1" applyFill="1" applyBorder="1"/>
    <xf numFmtId="2" fontId="0" fillId="4" borderId="0" xfId="0" applyNumberFormat="1" applyFill="1" applyBorder="1"/>
    <xf numFmtId="2" fontId="14" fillId="4" borderId="0" xfId="0" applyNumberFormat="1" applyFont="1" applyFill="1" applyBorder="1"/>
    <xf numFmtId="2" fontId="14" fillId="4" borderId="5" xfId="0" applyNumberFormat="1" applyFont="1" applyFill="1" applyBorder="1"/>
    <xf numFmtId="2" fontId="15" fillId="4" borderId="0" xfId="0" applyNumberFormat="1" applyFont="1" applyFill="1" applyBorder="1"/>
    <xf numFmtId="2" fontId="0" fillId="4" borderId="5" xfId="0" applyNumberFormat="1" applyFill="1" applyBorder="1"/>
    <xf numFmtId="164" fontId="0" fillId="0" borderId="6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14" fillId="0" borderId="6" xfId="0" applyNumberFormat="1" applyFont="1" applyBorder="1"/>
    <xf numFmtId="165" fontId="14" fillId="0" borderId="8" xfId="0" applyNumberFormat="1" applyFont="1" applyBorder="1"/>
    <xf numFmtId="2" fontId="0" fillId="0" borderId="7" xfId="0" applyNumberFormat="1" applyBorder="1"/>
    <xf numFmtId="2" fontId="0" fillId="0" borderId="6" xfId="0" applyNumberFormat="1" applyBorder="1"/>
    <xf numFmtId="2" fontId="14" fillId="0" borderId="6" xfId="0" applyNumberFormat="1" applyFont="1" applyBorder="1"/>
    <xf numFmtId="2" fontId="14" fillId="0" borderId="8" xfId="0" applyNumberFormat="1" applyFont="1" applyBorder="1"/>
    <xf numFmtId="164" fontId="7" fillId="0" borderId="5" xfId="0" applyNumberFormat="1" applyFont="1" applyBorder="1" applyAlignment="1">
      <alignment horizontal="right"/>
    </xf>
    <xf numFmtId="0" fontId="0" fillId="0" borderId="0" xfId="0" applyBorder="1"/>
    <xf numFmtId="0" fontId="5" fillId="0" borderId="0" xfId="0" applyFont="1" applyBorder="1" applyAlignment="1">
      <alignment horizontal="right"/>
    </xf>
    <xf numFmtId="2" fontId="14" fillId="0" borderId="9" xfId="0" applyNumberFormat="1" applyFont="1" applyBorder="1"/>
    <xf numFmtId="0" fontId="15" fillId="3" borderId="0" xfId="0" applyFont="1" applyFill="1"/>
    <xf numFmtId="22" fontId="0" fillId="3" borderId="0" xfId="0" applyNumberFormat="1" applyFill="1"/>
    <xf numFmtId="0" fontId="5" fillId="0" borderId="5" xfId="0" applyFont="1" applyBorder="1" applyAlignment="1">
      <alignment horizontal="right"/>
    </xf>
    <xf numFmtId="2" fontId="0" fillId="0" borderId="0" xfId="0" applyNumberFormat="1"/>
    <xf numFmtId="164" fontId="8" fillId="0" borderId="5" xfId="0" applyNumberFormat="1" applyFont="1" applyBorder="1"/>
    <xf numFmtId="165" fontId="0" fillId="0" borderId="0" xfId="0" applyNumberFormat="1" applyFill="1" applyBorder="1"/>
    <xf numFmtId="165" fontId="0" fillId="0" borderId="5" xfId="0" applyNumberFormat="1" applyBorder="1"/>
    <xf numFmtId="0" fontId="0" fillId="0" borderId="5" xfId="0" applyBorder="1"/>
    <xf numFmtId="0" fontId="5" fillId="0" borderId="5" xfId="0" applyFont="1" applyFill="1" applyBorder="1" applyAlignment="1">
      <alignment horizontal="right"/>
    </xf>
    <xf numFmtId="164" fontId="8" fillId="0" borderId="8" xfId="0" applyNumberFormat="1" applyFont="1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5" fillId="0" borderId="6" xfId="0" applyFont="1" applyBorder="1" applyAlignment="1">
      <alignment horizontal="right"/>
    </xf>
    <xf numFmtId="2" fontId="0" fillId="0" borderId="7" xfId="0" applyNumberFormat="1" applyFill="1" applyBorder="1"/>
    <xf numFmtId="2" fontId="0" fillId="0" borderId="6" xfId="0" applyNumberFormat="1" applyFill="1" applyBorder="1"/>
    <xf numFmtId="164" fontId="8" fillId="0" borderId="0" xfId="0" applyNumberFormat="1" applyFont="1"/>
    <xf numFmtId="165" fontId="5" fillId="0" borderId="5" xfId="0" applyNumberFormat="1" applyFont="1" applyBorder="1" applyAlignment="1">
      <alignment horizontal="right"/>
    </xf>
    <xf numFmtId="2" fontId="14" fillId="0" borderId="0" xfId="0" applyNumberFormat="1" applyFont="1" applyFill="1" applyBorder="1"/>
    <xf numFmtId="0" fontId="14" fillId="0" borderId="10" xfId="0" applyFont="1" applyBorder="1"/>
    <xf numFmtId="0" fontId="14" fillId="0" borderId="7" xfId="0" applyFont="1" applyBorder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164" fontId="21" fillId="0" borderId="0" xfId="0" applyNumberFormat="1" applyFont="1"/>
    <xf numFmtId="2" fontId="0" fillId="4" borderId="0" xfId="0" applyNumberFormat="1" applyFont="1" applyFill="1" applyBorder="1" applyAlignment="1">
      <alignment horizontal="right"/>
    </xf>
    <xf numFmtId="2" fontId="14" fillId="0" borderId="10" xfId="0" applyNumberFormat="1" applyFont="1" applyBorder="1"/>
    <xf numFmtId="0" fontId="14" fillId="0" borderId="8" xfId="0" applyFont="1" applyBorder="1"/>
    <xf numFmtId="0" fontId="14" fillId="0" borderId="0" xfId="0" applyFont="1"/>
    <xf numFmtId="0" fontId="13" fillId="0" borderId="0" xfId="0" applyFont="1" applyFill="1" applyBorder="1" applyAlignment="1">
      <alignment horizontal="center"/>
    </xf>
    <xf numFmtId="0" fontId="13" fillId="0" borderId="0" xfId="0" applyFont="1"/>
    <xf numFmtId="0" fontId="0" fillId="0" borderId="4" xfId="0" applyBorder="1"/>
    <xf numFmtId="0" fontId="14" fillId="0" borderId="0" xfId="0" applyFont="1" applyBorder="1"/>
    <xf numFmtId="0" fontId="14" fillId="0" borderId="5" xfId="0" applyFont="1" applyBorder="1"/>
    <xf numFmtId="165" fontId="14" fillId="0" borderId="0" xfId="0" applyNumberFormat="1" applyFont="1"/>
    <xf numFmtId="11" fontId="14" fillId="0" borderId="0" xfId="0" applyNumberFormat="1" applyFont="1"/>
    <xf numFmtId="0" fontId="0" fillId="4" borderId="4" xfId="0" applyFill="1" applyBorder="1"/>
    <xf numFmtId="0" fontId="0" fillId="4" borderId="0" xfId="0" applyFill="1" applyBorder="1"/>
    <xf numFmtId="0" fontId="14" fillId="4" borderId="0" xfId="0" applyFont="1" applyFill="1" applyBorder="1"/>
    <xf numFmtId="0" fontId="14" fillId="4" borderId="5" xfId="0" applyFont="1" applyFill="1" applyBorder="1"/>
    <xf numFmtId="2" fontId="0" fillId="0" borderId="4" xfId="0" applyNumberFormat="1" applyFill="1" applyBorder="1"/>
    <xf numFmtId="2" fontId="0" fillId="0" borderId="0" xfId="0" applyNumberFormat="1" applyFill="1" applyBorder="1"/>
    <xf numFmtId="2" fontId="14" fillId="0" borderId="5" xfId="0" applyNumberFormat="1" applyFont="1" applyFill="1" applyBorder="1"/>
    <xf numFmtId="164" fontId="0" fillId="0" borderId="0" xfId="0" applyNumberFormat="1" applyBorder="1"/>
    <xf numFmtId="165" fontId="14" fillId="0" borderId="0" xfId="0" applyNumberFormat="1" applyFont="1" applyFill="1" applyBorder="1"/>
    <xf numFmtId="0" fontId="5" fillId="0" borderId="0" xfId="0" applyFont="1" applyFill="1" applyBorder="1" applyAlignment="1">
      <alignment horizontal="righ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4" fillId="0" borderId="11" xfId="0" applyFont="1" applyBorder="1"/>
    <xf numFmtId="2" fontId="14" fillId="0" borderId="4" xfId="0" applyNumberFormat="1" applyFont="1" applyBorder="1"/>
    <xf numFmtId="2" fontId="14" fillId="0" borderId="7" xfId="0" applyNumberFormat="1" applyFont="1" applyBorder="1"/>
    <xf numFmtId="0" fontId="14" fillId="0" borderId="6" xfId="0" applyFont="1" applyBorder="1"/>
    <xf numFmtId="2" fontId="15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164" fontId="0" fillId="0" borderId="9" xfId="0" applyNumberFormat="1" applyFill="1" applyBorder="1"/>
    <xf numFmtId="165" fontId="0" fillId="0" borderId="0" xfId="0" applyNumberFormat="1"/>
    <xf numFmtId="165" fontId="14" fillId="0" borderId="9" xfId="0" applyNumberFormat="1" applyFont="1" applyBorder="1"/>
    <xf numFmtId="2" fontId="14" fillId="0" borderId="0" xfId="0" applyNumberFormat="1" applyFont="1"/>
    <xf numFmtId="164" fontId="0" fillId="3" borderId="5" xfId="0" applyNumberFormat="1" applyFill="1" applyBorder="1"/>
    <xf numFmtId="165" fontId="0" fillId="4" borderId="0" xfId="0" applyNumberFormat="1" applyFill="1"/>
    <xf numFmtId="165" fontId="14" fillId="4" borderId="0" xfId="0" applyNumberFormat="1" applyFont="1" applyFill="1"/>
    <xf numFmtId="2" fontId="0" fillId="4" borderId="0" xfId="0" applyNumberFormat="1" applyFill="1"/>
    <xf numFmtId="2" fontId="14" fillId="4" borderId="0" xfId="0" applyNumberFormat="1" applyFont="1" applyFill="1"/>
    <xf numFmtId="164" fontId="0" fillId="0" borderId="5" xfId="0" applyNumberFormat="1" applyBorder="1"/>
    <xf numFmtId="164" fontId="0" fillId="0" borderId="8" xfId="0" applyNumberFormat="1" applyBorder="1"/>
    <xf numFmtId="2" fontId="0" fillId="0" borderId="11" xfId="0" applyNumberFormat="1" applyBorder="1"/>
    <xf numFmtId="0" fontId="14" fillId="0" borderId="9" xfId="0" applyFont="1" applyBorder="1"/>
    <xf numFmtId="2" fontId="15" fillId="4" borderId="0" xfId="0" applyNumberFormat="1" applyFont="1" applyFill="1"/>
    <xf numFmtId="164" fontId="0" fillId="0" borderId="0" xfId="0" applyNumberFormat="1"/>
    <xf numFmtId="0" fontId="5" fillId="0" borderId="9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164" fontId="8" fillId="0" borderId="0" xfId="0" applyNumberFormat="1" applyFont="1" applyBorder="1"/>
    <xf numFmtId="2" fontId="15" fillId="4" borderId="4" xfId="0" applyNumberFormat="1" applyFont="1" applyFill="1" applyBorder="1"/>
    <xf numFmtId="0" fontId="5" fillId="0" borderId="0" xfId="0" applyFont="1" applyBorder="1"/>
    <xf numFmtId="2" fontId="0" fillId="0" borderId="6" xfId="0" applyNumberFormat="1" applyFont="1" applyBorder="1"/>
    <xf numFmtId="2" fontId="5" fillId="0" borderId="0" xfId="0" applyNumberFormat="1" applyFont="1" applyBorder="1"/>
    <xf numFmtId="2" fontId="9" fillId="0" borderId="0" xfId="0" applyNumberFormat="1" applyFont="1"/>
    <xf numFmtId="166" fontId="0" fillId="0" borderId="0" xfId="0" applyNumberFormat="1"/>
    <xf numFmtId="165" fontId="0" fillId="0" borderId="4" xfId="0" applyNumberFormat="1" applyFill="1" applyBorder="1"/>
    <xf numFmtId="11" fontId="0" fillId="0" borderId="4" xfId="0" applyNumberFormat="1" applyBorder="1"/>
    <xf numFmtId="11" fontId="0" fillId="0" borderId="0" xfId="0" applyNumberFormat="1" applyBorder="1"/>
    <xf numFmtId="11" fontId="14" fillId="0" borderId="0" xfId="0" applyNumberFormat="1" applyFont="1" applyBorder="1"/>
    <xf numFmtId="11" fontId="14" fillId="0" borderId="5" xfId="0" applyNumberFormat="1" applyFont="1" applyBorder="1"/>
    <xf numFmtId="0" fontId="15" fillId="4" borderId="0" xfId="0" applyFont="1" applyFill="1"/>
    <xf numFmtId="0" fontId="14" fillId="4" borderId="0" xfId="0" applyFont="1" applyFill="1"/>
    <xf numFmtId="11" fontId="0" fillId="4" borderId="4" xfId="0" applyNumberFormat="1" applyFill="1" applyBorder="1"/>
    <xf numFmtId="11" fontId="0" fillId="4" borderId="0" xfId="0" applyNumberFormat="1" applyFill="1" applyBorder="1"/>
    <xf numFmtId="11" fontId="14" fillId="4" borderId="0" xfId="0" applyNumberFormat="1" applyFont="1" applyFill="1" applyBorder="1"/>
    <xf numFmtId="11" fontId="14" fillId="4" borderId="5" xfId="0" applyNumberFormat="1" applyFont="1" applyFill="1" applyBorder="1"/>
    <xf numFmtId="0" fontId="0" fillId="4" borderId="0" xfId="0" applyFill="1"/>
    <xf numFmtId="165" fontId="0" fillId="0" borderId="8" xfId="0" applyNumberFormat="1" applyBorder="1"/>
    <xf numFmtId="0" fontId="22" fillId="0" borderId="0" xfId="0" applyFont="1"/>
    <xf numFmtId="11" fontId="0" fillId="0" borderId="0" xfId="0" applyNumberFormat="1"/>
    <xf numFmtId="0" fontId="5" fillId="4" borderId="0" xfId="0" applyFont="1" applyFill="1"/>
    <xf numFmtId="22" fontId="0" fillId="0" borderId="0" xfId="0" applyNumberFormat="1" applyFill="1"/>
    <xf numFmtId="164" fontId="8" fillId="0" borderId="8" xfId="0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65" fontId="0" fillId="0" borderId="8" xfId="0" applyNumberFormat="1" applyFill="1" applyBorder="1"/>
    <xf numFmtId="164" fontId="8" fillId="0" borderId="0" xfId="0" applyNumberFormat="1" applyFont="1" applyFill="1" applyBorder="1"/>
    <xf numFmtId="11" fontId="0" fillId="4" borderId="0" xfId="0" applyNumberFormat="1" applyFill="1"/>
    <xf numFmtId="0" fontId="4" fillId="0" borderId="0" xfId="0" applyFont="1"/>
    <xf numFmtId="0" fontId="12" fillId="0" borderId="0" xfId="0" applyFont="1"/>
    <xf numFmtId="0" fontId="0" fillId="0" borderId="0" xfId="0" applyFont="1"/>
    <xf numFmtId="22" fontId="4" fillId="0" borderId="0" xfId="0" applyNumberFormat="1" applyFont="1"/>
    <xf numFmtId="164" fontId="4" fillId="0" borderId="0" xfId="0" applyNumberFormat="1" applyFont="1" applyFill="1"/>
    <xf numFmtId="165" fontId="4" fillId="0" borderId="4" xfId="0" applyNumberFormat="1" applyFont="1" applyBorder="1"/>
    <xf numFmtId="165" fontId="4" fillId="0" borderId="0" xfId="0" applyNumberFormat="1" applyFont="1" applyBorder="1"/>
    <xf numFmtId="2" fontId="4" fillId="0" borderId="4" xfId="0" applyNumberFormat="1" applyFont="1" applyBorder="1"/>
    <xf numFmtId="2" fontId="4" fillId="0" borderId="0" xfId="0" applyNumberFormat="1" applyFont="1" applyBorder="1"/>
    <xf numFmtId="0" fontId="4" fillId="0" borderId="4" xfId="0" applyFont="1" applyBorder="1"/>
    <xf numFmtId="0" fontId="4" fillId="0" borderId="0" xfId="0" applyFont="1" applyBorder="1"/>
    <xf numFmtId="11" fontId="4" fillId="0" borderId="4" xfId="0" applyNumberFormat="1" applyFont="1" applyBorder="1"/>
    <xf numFmtId="11" fontId="4" fillId="0" borderId="0" xfId="0" applyNumberFormat="1" applyFont="1" applyBorder="1"/>
    <xf numFmtId="164" fontId="4" fillId="3" borderId="0" xfId="0" applyNumberFormat="1" applyFont="1" applyFill="1"/>
    <xf numFmtId="165" fontId="4" fillId="4" borderId="4" xfId="0" applyNumberFormat="1" applyFont="1" applyFill="1" applyBorder="1"/>
    <xf numFmtId="165" fontId="4" fillId="4" borderId="0" xfId="0" applyNumberFormat="1" applyFont="1" applyFill="1" applyBorder="1"/>
    <xf numFmtId="2" fontId="4" fillId="4" borderId="4" xfId="0" applyNumberFormat="1" applyFont="1" applyFill="1" applyBorder="1"/>
    <xf numFmtId="2" fontId="4" fillId="4" borderId="0" xfId="0" applyNumberFormat="1" applyFont="1" applyFill="1" applyBorder="1"/>
    <xf numFmtId="2" fontId="4" fillId="4" borderId="0" xfId="0" applyNumberFormat="1" applyFont="1" applyFill="1"/>
    <xf numFmtId="2" fontId="4" fillId="0" borderId="0" xfId="0" applyNumberFormat="1" applyFont="1"/>
    <xf numFmtId="0" fontId="4" fillId="0" borderId="5" xfId="0" applyFont="1" applyBorder="1"/>
    <xf numFmtId="164" fontId="4" fillId="0" borderId="6" xfId="0" applyNumberFormat="1" applyFont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2" fontId="4" fillId="0" borderId="7" xfId="0" applyNumberFormat="1" applyFont="1" applyBorder="1"/>
    <xf numFmtId="2" fontId="4" fillId="0" borderId="6" xfId="0" applyNumberFormat="1" applyFont="1" applyBorder="1"/>
    <xf numFmtId="0" fontId="4" fillId="0" borderId="7" xfId="0" applyFont="1" applyBorder="1"/>
    <xf numFmtId="0" fontId="4" fillId="0" borderId="6" xfId="0" applyFont="1" applyBorder="1"/>
    <xf numFmtId="0" fontId="4" fillId="0" borderId="8" xfId="0" applyFont="1" applyBorder="1"/>
    <xf numFmtId="165" fontId="4" fillId="0" borderId="8" xfId="0" applyNumberFormat="1" applyFont="1" applyBorder="1"/>
    <xf numFmtId="0" fontId="4" fillId="0" borderId="6" xfId="0" applyFont="1" applyFill="1" applyBorder="1"/>
    <xf numFmtId="0" fontId="4" fillId="0" borderId="0" xfId="0" applyFont="1" applyFill="1" applyBorder="1"/>
    <xf numFmtId="0" fontId="4" fillId="0" borderId="0" xfId="0" applyFont="1" applyAlignment="1">
      <alignment horizontal="center"/>
    </xf>
    <xf numFmtId="11" fontId="4" fillId="0" borderId="0" xfId="0" applyNumberFormat="1" applyFont="1"/>
    <xf numFmtId="0" fontId="0" fillId="0" borderId="12" xfId="0" applyBorder="1"/>
    <xf numFmtId="0" fontId="5" fillId="0" borderId="8" xfId="0" applyFont="1" applyBorder="1"/>
    <xf numFmtId="0" fontId="14" fillId="0" borderId="6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0" fillId="0" borderId="13" xfId="0" applyBorder="1"/>
    <xf numFmtId="165" fontId="0" fillId="0" borderId="10" xfId="0" applyNumberFormat="1" applyBorder="1"/>
    <xf numFmtId="165" fontId="0" fillId="0" borderId="11" xfId="0" applyNumberFormat="1" applyBorder="1"/>
    <xf numFmtId="165" fontId="14" fillId="0" borderId="11" xfId="0" applyNumberFormat="1" applyFont="1" applyBorder="1"/>
    <xf numFmtId="2" fontId="0" fillId="0" borderId="10" xfId="0" applyNumberFormat="1" applyBorder="1"/>
    <xf numFmtId="2" fontId="14" fillId="0" borderId="11" xfId="0" applyNumberFormat="1" applyFont="1" applyBorder="1"/>
    <xf numFmtId="2" fontId="15" fillId="0" borderId="11" xfId="0" applyNumberFormat="1" applyFont="1" applyBorder="1"/>
    <xf numFmtId="11" fontId="0" fillId="0" borderId="10" xfId="0" applyNumberFormat="1" applyBorder="1"/>
    <xf numFmtId="11" fontId="0" fillId="0" borderId="11" xfId="0" applyNumberFormat="1" applyBorder="1"/>
    <xf numFmtId="11" fontId="14" fillId="0" borderId="11" xfId="0" applyNumberFormat="1" applyFont="1" applyBorder="1"/>
    <xf numFmtId="11" fontId="14" fillId="0" borderId="9" xfId="0" applyNumberFormat="1" applyFont="1" applyBorder="1"/>
    <xf numFmtId="2" fontId="25" fillId="0" borderId="0" xfId="0" applyNumberFormat="1" applyFont="1" applyBorder="1"/>
    <xf numFmtId="2" fontId="15" fillId="0" borderId="0" xfId="0" applyNumberFormat="1" applyFont="1" applyBorder="1"/>
    <xf numFmtId="2" fontId="0" fillId="0" borderId="8" xfId="0" applyNumberFormat="1" applyBorder="1"/>
    <xf numFmtId="2" fontId="15" fillId="0" borderId="7" xfId="0" applyNumberFormat="1" applyFont="1" applyBorder="1"/>
    <xf numFmtId="2" fontId="15" fillId="0" borderId="6" xfId="0" applyNumberFormat="1" applyFont="1" applyBorder="1"/>
    <xf numFmtId="11" fontId="14" fillId="0" borderId="8" xfId="0" applyNumberFormat="1" applyFont="1" applyBorder="1"/>
    <xf numFmtId="164" fontId="8" fillId="0" borderId="14" xfId="0" applyNumberFormat="1" applyFont="1" applyBorder="1"/>
    <xf numFmtId="0" fontId="0" fillId="0" borderId="9" xfId="0" applyBorder="1"/>
    <xf numFmtId="164" fontId="8" fillId="0" borderId="12" xfId="0" applyNumberFormat="1" applyFont="1" applyBorder="1"/>
    <xf numFmtId="0" fontId="5" fillId="0" borderId="0" xfId="0" applyFont="1" applyFill="1" applyBorder="1"/>
    <xf numFmtId="164" fontId="8" fillId="0" borderId="13" xfId="0" applyNumberFormat="1" applyFont="1" applyBorder="1"/>
    <xf numFmtId="165" fontId="5" fillId="0" borderId="8" xfId="0" applyNumberFormat="1" applyFont="1" applyBorder="1" applyAlignment="1">
      <alignment horizontal="right"/>
    </xf>
    <xf numFmtId="11" fontId="0" fillId="0" borderId="6" xfId="0" applyNumberFormat="1" applyBorder="1"/>
    <xf numFmtId="11" fontId="14" fillId="0" borderId="6" xfId="0" applyNumberFormat="1" applyFont="1" applyBorder="1"/>
    <xf numFmtId="0" fontId="0" fillId="0" borderId="0" xfId="0" applyAlignment="1">
      <alignment horizontal="left"/>
    </xf>
    <xf numFmtId="0" fontId="4" fillId="0" borderId="12" xfId="0" applyFont="1" applyBorder="1"/>
    <xf numFmtId="0" fontId="5" fillId="0" borderId="13" xfId="0" applyFont="1" applyBorder="1"/>
    <xf numFmtId="0" fontId="4" fillId="0" borderId="13" xfId="0" applyFont="1" applyBorder="1"/>
    <xf numFmtId="164" fontId="4" fillId="0" borderId="0" xfId="0" applyNumberFormat="1" applyFont="1"/>
    <xf numFmtId="2" fontId="4" fillId="0" borderId="12" xfId="0" applyNumberFormat="1" applyFont="1" applyBorder="1"/>
    <xf numFmtId="165" fontId="4" fillId="0" borderId="10" xfId="0" applyNumberFormat="1" applyFont="1" applyBorder="1"/>
    <xf numFmtId="165" fontId="4" fillId="0" borderId="11" xfId="0" applyNumberFormat="1" applyFont="1" applyBorder="1"/>
    <xf numFmtId="2" fontId="4" fillId="0" borderId="10" xfId="0" applyNumberFormat="1" applyFont="1" applyBorder="1"/>
    <xf numFmtId="2" fontId="4" fillId="0" borderId="11" xfId="0" applyNumberFormat="1" applyFont="1" applyBorder="1"/>
    <xf numFmtId="11" fontId="4" fillId="0" borderId="10" xfId="0" applyNumberFormat="1" applyFont="1" applyBorder="1"/>
    <xf numFmtId="11" fontId="4" fillId="0" borderId="11" xfId="0" applyNumberFormat="1" applyFont="1" applyBorder="1"/>
    <xf numFmtId="2" fontId="4" fillId="4" borderId="12" xfId="0" applyNumberFormat="1" applyFont="1" applyFill="1" applyBorder="1"/>
    <xf numFmtId="2" fontId="4" fillId="0" borderId="13" xfId="0" applyNumberFormat="1" applyFont="1" applyBorder="1"/>
    <xf numFmtId="11" fontId="4" fillId="0" borderId="7" xfId="0" applyNumberFormat="1" applyFont="1" applyBorder="1"/>
    <xf numFmtId="11" fontId="4" fillId="0" borderId="6" xfId="0" applyNumberFormat="1" applyFont="1" applyBorder="1"/>
    <xf numFmtId="11" fontId="4" fillId="0" borderId="8" xfId="0" applyNumberFormat="1" applyFont="1" applyBorder="1"/>
    <xf numFmtId="2" fontId="4" fillId="0" borderId="8" xfId="0" applyNumberFormat="1" applyFont="1" applyBorder="1"/>
    <xf numFmtId="0" fontId="4" fillId="0" borderId="14" xfId="0" applyFont="1" applyBorder="1"/>
    <xf numFmtId="0" fontId="4" fillId="0" borderId="9" xfId="0" applyFont="1" applyBorder="1"/>
    <xf numFmtId="0" fontId="4" fillId="0" borderId="0" xfId="0" applyFont="1" applyAlignment="1">
      <alignment horizontal="left"/>
    </xf>
    <xf numFmtId="2" fontId="14" fillId="0" borderId="9" xfId="0" applyNumberFormat="1" applyFont="1" applyFill="1" applyBorder="1"/>
    <xf numFmtId="165" fontId="0" fillId="4" borderId="10" xfId="0" applyNumberFormat="1" applyFill="1" applyBorder="1"/>
    <xf numFmtId="165" fontId="0" fillId="4" borderId="11" xfId="0" applyNumberFormat="1" applyFill="1" applyBorder="1"/>
    <xf numFmtId="165" fontId="14" fillId="4" borderId="11" xfId="0" applyNumberFormat="1" applyFont="1" applyFill="1" applyBorder="1"/>
    <xf numFmtId="165" fontId="14" fillId="4" borderId="9" xfId="0" applyNumberFormat="1" applyFont="1" applyFill="1" applyBorder="1"/>
    <xf numFmtId="2" fontId="0" fillId="4" borderId="10" xfId="0" applyNumberFormat="1" applyFill="1" applyBorder="1"/>
    <xf numFmtId="2" fontId="0" fillId="4" borderId="11" xfId="0" applyNumberFormat="1" applyFill="1" applyBorder="1"/>
    <xf numFmtId="2" fontId="14" fillId="4" borderId="11" xfId="0" applyNumberFormat="1" applyFont="1" applyFill="1" applyBorder="1"/>
    <xf numFmtId="2" fontId="14" fillId="4" borderId="9" xfId="0" applyNumberFormat="1" applyFont="1" applyFill="1" applyBorder="1"/>
    <xf numFmtId="2" fontId="15" fillId="4" borderId="11" xfId="0" applyNumberFormat="1" applyFont="1" applyFill="1" applyBorder="1"/>
    <xf numFmtId="2" fontId="25" fillId="4" borderId="0" xfId="0" applyNumberFormat="1" applyFont="1" applyFill="1" applyBorder="1"/>
    <xf numFmtId="11" fontId="0" fillId="0" borderId="7" xfId="0" applyNumberFormat="1" applyBorder="1"/>
    <xf numFmtId="0" fontId="0" fillId="0" borderId="14" xfId="0" applyBorder="1"/>
    <xf numFmtId="2" fontId="0" fillId="0" borderId="11" xfId="0" applyNumberFormat="1" applyFill="1" applyBorder="1"/>
    <xf numFmtId="2" fontId="0" fillId="0" borderId="5" xfId="0" applyNumberFormat="1" applyFill="1" applyBorder="1"/>
    <xf numFmtId="0" fontId="0" fillId="5" borderId="0" xfId="0" applyFill="1"/>
    <xf numFmtId="164" fontId="7" fillId="0" borderId="0" xfId="0" applyNumberFormat="1" applyFont="1" applyBorder="1" applyAlignment="1">
      <alignment horizontal="right"/>
    </xf>
    <xf numFmtId="0" fontId="26" fillId="0" borderId="0" xfId="0" applyFont="1"/>
    <xf numFmtId="0" fontId="15" fillId="0" borderId="0" xfId="0" applyFont="1"/>
    <xf numFmtId="164" fontId="7" fillId="0" borderId="0" xfId="0" applyNumberFormat="1" applyFont="1" applyBorder="1"/>
    <xf numFmtId="0" fontId="5" fillId="0" borderId="5" xfId="0" applyFont="1" applyBorder="1"/>
    <xf numFmtId="2" fontId="0" fillId="0" borderId="0" xfId="0" applyNumberFormat="1" applyFill="1"/>
    <xf numFmtId="2" fontId="14" fillId="0" borderId="0" xfId="0" applyNumberFormat="1" applyFont="1" applyFill="1"/>
    <xf numFmtId="164" fontId="0" fillId="0" borderId="5" xfId="0" applyNumberFormat="1" applyFill="1" applyBorder="1"/>
    <xf numFmtId="164" fontId="0" fillId="0" borderId="8" xfId="0" applyNumberFormat="1" applyFill="1" applyBorder="1"/>
    <xf numFmtId="164" fontId="7" fillId="0" borderId="9" xfId="0" applyNumberFormat="1" applyFont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1" fontId="14" fillId="4" borderId="0" xfId="0" applyNumberFormat="1" applyFont="1" applyFill="1"/>
    <xf numFmtId="2" fontId="9" fillId="0" borderId="0" xfId="0" applyNumberFormat="1" applyFont="1" applyFill="1" applyBorder="1"/>
    <xf numFmtId="164" fontId="0" fillId="0" borderId="0" xfId="0" applyNumberFormat="1" applyFill="1" applyBorder="1"/>
    <xf numFmtId="165" fontId="0" fillId="0" borderId="10" xfId="0" applyNumberFormat="1" applyFont="1" applyBorder="1"/>
    <xf numFmtId="165" fontId="0" fillId="0" borderId="11" xfId="0" applyNumberFormat="1" applyFont="1" applyBorder="1"/>
    <xf numFmtId="165" fontId="0" fillId="0" borderId="4" xfId="0" applyNumberFormat="1" applyFont="1" applyBorder="1"/>
    <xf numFmtId="165" fontId="0" fillId="0" borderId="0" xfId="0" applyNumberFormat="1" applyFont="1" applyBorder="1"/>
    <xf numFmtId="165" fontId="0" fillId="4" borderId="4" xfId="0" applyNumberFormat="1" applyFont="1" applyFill="1" applyBorder="1"/>
    <xf numFmtId="165" fontId="0" fillId="4" borderId="0" xfId="0" applyNumberFormat="1" applyFont="1" applyFill="1" applyBorder="1"/>
    <xf numFmtId="2" fontId="0" fillId="4" borderId="4" xfId="0" applyNumberFormat="1" applyFont="1" applyFill="1" applyBorder="1"/>
    <xf numFmtId="2" fontId="0" fillId="4" borderId="0" xfId="0" applyNumberFormat="1" applyFont="1" applyFill="1" applyBorder="1"/>
    <xf numFmtId="2" fontId="0" fillId="0" borderId="4" xfId="0" applyNumberFormat="1" applyFont="1" applyBorder="1"/>
    <xf numFmtId="2" fontId="0" fillId="0" borderId="0" xfId="0" applyNumberFormat="1" applyFont="1" applyBorder="1"/>
    <xf numFmtId="2" fontId="0" fillId="0" borderId="7" xfId="0" applyNumberFormat="1" applyFont="1" applyBorder="1"/>
    <xf numFmtId="164" fontId="7" fillId="0" borderId="11" xfId="0" applyNumberFormat="1" applyFont="1" applyBorder="1" applyAlignment="1">
      <alignment horizontal="right"/>
    </xf>
    <xf numFmtId="0" fontId="0" fillId="0" borderId="10" xfId="0" applyBorder="1"/>
    <xf numFmtId="0" fontId="0" fillId="0" borderId="11" xfId="0" applyBorder="1"/>
    <xf numFmtId="2" fontId="14" fillId="0" borderId="8" xfId="0" applyNumberFormat="1" applyFont="1" applyFill="1" applyBorder="1"/>
    <xf numFmtId="0" fontId="5" fillId="0" borderId="12" xfId="0" applyFont="1" applyBorder="1" applyAlignment="1">
      <alignment horizontal="center"/>
    </xf>
    <xf numFmtId="2" fontId="0" fillId="0" borderId="14" xfId="0" applyNumberFormat="1" applyBorder="1"/>
    <xf numFmtId="0" fontId="0" fillId="0" borderId="14" xfId="0" applyBorder="1" applyAlignment="1">
      <alignment horizontal="center"/>
    </xf>
    <xf numFmtId="2" fontId="0" fillId="4" borderId="12" xfId="0" applyNumberFormat="1" applyFill="1" applyBorder="1"/>
    <xf numFmtId="0" fontId="0" fillId="4" borderId="12" xfId="0" applyFill="1" applyBorder="1" applyAlignment="1">
      <alignment horizontal="center"/>
    </xf>
    <xf numFmtId="2" fontId="0" fillId="0" borderId="12" xfId="0" applyNumberFormat="1" applyBorder="1"/>
    <xf numFmtId="0" fontId="0" fillId="0" borderId="12" xfId="0" applyBorder="1" applyAlignment="1">
      <alignment horizontal="center"/>
    </xf>
    <xf numFmtId="2" fontId="0" fillId="0" borderId="13" xfId="0" applyNumberFormat="1" applyBorder="1"/>
    <xf numFmtId="2" fontId="0" fillId="0" borderId="9" xfId="0" applyNumberFormat="1" applyBorder="1"/>
    <xf numFmtId="164" fontId="9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5" fillId="0" borderId="0" xfId="0" applyFont="1" applyAlignment="1">
      <alignment horizontal="left"/>
    </xf>
    <xf numFmtId="0" fontId="8" fillId="0" borderId="0" xfId="0" applyFont="1"/>
    <xf numFmtId="0" fontId="0" fillId="6" borderId="0" xfId="0" applyFill="1"/>
    <xf numFmtId="0" fontId="12" fillId="0" borderId="0" xfId="0" applyFont="1" applyFill="1"/>
    <xf numFmtId="0" fontId="0" fillId="7" borderId="0" xfId="0" applyFill="1"/>
    <xf numFmtId="1" fontId="0" fillId="7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8" borderId="0" xfId="0" applyFill="1"/>
    <xf numFmtId="1" fontId="0" fillId="8" borderId="0" xfId="0" applyNumberFormat="1" applyFill="1"/>
    <xf numFmtId="0" fontId="0" fillId="9" borderId="0" xfId="0" applyFill="1"/>
    <xf numFmtId="0" fontId="12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4" fontId="4" fillId="3" borderId="5" xfId="0" applyNumberFormat="1" applyFont="1" applyFill="1" applyBorder="1"/>
    <xf numFmtId="165" fontId="4" fillId="4" borderId="10" xfId="0" applyNumberFormat="1" applyFont="1" applyFill="1" applyBorder="1"/>
    <xf numFmtId="165" fontId="4" fillId="4" borderId="11" xfId="0" applyNumberFormat="1" applyFont="1" applyFill="1" applyBorder="1"/>
    <xf numFmtId="2" fontId="4" fillId="4" borderId="11" xfId="0" applyNumberFormat="1" applyFont="1" applyFill="1" applyBorder="1"/>
    <xf numFmtId="2" fontId="4" fillId="4" borderId="10" xfId="0" applyNumberFormat="1" applyFont="1" applyFill="1" applyBorder="1"/>
    <xf numFmtId="164" fontId="4" fillId="0" borderId="5" xfId="0" applyNumberFormat="1" applyFont="1" applyBorder="1"/>
    <xf numFmtId="164" fontId="4" fillId="0" borderId="8" xfId="0" applyNumberFormat="1" applyFont="1" applyBorder="1"/>
    <xf numFmtId="2" fontId="27" fillId="0" borderId="6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11" xfId="0" applyFont="1" applyBorder="1"/>
    <xf numFmtId="0" fontId="5" fillId="0" borderId="11" xfId="0" applyFont="1" applyBorder="1" applyAlignment="1">
      <alignment horizontal="right"/>
    </xf>
    <xf numFmtId="0" fontId="3" fillId="0" borderId="0" xfId="0" applyFont="1"/>
    <xf numFmtId="0" fontId="28" fillId="0" borderId="0" xfId="0" applyFont="1"/>
    <xf numFmtId="0" fontId="29" fillId="10" borderId="15" xfId="0" applyFont="1" applyFill="1" applyBorder="1"/>
    <xf numFmtId="0" fontId="29" fillId="10" borderId="16" xfId="0" applyFont="1" applyFill="1" applyBorder="1"/>
    <xf numFmtId="0" fontId="15" fillId="10" borderId="16" xfId="0" applyFont="1" applyFill="1" applyBorder="1"/>
    <xf numFmtId="0" fontId="29" fillId="10" borderId="17" xfId="0" applyFont="1" applyFill="1" applyBorder="1"/>
    <xf numFmtId="0" fontId="15" fillId="10" borderId="18" xfId="0" applyFont="1" applyFill="1" applyBorder="1"/>
    <xf numFmtId="0" fontId="29" fillId="10" borderId="0" xfId="0" applyFont="1" applyFill="1"/>
    <xf numFmtId="0" fontId="15" fillId="10" borderId="0" xfId="0" applyFont="1" applyFill="1"/>
    <xf numFmtId="0" fontId="29" fillId="10" borderId="2" xfId="0" applyFont="1" applyFill="1" applyBorder="1"/>
    <xf numFmtId="2" fontId="15" fillId="10" borderId="0" xfId="0" applyNumberFormat="1" applyFont="1" applyFill="1"/>
    <xf numFmtId="165" fontId="15" fillId="10" borderId="0" xfId="0" applyNumberFormat="1" applyFont="1" applyFill="1"/>
    <xf numFmtId="165" fontId="15" fillId="10" borderId="2" xfId="0" applyNumberFormat="1" applyFont="1" applyFill="1" applyBorder="1"/>
    <xf numFmtId="0" fontId="15" fillId="10" borderId="2" xfId="0" applyFont="1" applyFill="1" applyBorder="1"/>
    <xf numFmtId="0" fontId="15" fillId="10" borderId="19" xfId="0" applyFont="1" applyFill="1" applyBorder="1"/>
    <xf numFmtId="0" fontId="15" fillId="10" borderId="1" xfId="0" applyFont="1" applyFill="1" applyBorder="1"/>
    <xf numFmtId="2" fontId="15" fillId="10" borderId="1" xfId="0" applyNumberFormat="1" applyFont="1" applyFill="1" applyBorder="1"/>
    <xf numFmtId="165" fontId="15" fillId="10" borderId="1" xfId="0" applyNumberFormat="1" applyFont="1" applyFill="1" applyBorder="1"/>
    <xf numFmtId="165" fontId="15" fillId="10" borderId="3" xfId="0" applyNumberFormat="1" applyFont="1" applyFill="1" applyBorder="1"/>
    <xf numFmtId="0" fontId="15" fillId="10" borderId="3" xfId="0" applyFont="1" applyFill="1" applyBorder="1"/>
    <xf numFmtId="0" fontId="29" fillId="11" borderId="15" xfId="0" applyFont="1" applyFill="1" applyBorder="1"/>
    <xf numFmtId="0" fontId="15" fillId="11" borderId="16" xfId="0" applyFont="1" applyFill="1" applyBorder="1"/>
    <xf numFmtId="0" fontId="29" fillId="11" borderId="16" xfId="0" applyFont="1" applyFill="1" applyBorder="1"/>
    <xf numFmtId="0" fontId="29" fillId="11" borderId="17" xfId="0" applyFont="1" applyFill="1" applyBorder="1"/>
    <xf numFmtId="0" fontId="15" fillId="11" borderId="18" xfId="0" applyFont="1" applyFill="1" applyBorder="1"/>
    <xf numFmtId="0" fontId="29" fillId="11" borderId="0" xfId="0" applyFont="1" applyFill="1"/>
    <xf numFmtId="0" fontId="15" fillId="11" borderId="0" xfId="0" applyFont="1" applyFill="1"/>
    <xf numFmtId="0" fontId="29" fillId="11" borderId="2" xfId="0" applyFont="1" applyFill="1" applyBorder="1"/>
    <xf numFmtId="2" fontId="15" fillId="11" borderId="0" xfId="0" applyNumberFormat="1" applyFont="1" applyFill="1"/>
    <xf numFmtId="165" fontId="15" fillId="11" borderId="2" xfId="0" applyNumberFormat="1" applyFont="1" applyFill="1" applyBorder="1"/>
    <xf numFmtId="165" fontId="15" fillId="11" borderId="0" xfId="0" applyNumberFormat="1" applyFont="1" applyFill="1"/>
    <xf numFmtId="0" fontId="15" fillId="11" borderId="2" xfId="0" applyFont="1" applyFill="1" applyBorder="1"/>
    <xf numFmtId="0" fontId="15" fillId="11" borderId="19" xfId="0" applyFont="1" applyFill="1" applyBorder="1"/>
    <xf numFmtId="0" fontId="15" fillId="11" borderId="1" xfId="0" applyFont="1" applyFill="1" applyBorder="1"/>
    <xf numFmtId="2" fontId="15" fillId="11" borderId="1" xfId="0" applyNumberFormat="1" applyFont="1" applyFill="1" applyBorder="1"/>
    <xf numFmtId="165" fontId="15" fillId="11" borderId="3" xfId="0" applyNumberFormat="1" applyFont="1" applyFill="1" applyBorder="1"/>
    <xf numFmtId="0" fontId="15" fillId="11" borderId="3" xfId="0" applyFont="1" applyFill="1" applyBorder="1"/>
    <xf numFmtId="0" fontId="29" fillId="12" borderId="15" xfId="0" applyFont="1" applyFill="1" applyBorder="1"/>
    <xf numFmtId="0" fontId="15" fillId="12" borderId="16" xfId="0" applyFont="1" applyFill="1" applyBorder="1"/>
    <xf numFmtId="0" fontId="29" fillId="12" borderId="16" xfId="0" applyFont="1" applyFill="1" applyBorder="1"/>
    <xf numFmtId="0" fontId="29" fillId="12" borderId="17" xfId="0" applyFont="1" applyFill="1" applyBorder="1"/>
    <xf numFmtId="0" fontId="15" fillId="12" borderId="18" xfId="0" applyFont="1" applyFill="1" applyBorder="1"/>
    <xf numFmtId="0" fontId="29" fillId="12" borderId="0" xfId="0" applyFont="1" applyFill="1"/>
    <xf numFmtId="0" fontId="15" fillId="12" borderId="0" xfId="0" applyFont="1" applyFill="1"/>
    <xf numFmtId="0" fontId="29" fillId="12" borderId="2" xfId="0" applyFont="1" applyFill="1" applyBorder="1"/>
    <xf numFmtId="2" fontId="15" fillId="12" borderId="0" xfId="0" applyNumberFormat="1" applyFont="1" applyFill="1"/>
    <xf numFmtId="165" fontId="15" fillId="12" borderId="0" xfId="0" applyNumberFormat="1" applyFont="1" applyFill="1"/>
    <xf numFmtId="0" fontId="15" fillId="12" borderId="2" xfId="0" applyFont="1" applyFill="1" applyBorder="1"/>
    <xf numFmtId="165" fontId="15" fillId="12" borderId="2" xfId="0" applyNumberFormat="1" applyFont="1" applyFill="1" applyBorder="1"/>
    <xf numFmtId="0" fontId="15" fillId="12" borderId="19" xfId="0" applyFont="1" applyFill="1" applyBorder="1"/>
    <xf numFmtId="0" fontId="15" fillId="12" borderId="1" xfId="0" applyFont="1" applyFill="1" applyBorder="1"/>
    <xf numFmtId="2" fontId="15" fillId="12" borderId="1" xfId="0" applyNumberFormat="1" applyFont="1" applyFill="1" applyBorder="1"/>
    <xf numFmtId="165" fontId="15" fillId="12" borderId="1" xfId="0" applyNumberFormat="1" applyFont="1" applyFill="1" applyBorder="1"/>
    <xf numFmtId="0" fontId="15" fillId="12" borderId="3" xfId="0" applyFont="1" applyFill="1" applyBorder="1"/>
    <xf numFmtId="165" fontId="0" fillId="12" borderId="0" xfId="0" applyNumberFormat="1" applyFill="1"/>
    <xf numFmtId="0" fontId="5" fillId="0" borderId="0" xfId="0" applyFont="1"/>
    <xf numFmtId="0" fontId="1" fillId="0" borderId="0" xfId="0" applyFont="1"/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MG1655WT with 20g/L</a:t>
            </a:r>
            <a:r>
              <a:rPr lang="en-US" baseline="0"/>
              <a:t> glucose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388446676821701"/>
          <c:y val="0.16817246812891501"/>
          <c:w val="0.80241280429046702"/>
          <c:h val="0.72309122629489697"/>
        </c:manualLayout>
      </c:layout>
      <c:scatterChart>
        <c:scatterStyle val="lineMarker"/>
        <c:varyColors val="0"/>
        <c:ser>
          <c:idx val="0"/>
          <c:order val="0"/>
          <c:tx>
            <c:v>pH = 6.9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[1]Data!$AG$17:$AG$24</c:f>
                <c:numCache>
                  <c:formatCode>General</c:formatCode>
                  <c:ptCount val="8"/>
                  <c:pt idx="0">
                    <c:v>4.1867847647886914E-3</c:v>
                  </c:pt>
                  <c:pt idx="1">
                    <c:v>9.3541434669348715E-3</c:v>
                  </c:pt>
                  <c:pt idx="2">
                    <c:v>7.6216249361055911E-3</c:v>
                  </c:pt>
                  <c:pt idx="3">
                    <c:v>1.6881745565353514E-2</c:v>
                  </c:pt>
                  <c:pt idx="4">
                    <c:v>1.4719601443879758E-3</c:v>
                  </c:pt>
                  <c:pt idx="5">
                    <c:v>1.9362764954072909E-3</c:v>
                  </c:pt>
                  <c:pt idx="6">
                    <c:v>1.4885675440951022E-3</c:v>
                  </c:pt>
                  <c:pt idx="7">
                    <c:v>9.3364429343657483E-3</c:v>
                  </c:pt>
                </c:numCache>
              </c:numRef>
            </c:plus>
            <c:minus>
              <c:numRef>
                <c:f>[1]Data!$AG$17:$AG$24</c:f>
                <c:numCache>
                  <c:formatCode>General</c:formatCode>
                  <c:ptCount val="8"/>
                  <c:pt idx="0">
                    <c:v>4.1867847647886914E-3</c:v>
                  </c:pt>
                  <c:pt idx="1">
                    <c:v>9.3541434669348715E-3</c:v>
                  </c:pt>
                  <c:pt idx="2">
                    <c:v>7.6216249361055911E-3</c:v>
                  </c:pt>
                  <c:pt idx="3">
                    <c:v>1.6881745565353514E-2</c:v>
                  </c:pt>
                  <c:pt idx="4">
                    <c:v>1.4719601443879758E-3</c:v>
                  </c:pt>
                  <c:pt idx="5">
                    <c:v>1.9362764954072909E-3</c:v>
                  </c:pt>
                  <c:pt idx="6">
                    <c:v>1.4885675440951022E-3</c:v>
                  </c:pt>
                  <c:pt idx="7">
                    <c:v>9.3364429343657483E-3</c:v>
                  </c:pt>
                </c:numCache>
              </c:numRef>
            </c:minus>
          </c:errBars>
          <c:xVal>
            <c:numRef>
              <c:f>[1]Data!$AE$17:$AE$24</c:f>
              <c:numCache>
                <c:formatCode>General</c:formatCode>
                <c:ptCount val="8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0.35</c:v>
                </c:pt>
                <c:pt idx="4">
                  <c:v>0.7</c:v>
                </c:pt>
                <c:pt idx="5">
                  <c:v>1.4</c:v>
                </c:pt>
                <c:pt idx="6">
                  <c:v>3.5</c:v>
                </c:pt>
                <c:pt idx="7">
                  <c:v>7</c:v>
                </c:pt>
              </c:numCache>
            </c:numRef>
          </c:xVal>
          <c:yVal>
            <c:numRef>
              <c:f>[1]Data!$AF$17:$AF$24</c:f>
              <c:numCache>
                <c:formatCode>General</c:formatCode>
                <c:ptCount val="8"/>
                <c:pt idx="0">
                  <c:v>0.549925</c:v>
                </c:pt>
                <c:pt idx="1">
                  <c:v>0.52580000000000005</c:v>
                </c:pt>
                <c:pt idx="2">
                  <c:v>0.55317500000000008</c:v>
                </c:pt>
                <c:pt idx="3">
                  <c:v>0.5554</c:v>
                </c:pt>
                <c:pt idx="4">
                  <c:v>0.45129999999999998</c:v>
                </c:pt>
                <c:pt idx="5">
                  <c:v>0.41197499999999998</c:v>
                </c:pt>
                <c:pt idx="6">
                  <c:v>0.22867499999999999</c:v>
                </c:pt>
                <c:pt idx="7">
                  <c:v>8.0074999999999993E-2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5-4553-8F5B-0F3CD10EA1FD}"/>
            </c:ext>
          </c:extLst>
        </c:ser>
        <c:ser>
          <c:idx val="1"/>
          <c:order val="1"/>
          <c:tx>
            <c:v>pH = 6.0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[1]Data!$AN$17:$AN$25</c:f>
                <c:numCache>
                  <c:formatCode>General</c:formatCode>
                  <c:ptCount val="9"/>
                  <c:pt idx="0">
                    <c:v>6.0000000000000001E-3</c:v>
                  </c:pt>
                  <c:pt idx="1">
                    <c:v>1E-3</c:v>
                  </c:pt>
                  <c:pt idx="2">
                    <c:v>1.0999999999999999E-2</c:v>
                  </c:pt>
                  <c:pt idx="3">
                    <c:v>1E-3</c:v>
                  </c:pt>
                  <c:pt idx="4">
                    <c:v>2E-3</c:v>
                  </c:pt>
                  <c:pt idx="5">
                    <c:v>3.0000000000000001E-3</c:v>
                  </c:pt>
                  <c:pt idx="6">
                    <c:v>2E-3</c:v>
                  </c:pt>
                  <c:pt idx="7">
                    <c:v>0</c:v>
                  </c:pt>
                  <c:pt idx="8">
                    <c:v>3.0000000000000001E-3</c:v>
                  </c:pt>
                </c:numCache>
              </c:numRef>
            </c:plus>
            <c:minus>
              <c:numRef>
                <c:f>[1]Data!$AN$17:$AN$25</c:f>
                <c:numCache>
                  <c:formatCode>General</c:formatCode>
                  <c:ptCount val="9"/>
                  <c:pt idx="0">
                    <c:v>6.0000000000000001E-3</c:v>
                  </c:pt>
                  <c:pt idx="1">
                    <c:v>1E-3</c:v>
                  </c:pt>
                  <c:pt idx="2">
                    <c:v>1.0999999999999999E-2</c:v>
                  </c:pt>
                  <c:pt idx="3">
                    <c:v>1E-3</c:v>
                  </c:pt>
                  <c:pt idx="4">
                    <c:v>2E-3</c:v>
                  </c:pt>
                  <c:pt idx="5">
                    <c:v>3.0000000000000001E-3</c:v>
                  </c:pt>
                  <c:pt idx="6">
                    <c:v>2E-3</c:v>
                  </c:pt>
                  <c:pt idx="7">
                    <c:v>0</c:v>
                  </c:pt>
                  <c:pt idx="8">
                    <c:v>3.0000000000000001E-3</c:v>
                  </c:pt>
                </c:numCache>
              </c:numRef>
            </c:minus>
          </c:errBars>
          <c:xVal>
            <c:numRef>
              <c:f>[1]Data!$AL$17:$AL$25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0.35</c:v>
                </c:pt>
                <c:pt idx="3">
                  <c:v>0.7</c:v>
                </c:pt>
                <c:pt idx="4">
                  <c:v>1.4</c:v>
                </c:pt>
                <c:pt idx="5">
                  <c:v>3.5</c:v>
                </c:pt>
                <c:pt idx="6">
                  <c:v>5.6</c:v>
                </c:pt>
                <c:pt idx="7">
                  <c:v>7</c:v>
                </c:pt>
                <c:pt idx="8">
                  <c:v>10.5</c:v>
                </c:pt>
              </c:numCache>
            </c:numRef>
          </c:xVal>
          <c:yVal>
            <c:numRef>
              <c:f>[1]Data!$AM$17:$AM$25</c:f>
              <c:numCache>
                <c:formatCode>General</c:formatCode>
                <c:ptCount val="9"/>
                <c:pt idx="0">
                  <c:v>0.35699999999999998</c:v>
                </c:pt>
                <c:pt idx="1">
                  <c:v>0.316</c:v>
                </c:pt>
                <c:pt idx="2">
                  <c:v>0.18</c:v>
                </c:pt>
                <c:pt idx="3">
                  <c:v>8.5999999999999993E-2</c:v>
                </c:pt>
                <c:pt idx="4">
                  <c:v>6.6000000000000003E-2</c:v>
                </c:pt>
                <c:pt idx="5">
                  <c:v>2.9000000000000001E-2</c:v>
                </c:pt>
                <c:pt idx="6">
                  <c:v>1.9E-2</c:v>
                </c:pt>
                <c:pt idx="7">
                  <c:v>1.4E-2</c:v>
                </c:pt>
                <c:pt idx="8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5-4553-8F5B-0F3CD10EA1FD}"/>
            </c:ext>
          </c:extLst>
        </c:ser>
        <c:ser>
          <c:idx val="2"/>
          <c:order val="2"/>
          <c:tx>
            <c:v>pH = 5.0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00B05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[1]Data!$AU$17:$AU$25</c:f>
                <c:numCache>
                  <c:formatCode>General</c:formatCode>
                  <c:ptCount val="9"/>
                  <c:pt idx="0">
                    <c:v>4.0000000000000001E-3</c:v>
                  </c:pt>
                  <c:pt idx="1">
                    <c:v>1E-3</c:v>
                  </c:pt>
                  <c:pt idx="2">
                    <c:v>0</c:v>
                  </c:pt>
                  <c:pt idx="3">
                    <c:v>2E-3</c:v>
                  </c:pt>
                  <c:pt idx="4">
                    <c:v>5.0000000000000001E-3</c:v>
                  </c:pt>
                  <c:pt idx="5">
                    <c:v>7.0000000000000001E-3</c:v>
                  </c:pt>
                  <c:pt idx="6">
                    <c:v>4.0000000000000001E-3</c:v>
                  </c:pt>
                  <c:pt idx="7">
                    <c:v>4.0000000000000001E-3</c:v>
                  </c:pt>
                  <c:pt idx="8">
                    <c:v>2E-3</c:v>
                  </c:pt>
                </c:numCache>
              </c:numRef>
            </c:plus>
            <c:minus>
              <c:numRef>
                <c:f>[1]Data!$AU$17:$AU$25</c:f>
                <c:numCache>
                  <c:formatCode>General</c:formatCode>
                  <c:ptCount val="9"/>
                  <c:pt idx="0">
                    <c:v>4.0000000000000001E-3</c:v>
                  </c:pt>
                  <c:pt idx="1">
                    <c:v>1E-3</c:v>
                  </c:pt>
                  <c:pt idx="2">
                    <c:v>0</c:v>
                  </c:pt>
                  <c:pt idx="3">
                    <c:v>2E-3</c:v>
                  </c:pt>
                  <c:pt idx="4">
                    <c:v>5.0000000000000001E-3</c:v>
                  </c:pt>
                  <c:pt idx="5">
                    <c:v>7.0000000000000001E-3</c:v>
                  </c:pt>
                  <c:pt idx="6">
                    <c:v>4.0000000000000001E-3</c:v>
                  </c:pt>
                  <c:pt idx="7">
                    <c:v>4.0000000000000001E-3</c:v>
                  </c:pt>
                  <c:pt idx="8">
                    <c:v>2E-3</c:v>
                  </c:pt>
                </c:numCache>
              </c:numRef>
            </c:minus>
          </c:errBars>
          <c:xVal>
            <c:numRef>
              <c:f>[1]Data!$AS$17:$AS$25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0.35</c:v>
                </c:pt>
                <c:pt idx="3">
                  <c:v>0.7</c:v>
                </c:pt>
                <c:pt idx="4">
                  <c:v>1.4</c:v>
                </c:pt>
                <c:pt idx="5">
                  <c:v>3.5</c:v>
                </c:pt>
                <c:pt idx="6">
                  <c:v>5.6</c:v>
                </c:pt>
                <c:pt idx="7">
                  <c:v>7</c:v>
                </c:pt>
                <c:pt idx="8">
                  <c:v>10.5</c:v>
                </c:pt>
              </c:numCache>
            </c:numRef>
          </c:xVal>
          <c:yVal>
            <c:numRef>
              <c:f>[1]Data!$AT$17:$AT$25</c:f>
              <c:numCache>
                <c:formatCode>General</c:formatCode>
                <c:ptCount val="9"/>
                <c:pt idx="0">
                  <c:v>0.219</c:v>
                </c:pt>
                <c:pt idx="1">
                  <c:v>0.128</c:v>
                </c:pt>
                <c:pt idx="2">
                  <c:v>4.5999999999999999E-2</c:v>
                </c:pt>
                <c:pt idx="3">
                  <c:v>2.3E-2</c:v>
                </c:pt>
                <c:pt idx="4">
                  <c:v>1.9E-2</c:v>
                </c:pt>
                <c:pt idx="5">
                  <c:v>1.4999999999999999E-2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D5-4553-8F5B-0F3CD10EA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67872"/>
        <c:axId val="49368448"/>
      </c:scatterChart>
      <c:valAx>
        <c:axId val="4936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 Concentration (g/L)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68448"/>
        <c:crosses val="autoZero"/>
        <c:crossBetween val="midCat"/>
      </c:valAx>
      <c:valAx>
        <c:axId val="49368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Avg Mu (1/h)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67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589586921427795"/>
          <c:y val="0.30751359014659402"/>
          <c:w val="0.156364686804493"/>
          <c:h val="0.325473322590656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Substrate inhibition at</a:t>
            </a:r>
            <a:r>
              <a:rPr lang="en-US" baseline="0"/>
              <a:t> </a:t>
            </a:r>
            <a:r>
              <a:rPr lang="en-US"/>
              <a:t>pH6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384644694459101"/>
          <c:y val="6.6611205357543599E-2"/>
          <c:w val="0.80241280429046702"/>
          <c:h val="0.836876151127801"/>
        </c:manualLayout>
      </c:layout>
      <c:scatterChart>
        <c:scatterStyle val="lineMarker"/>
        <c:varyColors val="0"/>
        <c:ser>
          <c:idx val="0"/>
          <c:order val="0"/>
          <c:tx>
            <c:v>403G100 0g/L glucose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[1]Data!$AN$52:$AN$60</c:f>
                <c:numCache>
                  <c:formatCode>General</c:formatCode>
                  <c:ptCount val="9"/>
                  <c:pt idx="0">
                    <c:v>1.3683566786477858E-2</c:v>
                  </c:pt>
                  <c:pt idx="1">
                    <c:v>4.1327956639543679E-3</c:v>
                  </c:pt>
                  <c:pt idx="2">
                    <c:v>1.0730486164817201E-2</c:v>
                  </c:pt>
                  <c:pt idx="3">
                    <c:v>1.8244268506392183E-2</c:v>
                  </c:pt>
                  <c:pt idx="4">
                    <c:v>1.8369902921173294E-2</c:v>
                  </c:pt>
                  <c:pt idx="5">
                    <c:v>7.2270325860618843E-3</c:v>
                  </c:pt>
                </c:numCache>
              </c:numRef>
            </c:plus>
            <c:minus>
              <c:numRef>
                <c:f>[1]Data!$AN$52:$AN$60</c:f>
                <c:numCache>
                  <c:formatCode>General</c:formatCode>
                  <c:ptCount val="9"/>
                  <c:pt idx="0">
                    <c:v>1.3683566786477858E-2</c:v>
                  </c:pt>
                  <c:pt idx="1">
                    <c:v>4.1327956639543679E-3</c:v>
                  </c:pt>
                  <c:pt idx="2">
                    <c:v>1.0730486164817201E-2</c:v>
                  </c:pt>
                  <c:pt idx="3">
                    <c:v>1.8244268506392183E-2</c:v>
                  </c:pt>
                  <c:pt idx="4">
                    <c:v>1.8369902921173294E-2</c:v>
                  </c:pt>
                  <c:pt idx="5">
                    <c:v>7.2270325860618843E-3</c:v>
                  </c:pt>
                </c:numCache>
              </c:numRef>
            </c:minus>
          </c:errBars>
          <c:xVal>
            <c:numRef>
              <c:f>[1]Data!$AL$52:$AL$60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0.17499999999999999</c:v>
                </c:pt>
                <c:pt idx="3">
                  <c:v>0.35</c:v>
                </c:pt>
                <c:pt idx="4">
                  <c:v>0.7</c:v>
                </c:pt>
                <c:pt idx="5">
                  <c:v>1.4</c:v>
                </c:pt>
                <c:pt idx="6">
                  <c:v>3.5</c:v>
                </c:pt>
                <c:pt idx="7">
                  <c:v>5.6</c:v>
                </c:pt>
                <c:pt idx="8">
                  <c:v>7</c:v>
                </c:pt>
              </c:numCache>
            </c:numRef>
          </c:xVal>
          <c:yVal>
            <c:numRef>
              <c:f>[1]Data!$AM$52:$AM$60</c:f>
              <c:numCache>
                <c:formatCode>General</c:formatCode>
                <c:ptCount val="9"/>
                <c:pt idx="0">
                  <c:v>3.9799999999999995E-2</c:v>
                </c:pt>
                <c:pt idx="1">
                  <c:v>9.9100000000000008E-2</c:v>
                </c:pt>
                <c:pt idx="2">
                  <c:v>0.13746666666666665</c:v>
                </c:pt>
                <c:pt idx="3">
                  <c:v>0.15826666666666667</c:v>
                </c:pt>
                <c:pt idx="4">
                  <c:v>0.14166666666666669</c:v>
                </c:pt>
                <c:pt idx="5">
                  <c:v>2.6399999999999996E-2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F-4D96-9259-F7FAAAB24C7A}"/>
            </c:ext>
          </c:extLst>
        </c:ser>
        <c:ser>
          <c:idx val="2"/>
          <c:order val="1"/>
          <c:tx>
            <c:v>WT no glucose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00B05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[1]Data!$AN$6:$AN$14</c:f>
                <c:numCache>
                  <c:formatCode>General</c:formatCode>
                  <c:ptCount val="9"/>
                  <c:pt idx="0">
                    <c:v>1.4797634946166227E-2</c:v>
                  </c:pt>
                  <c:pt idx="1">
                    <c:v>8.4480767041972323E-3</c:v>
                  </c:pt>
                  <c:pt idx="2">
                    <c:v>6.1611687202997433E-3</c:v>
                  </c:pt>
                  <c:pt idx="3">
                    <c:v>3.2624121954978927E-3</c:v>
                  </c:pt>
                  <c:pt idx="4">
                    <c:v>2.8513154858766558E-3</c:v>
                  </c:pt>
                  <c:pt idx="5">
                    <c:v>7.563949585589088E-3</c:v>
                  </c:pt>
                  <c:pt idx="6">
                    <c:v>3.8157568056677808E-3</c:v>
                  </c:pt>
                  <c:pt idx="7">
                    <c:v>8.3715789032495803E-3</c:v>
                  </c:pt>
                  <c:pt idx="8">
                    <c:v>1.5071828024496565E-2</c:v>
                  </c:pt>
                </c:numCache>
              </c:numRef>
            </c:plus>
            <c:minus>
              <c:numRef>
                <c:f>[1]Data!$AN$6:$AN$14</c:f>
                <c:numCache>
                  <c:formatCode>General</c:formatCode>
                  <c:ptCount val="9"/>
                  <c:pt idx="0">
                    <c:v>1.4797634946166227E-2</c:v>
                  </c:pt>
                  <c:pt idx="1">
                    <c:v>8.4480767041972323E-3</c:v>
                  </c:pt>
                  <c:pt idx="2">
                    <c:v>6.1611687202997433E-3</c:v>
                  </c:pt>
                  <c:pt idx="3">
                    <c:v>3.2624121954978927E-3</c:v>
                  </c:pt>
                  <c:pt idx="4">
                    <c:v>2.8513154858766558E-3</c:v>
                  </c:pt>
                  <c:pt idx="5">
                    <c:v>7.563949585589088E-3</c:v>
                  </c:pt>
                  <c:pt idx="6">
                    <c:v>3.8157568056677808E-3</c:v>
                  </c:pt>
                  <c:pt idx="7">
                    <c:v>8.3715789032495803E-3</c:v>
                  </c:pt>
                  <c:pt idx="8">
                    <c:v>1.5071828024496565E-2</c:v>
                  </c:pt>
                </c:numCache>
              </c:numRef>
            </c:minus>
          </c:errBars>
          <c:xVal>
            <c:numRef>
              <c:f>[1]Data!$AL$6:$AL$14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0.17499999999999999</c:v>
                </c:pt>
                <c:pt idx="3">
                  <c:v>0.35</c:v>
                </c:pt>
                <c:pt idx="4">
                  <c:v>0.7</c:v>
                </c:pt>
                <c:pt idx="5">
                  <c:v>1.4</c:v>
                </c:pt>
                <c:pt idx="6">
                  <c:v>3.5</c:v>
                </c:pt>
                <c:pt idx="7">
                  <c:v>5.6</c:v>
                </c:pt>
                <c:pt idx="8">
                  <c:v>7</c:v>
                </c:pt>
              </c:numCache>
            </c:numRef>
          </c:xVal>
          <c:yVal>
            <c:numRef>
              <c:f>[1]Data!$AM$6:$AM$14</c:f>
              <c:numCache>
                <c:formatCode>General</c:formatCode>
                <c:ptCount val="9"/>
                <c:pt idx="0">
                  <c:v>6.8000000000000005E-3</c:v>
                </c:pt>
                <c:pt idx="1">
                  <c:v>0.1368</c:v>
                </c:pt>
                <c:pt idx="2">
                  <c:v>0.2016</c:v>
                </c:pt>
                <c:pt idx="3">
                  <c:v>0.19266666666666665</c:v>
                </c:pt>
                <c:pt idx="4">
                  <c:v>0.14419999999999999</c:v>
                </c:pt>
                <c:pt idx="5">
                  <c:v>8.0166666666666664E-2</c:v>
                </c:pt>
                <c:pt idx="6">
                  <c:v>5.7100000000000005E-2</c:v>
                </c:pt>
                <c:pt idx="7">
                  <c:v>3.0533333333333332E-2</c:v>
                </c:pt>
                <c:pt idx="8">
                  <c:v>8.3999999999999995E-3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F-4D96-9259-F7FAAAB2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25632"/>
        <c:axId val="549326208"/>
      </c:scatterChart>
      <c:valAx>
        <c:axId val="54932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 Concentration (g/L)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326208"/>
        <c:crosses val="autoZero"/>
        <c:crossBetween val="midCat"/>
      </c:valAx>
      <c:valAx>
        <c:axId val="5493262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Avg Mu (1/h)</a:t>
                </a:r>
              </a:p>
              <a:p>
                <a:pPr>
                  <a:defRPr b="1"/>
                </a:pPr>
                <a:endParaRPr lang="en-US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325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589586921427795"/>
          <c:y val="0.30751359014659402"/>
          <c:w val="0.23009860926075101"/>
          <c:h val="0.310866897696375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SuppSheet23!$C$6:$C$13</c:f>
              <c:numCache>
                <c:formatCode>0.0</c:formatCode>
                <c:ptCount val="8"/>
                <c:pt idx="0">
                  <c:v>0</c:v>
                </c:pt>
                <c:pt idx="1">
                  <c:v>1.6333333332440816</c:v>
                </c:pt>
                <c:pt idx="2">
                  <c:v>3.566666666592937</c:v>
                </c:pt>
                <c:pt idx="3">
                  <c:v>5.3333333332557231</c:v>
                </c:pt>
                <c:pt idx="4">
                  <c:v>7.1166666666395031</c:v>
                </c:pt>
                <c:pt idx="5">
                  <c:v>9.2166666666744277</c:v>
                </c:pt>
                <c:pt idx="6">
                  <c:v>12.616666666581295</c:v>
                </c:pt>
                <c:pt idx="7">
                  <c:v>15.816666666709352</c:v>
                </c:pt>
              </c:numCache>
            </c:numRef>
          </c:xVal>
          <c:yVal>
            <c:numRef>
              <c:f>SuppSheet23!$D$6:$D$13</c:f>
              <c:numCache>
                <c:formatCode>0.000</c:formatCode>
                <c:ptCount val="8"/>
                <c:pt idx="0">
                  <c:v>4.3999999999999997E-2</c:v>
                </c:pt>
                <c:pt idx="1">
                  <c:v>5.3999999999999999E-2</c:v>
                </c:pt>
                <c:pt idx="2">
                  <c:v>8.5000000000000006E-2</c:v>
                </c:pt>
                <c:pt idx="3">
                  <c:v>0.151</c:v>
                </c:pt>
                <c:pt idx="4">
                  <c:v>0.187</c:v>
                </c:pt>
                <c:pt idx="5">
                  <c:v>0.19400000000000001</c:v>
                </c:pt>
                <c:pt idx="6">
                  <c:v>0.19</c:v>
                </c:pt>
                <c:pt idx="7">
                  <c:v>0.186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1-45E6-BA91-89210113BF8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SuppSheet23!$C$6:$C$13</c:f>
              <c:numCache>
                <c:formatCode>0.0</c:formatCode>
                <c:ptCount val="8"/>
                <c:pt idx="0">
                  <c:v>0</c:v>
                </c:pt>
                <c:pt idx="1">
                  <c:v>1.6333333332440816</c:v>
                </c:pt>
                <c:pt idx="2">
                  <c:v>3.566666666592937</c:v>
                </c:pt>
                <c:pt idx="3">
                  <c:v>5.3333333332557231</c:v>
                </c:pt>
                <c:pt idx="4">
                  <c:v>7.1166666666395031</c:v>
                </c:pt>
                <c:pt idx="5">
                  <c:v>9.2166666666744277</c:v>
                </c:pt>
                <c:pt idx="6">
                  <c:v>12.616666666581295</c:v>
                </c:pt>
                <c:pt idx="7">
                  <c:v>15.816666666709352</c:v>
                </c:pt>
              </c:numCache>
            </c:numRef>
          </c:xVal>
          <c:yVal>
            <c:numRef>
              <c:f>SuppSheet23!$E$6:$E$13</c:f>
              <c:numCache>
                <c:formatCode>0.000</c:formatCode>
                <c:ptCount val="8"/>
                <c:pt idx="0">
                  <c:v>4.2999999999999997E-2</c:v>
                </c:pt>
                <c:pt idx="1">
                  <c:v>4.7E-2</c:v>
                </c:pt>
                <c:pt idx="2">
                  <c:v>6.7000000000000004E-2</c:v>
                </c:pt>
                <c:pt idx="3">
                  <c:v>0.106</c:v>
                </c:pt>
                <c:pt idx="4">
                  <c:v>0.158</c:v>
                </c:pt>
                <c:pt idx="5">
                  <c:v>0.17499999999999999</c:v>
                </c:pt>
                <c:pt idx="6">
                  <c:v>0.17799999999999999</c:v>
                </c:pt>
                <c:pt idx="7">
                  <c:v>0.17299999999999999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D1-45E6-BA91-89210113BF8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SuppSheet23!$C$6:$C$13</c:f>
              <c:numCache>
                <c:formatCode>0.0</c:formatCode>
                <c:ptCount val="8"/>
                <c:pt idx="0">
                  <c:v>0</c:v>
                </c:pt>
                <c:pt idx="1">
                  <c:v>1.6333333332440816</c:v>
                </c:pt>
                <c:pt idx="2">
                  <c:v>3.566666666592937</c:v>
                </c:pt>
                <c:pt idx="3">
                  <c:v>5.3333333332557231</c:v>
                </c:pt>
                <c:pt idx="4">
                  <c:v>7.1166666666395031</c:v>
                </c:pt>
                <c:pt idx="5">
                  <c:v>9.2166666666744277</c:v>
                </c:pt>
                <c:pt idx="6">
                  <c:v>12.616666666581295</c:v>
                </c:pt>
                <c:pt idx="7">
                  <c:v>15.816666666709352</c:v>
                </c:pt>
              </c:numCache>
            </c:numRef>
          </c:xVal>
          <c:yVal>
            <c:numRef>
              <c:f>SuppSheet23!$F$6:$F$13</c:f>
              <c:numCache>
                <c:formatCode>0.000</c:formatCode>
                <c:ptCount val="8"/>
                <c:pt idx="0">
                  <c:v>4.2000000000000003E-2</c:v>
                </c:pt>
                <c:pt idx="1">
                  <c:v>5.1999999999999998E-2</c:v>
                </c:pt>
                <c:pt idx="2">
                  <c:v>7.4999999999999997E-2</c:v>
                </c:pt>
                <c:pt idx="3">
                  <c:v>0.128</c:v>
                </c:pt>
                <c:pt idx="4">
                  <c:v>0.184</c:v>
                </c:pt>
                <c:pt idx="5">
                  <c:v>0.19700000000000001</c:v>
                </c:pt>
                <c:pt idx="6">
                  <c:v>0.193</c:v>
                </c:pt>
                <c:pt idx="7">
                  <c:v>0.189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D1-45E6-BA91-89210113B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87407"/>
        <c:axId val="695985327"/>
      </c:scatterChart>
      <c:valAx>
        <c:axId val="69598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5327"/>
        <c:crosses val="autoZero"/>
        <c:crossBetween val="midCat"/>
      </c:valAx>
      <c:valAx>
        <c:axId val="6959853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SuppSheet23!$C$6:$C$13</c:f>
              <c:numCache>
                <c:formatCode>0.0</c:formatCode>
                <c:ptCount val="8"/>
                <c:pt idx="0">
                  <c:v>0</c:v>
                </c:pt>
                <c:pt idx="1">
                  <c:v>1.6333333332440816</c:v>
                </c:pt>
                <c:pt idx="2">
                  <c:v>3.566666666592937</c:v>
                </c:pt>
                <c:pt idx="3">
                  <c:v>5.3333333332557231</c:v>
                </c:pt>
                <c:pt idx="4">
                  <c:v>7.1166666666395031</c:v>
                </c:pt>
                <c:pt idx="5">
                  <c:v>9.2166666666744277</c:v>
                </c:pt>
                <c:pt idx="6">
                  <c:v>12.616666666581295</c:v>
                </c:pt>
                <c:pt idx="7">
                  <c:v>15.816666666709352</c:v>
                </c:pt>
              </c:numCache>
            </c:numRef>
          </c:xVal>
          <c:yVal>
            <c:numRef>
              <c:f>SuppSheet23!$J$6:$J$13</c:f>
              <c:numCache>
                <c:formatCode>0.00</c:formatCode>
                <c:ptCount val="8"/>
                <c:pt idx="0">
                  <c:v>6.48</c:v>
                </c:pt>
                <c:pt idx="1">
                  <c:v>6.39</c:v>
                </c:pt>
                <c:pt idx="2">
                  <c:v>6.27</c:v>
                </c:pt>
                <c:pt idx="3">
                  <c:v>5.82</c:v>
                </c:pt>
                <c:pt idx="4">
                  <c:v>5.0599999999999996</c:v>
                </c:pt>
                <c:pt idx="5">
                  <c:v>4.6500000000000004</c:v>
                </c:pt>
                <c:pt idx="6">
                  <c:v>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A-4D1D-A108-6775487750D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SuppSheet23!$C$6:$C$13</c:f>
              <c:numCache>
                <c:formatCode>0.0</c:formatCode>
                <c:ptCount val="8"/>
                <c:pt idx="0">
                  <c:v>0</c:v>
                </c:pt>
                <c:pt idx="1">
                  <c:v>1.6333333332440816</c:v>
                </c:pt>
                <c:pt idx="2">
                  <c:v>3.566666666592937</c:v>
                </c:pt>
                <c:pt idx="3">
                  <c:v>5.3333333332557231</c:v>
                </c:pt>
                <c:pt idx="4">
                  <c:v>7.1166666666395031</c:v>
                </c:pt>
                <c:pt idx="5">
                  <c:v>9.2166666666744277</c:v>
                </c:pt>
                <c:pt idx="6">
                  <c:v>12.616666666581295</c:v>
                </c:pt>
                <c:pt idx="7">
                  <c:v>15.816666666709352</c:v>
                </c:pt>
              </c:numCache>
            </c:numRef>
          </c:xVal>
          <c:yVal>
            <c:numRef>
              <c:f>SuppSheet23!$K$6:$K$13</c:f>
              <c:numCache>
                <c:formatCode>0.00</c:formatCode>
                <c:ptCount val="8"/>
                <c:pt idx="0">
                  <c:v>6.5</c:v>
                </c:pt>
                <c:pt idx="1">
                  <c:v>6.44</c:v>
                </c:pt>
                <c:pt idx="2">
                  <c:v>6.4</c:v>
                </c:pt>
                <c:pt idx="3">
                  <c:v>6.18</c:v>
                </c:pt>
                <c:pt idx="4">
                  <c:v>5.78</c:v>
                </c:pt>
                <c:pt idx="5">
                  <c:v>5.05</c:v>
                </c:pt>
                <c:pt idx="6">
                  <c:v>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A-4D1D-A108-6775487750D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SuppSheet23!$C$6:$C$13</c:f>
              <c:numCache>
                <c:formatCode>0.0</c:formatCode>
                <c:ptCount val="8"/>
                <c:pt idx="0">
                  <c:v>0</c:v>
                </c:pt>
                <c:pt idx="1">
                  <c:v>1.6333333332440816</c:v>
                </c:pt>
                <c:pt idx="2">
                  <c:v>3.566666666592937</c:v>
                </c:pt>
                <c:pt idx="3">
                  <c:v>5.3333333332557231</c:v>
                </c:pt>
                <c:pt idx="4">
                  <c:v>7.1166666666395031</c:v>
                </c:pt>
                <c:pt idx="5">
                  <c:v>9.2166666666744277</c:v>
                </c:pt>
                <c:pt idx="6">
                  <c:v>12.616666666581295</c:v>
                </c:pt>
                <c:pt idx="7">
                  <c:v>15.816666666709352</c:v>
                </c:pt>
              </c:numCache>
            </c:numRef>
          </c:xVal>
          <c:yVal>
            <c:numRef>
              <c:f>SuppSheet23!$L$6:$L$13</c:f>
              <c:numCache>
                <c:formatCode>0.00</c:formatCode>
                <c:ptCount val="8"/>
                <c:pt idx="0">
                  <c:v>6.49</c:v>
                </c:pt>
                <c:pt idx="1">
                  <c:v>6.44</c:v>
                </c:pt>
                <c:pt idx="2">
                  <c:v>6.35</c:v>
                </c:pt>
                <c:pt idx="3">
                  <c:v>6</c:v>
                </c:pt>
                <c:pt idx="4">
                  <c:v>5.34</c:v>
                </c:pt>
                <c:pt idx="5">
                  <c:v>4.66</c:v>
                </c:pt>
                <c:pt idx="6">
                  <c:v>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2A-4D1D-A108-6775487750D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SuppSheet23!$C$6:$C$13</c:f>
              <c:numCache>
                <c:formatCode>0.0</c:formatCode>
                <c:ptCount val="8"/>
                <c:pt idx="0">
                  <c:v>0</c:v>
                </c:pt>
                <c:pt idx="1">
                  <c:v>1.6333333332440816</c:v>
                </c:pt>
                <c:pt idx="2">
                  <c:v>3.566666666592937</c:v>
                </c:pt>
                <c:pt idx="3">
                  <c:v>5.3333333332557231</c:v>
                </c:pt>
                <c:pt idx="4">
                  <c:v>7.1166666666395031</c:v>
                </c:pt>
                <c:pt idx="5">
                  <c:v>9.2166666666744277</c:v>
                </c:pt>
                <c:pt idx="6">
                  <c:v>12.616666666581295</c:v>
                </c:pt>
                <c:pt idx="7">
                  <c:v>15.816666666709352</c:v>
                </c:pt>
              </c:numCache>
            </c:numRef>
          </c:xVal>
          <c:yVal>
            <c:numRef>
              <c:f>SuppSheet23!$M$6:$M$13</c:f>
              <c:numCache>
                <c:formatCode>0.00</c:formatCode>
                <c:ptCount val="8"/>
                <c:pt idx="0">
                  <c:v>6.53</c:v>
                </c:pt>
                <c:pt idx="1">
                  <c:v>6.54</c:v>
                </c:pt>
                <c:pt idx="2">
                  <c:v>6.54</c:v>
                </c:pt>
                <c:pt idx="3">
                  <c:v>6.52</c:v>
                </c:pt>
                <c:pt idx="4">
                  <c:v>6.54</c:v>
                </c:pt>
                <c:pt idx="5">
                  <c:v>6.52</c:v>
                </c:pt>
                <c:pt idx="6">
                  <c:v>6.51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2A-4D1D-A108-677548775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87407"/>
        <c:axId val="695985327"/>
      </c:scatterChart>
      <c:valAx>
        <c:axId val="69598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5327"/>
        <c:crosses val="autoZero"/>
        <c:crossBetween val="midCat"/>
      </c:valAx>
      <c:valAx>
        <c:axId val="6959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409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SuppSheet23!$AP$6:$AP$11</c:f>
                <c:numCache>
                  <c:formatCode>General</c:formatCode>
                  <c:ptCount val="6"/>
                  <c:pt idx="0">
                    <c:v>3.5630942213364956E-2</c:v>
                  </c:pt>
                  <c:pt idx="1">
                    <c:v>5.9643728409819165E-2</c:v>
                  </c:pt>
                  <c:pt idx="2">
                    <c:v>6.9081484062095536E-2</c:v>
                  </c:pt>
                  <c:pt idx="3">
                    <c:v>9.513045371614523E-2</c:v>
                  </c:pt>
                  <c:pt idx="4">
                    <c:v>5.4026648397294187E-2</c:v>
                  </c:pt>
                  <c:pt idx="5">
                    <c:v>2.2302224041367367E-2</c:v>
                  </c:pt>
                </c:numCache>
              </c:numRef>
            </c:plus>
            <c:minus>
              <c:numRef>
                <c:f>SuppSheet23!$AP$6:$AP$11</c:f>
                <c:numCache>
                  <c:formatCode>General</c:formatCode>
                  <c:ptCount val="6"/>
                  <c:pt idx="0">
                    <c:v>3.5630942213364956E-2</c:v>
                  </c:pt>
                  <c:pt idx="1">
                    <c:v>5.9643728409819165E-2</c:v>
                  </c:pt>
                  <c:pt idx="2">
                    <c:v>6.9081484062095536E-2</c:v>
                  </c:pt>
                  <c:pt idx="3">
                    <c:v>9.513045371614523E-2</c:v>
                  </c:pt>
                  <c:pt idx="4">
                    <c:v>5.4026648397294187E-2</c:v>
                  </c:pt>
                  <c:pt idx="5">
                    <c:v>2.2302224041367367E-2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SuppSheet23!$C$6:$C$11</c:f>
              <c:numCache>
                <c:formatCode>0.0</c:formatCode>
                <c:ptCount val="6"/>
                <c:pt idx="0">
                  <c:v>0</c:v>
                </c:pt>
                <c:pt idx="1">
                  <c:v>1.6333333332440816</c:v>
                </c:pt>
                <c:pt idx="2">
                  <c:v>3.566666666592937</c:v>
                </c:pt>
                <c:pt idx="3">
                  <c:v>5.3333333332557231</c:v>
                </c:pt>
                <c:pt idx="4">
                  <c:v>7.1166666666395031</c:v>
                </c:pt>
                <c:pt idx="5">
                  <c:v>9.2166666666744277</c:v>
                </c:pt>
              </c:numCache>
            </c:numRef>
          </c:xVal>
          <c:yVal>
            <c:numRef>
              <c:f>SuppSheet23!$AO$6:$AO$11</c:f>
              <c:numCache>
                <c:formatCode>0.00</c:formatCode>
                <c:ptCount val="6"/>
                <c:pt idx="0">
                  <c:v>0.30459913620376439</c:v>
                </c:pt>
                <c:pt idx="1">
                  <c:v>0.36686507936507939</c:v>
                </c:pt>
                <c:pt idx="2">
                  <c:v>0.3509347656917266</c:v>
                </c:pt>
                <c:pt idx="3">
                  <c:v>0.47312185488590969</c:v>
                </c:pt>
                <c:pt idx="4">
                  <c:v>0.48962873051654049</c:v>
                </c:pt>
                <c:pt idx="5">
                  <c:v>0.50997606686831765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9-4F18-A642-069BB89CC8E9}"/>
            </c:ext>
          </c:extLst>
        </c:ser>
        <c:ser>
          <c:idx val="1"/>
          <c:order val="1"/>
          <c:tx>
            <c:v>403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SuppSheet23!$AU$6:$AU$11</c:f>
                <c:numCache>
                  <c:formatCode>General</c:formatCode>
                  <c:ptCount val="6"/>
                  <c:pt idx="0">
                    <c:v>3.563094221336497E-2</c:v>
                  </c:pt>
                  <c:pt idx="1">
                    <c:v>5.9643728409819755E-2</c:v>
                  </c:pt>
                  <c:pt idx="2">
                    <c:v>6.908148406209548E-2</c:v>
                  </c:pt>
                  <c:pt idx="3">
                    <c:v>9.5130453716144939E-2</c:v>
                  </c:pt>
                  <c:pt idx="4">
                    <c:v>5.402664839729418E-2</c:v>
                  </c:pt>
                  <c:pt idx="5">
                    <c:v>2.2302224041367398E-2</c:v>
                  </c:pt>
                </c:numCache>
              </c:numRef>
            </c:plus>
            <c:minus>
              <c:numRef>
                <c:f>SuppSheet23!$AU$6:$AU$11</c:f>
                <c:numCache>
                  <c:formatCode>General</c:formatCode>
                  <c:ptCount val="6"/>
                  <c:pt idx="0">
                    <c:v>3.563094221336497E-2</c:v>
                  </c:pt>
                  <c:pt idx="1">
                    <c:v>5.9643728409819755E-2</c:v>
                  </c:pt>
                  <c:pt idx="2">
                    <c:v>6.908148406209548E-2</c:v>
                  </c:pt>
                  <c:pt idx="3">
                    <c:v>9.5130453716144939E-2</c:v>
                  </c:pt>
                  <c:pt idx="4">
                    <c:v>5.402664839729418E-2</c:v>
                  </c:pt>
                  <c:pt idx="5">
                    <c:v>2.2302224041367398E-2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SuppSheet23!$C$6:$C$11</c:f>
              <c:numCache>
                <c:formatCode>0.0</c:formatCode>
                <c:ptCount val="6"/>
                <c:pt idx="0">
                  <c:v>0</c:v>
                </c:pt>
                <c:pt idx="1">
                  <c:v>1.6333333332440816</c:v>
                </c:pt>
                <c:pt idx="2">
                  <c:v>3.566666666592937</c:v>
                </c:pt>
                <c:pt idx="3">
                  <c:v>5.3333333332557231</c:v>
                </c:pt>
                <c:pt idx="4">
                  <c:v>7.1166666666395031</c:v>
                </c:pt>
                <c:pt idx="5">
                  <c:v>9.2166666666744277</c:v>
                </c:pt>
              </c:numCache>
            </c:numRef>
          </c:xVal>
          <c:yVal>
            <c:numRef>
              <c:f>SuppSheet23!$AT$6:$AT$11</c:f>
              <c:numCache>
                <c:formatCode>0.00</c:formatCode>
                <c:ptCount val="6"/>
                <c:pt idx="0">
                  <c:v>0.69540086379623567</c:v>
                </c:pt>
                <c:pt idx="1">
                  <c:v>0.63313492063492061</c:v>
                </c:pt>
                <c:pt idx="2">
                  <c:v>0.64906523430827334</c:v>
                </c:pt>
                <c:pt idx="3">
                  <c:v>0.52687814511409037</c:v>
                </c:pt>
                <c:pt idx="4">
                  <c:v>0.51037126948345957</c:v>
                </c:pt>
                <c:pt idx="5">
                  <c:v>0.49002393313168241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9-4F18-A642-069BB89CC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10856"/>
        <c:axId val="546609216"/>
      </c:scatterChart>
      <c:valAx>
        <c:axId val="5466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09216"/>
        <c:crosses val="autoZero"/>
        <c:crossBetween val="midCat"/>
      </c:valAx>
      <c:valAx>
        <c:axId val="5466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1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SuppSheet23!$C$6:$C$13</c:f>
              <c:numCache>
                <c:formatCode>0.0</c:formatCode>
                <c:ptCount val="8"/>
                <c:pt idx="0">
                  <c:v>0</c:v>
                </c:pt>
                <c:pt idx="1">
                  <c:v>1.6333333332440816</c:v>
                </c:pt>
                <c:pt idx="2">
                  <c:v>3.566666666592937</c:v>
                </c:pt>
                <c:pt idx="3">
                  <c:v>5.3333333332557231</c:v>
                </c:pt>
                <c:pt idx="4">
                  <c:v>7.1166666666395031</c:v>
                </c:pt>
                <c:pt idx="5">
                  <c:v>9.2166666666744277</c:v>
                </c:pt>
                <c:pt idx="6">
                  <c:v>12.616666666581295</c:v>
                </c:pt>
                <c:pt idx="7">
                  <c:v>15.816666666709352</c:v>
                </c:pt>
              </c:numCache>
            </c:numRef>
          </c:xVal>
          <c:yVal>
            <c:numRef>
              <c:f>SuppSheet23!$D$6:$D$13</c:f>
              <c:numCache>
                <c:formatCode>0.000</c:formatCode>
                <c:ptCount val="8"/>
                <c:pt idx="0">
                  <c:v>4.3999999999999997E-2</c:v>
                </c:pt>
                <c:pt idx="1">
                  <c:v>5.3999999999999999E-2</c:v>
                </c:pt>
                <c:pt idx="2">
                  <c:v>8.5000000000000006E-2</c:v>
                </c:pt>
                <c:pt idx="3">
                  <c:v>0.151</c:v>
                </c:pt>
                <c:pt idx="4">
                  <c:v>0.187</c:v>
                </c:pt>
                <c:pt idx="5">
                  <c:v>0.19400000000000001</c:v>
                </c:pt>
                <c:pt idx="6">
                  <c:v>0.19</c:v>
                </c:pt>
                <c:pt idx="7">
                  <c:v>0.186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4-4837-A1A5-5BFD7EA8F10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SuppSheet23!$C$6:$C$13</c:f>
              <c:numCache>
                <c:formatCode>0.0</c:formatCode>
                <c:ptCount val="8"/>
                <c:pt idx="0">
                  <c:v>0</c:v>
                </c:pt>
                <c:pt idx="1">
                  <c:v>1.6333333332440816</c:v>
                </c:pt>
                <c:pt idx="2">
                  <c:v>3.566666666592937</c:v>
                </c:pt>
                <c:pt idx="3">
                  <c:v>5.3333333332557231</c:v>
                </c:pt>
                <c:pt idx="4">
                  <c:v>7.1166666666395031</c:v>
                </c:pt>
                <c:pt idx="5">
                  <c:v>9.2166666666744277</c:v>
                </c:pt>
                <c:pt idx="6">
                  <c:v>12.616666666581295</c:v>
                </c:pt>
                <c:pt idx="7">
                  <c:v>15.816666666709352</c:v>
                </c:pt>
              </c:numCache>
            </c:numRef>
          </c:xVal>
          <c:yVal>
            <c:numRef>
              <c:f>SuppSheet23!$E$6:$E$13</c:f>
              <c:numCache>
                <c:formatCode>0.000</c:formatCode>
                <c:ptCount val="8"/>
                <c:pt idx="0">
                  <c:v>4.2999999999999997E-2</c:v>
                </c:pt>
                <c:pt idx="1">
                  <c:v>4.7E-2</c:v>
                </c:pt>
                <c:pt idx="2">
                  <c:v>6.7000000000000004E-2</c:v>
                </c:pt>
                <c:pt idx="3">
                  <c:v>0.106</c:v>
                </c:pt>
                <c:pt idx="4">
                  <c:v>0.158</c:v>
                </c:pt>
                <c:pt idx="5">
                  <c:v>0.17499999999999999</c:v>
                </c:pt>
                <c:pt idx="6">
                  <c:v>0.17799999999999999</c:v>
                </c:pt>
                <c:pt idx="7">
                  <c:v>0.17299999999999999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14-4837-A1A5-5BFD7EA8F10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SuppSheet23!$C$6:$C$13</c:f>
              <c:numCache>
                <c:formatCode>0.0</c:formatCode>
                <c:ptCount val="8"/>
                <c:pt idx="0">
                  <c:v>0</c:v>
                </c:pt>
                <c:pt idx="1">
                  <c:v>1.6333333332440816</c:v>
                </c:pt>
                <c:pt idx="2">
                  <c:v>3.566666666592937</c:v>
                </c:pt>
                <c:pt idx="3">
                  <c:v>5.3333333332557231</c:v>
                </c:pt>
                <c:pt idx="4">
                  <c:v>7.1166666666395031</c:v>
                </c:pt>
                <c:pt idx="5">
                  <c:v>9.2166666666744277</c:v>
                </c:pt>
                <c:pt idx="6">
                  <c:v>12.616666666581295</c:v>
                </c:pt>
                <c:pt idx="7">
                  <c:v>15.816666666709352</c:v>
                </c:pt>
              </c:numCache>
            </c:numRef>
          </c:xVal>
          <c:yVal>
            <c:numRef>
              <c:f>SuppSheet23!$F$6:$F$13</c:f>
              <c:numCache>
                <c:formatCode>0.000</c:formatCode>
                <c:ptCount val="8"/>
                <c:pt idx="0">
                  <c:v>4.2000000000000003E-2</c:v>
                </c:pt>
                <c:pt idx="1">
                  <c:v>5.1999999999999998E-2</c:v>
                </c:pt>
                <c:pt idx="2">
                  <c:v>7.4999999999999997E-2</c:v>
                </c:pt>
                <c:pt idx="3">
                  <c:v>0.128</c:v>
                </c:pt>
                <c:pt idx="4">
                  <c:v>0.184</c:v>
                </c:pt>
                <c:pt idx="5">
                  <c:v>0.19700000000000001</c:v>
                </c:pt>
                <c:pt idx="6">
                  <c:v>0.193</c:v>
                </c:pt>
                <c:pt idx="7">
                  <c:v>0.189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14-4837-A1A5-5BFD7EA8F10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SuppSheet23!$C$6:$C$13</c:f>
              <c:numCache>
                <c:formatCode>0.0</c:formatCode>
                <c:ptCount val="8"/>
                <c:pt idx="0">
                  <c:v>0</c:v>
                </c:pt>
                <c:pt idx="1">
                  <c:v>1.6333333332440816</c:v>
                </c:pt>
                <c:pt idx="2">
                  <c:v>3.566666666592937</c:v>
                </c:pt>
                <c:pt idx="3">
                  <c:v>5.3333333332557231</c:v>
                </c:pt>
                <c:pt idx="4">
                  <c:v>7.1166666666395031</c:v>
                </c:pt>
                <c:pt idx="5">
                  <c:v>9.2166666666744277</c:v>
                </c:pt>
                <c:pt idx="6">
                  <c:v>12.616666666581295</c:v>
                </c:pt>
                <c:pt idx="7">
                  <c:v>15.816666666709352</c:v>
                </c:pt>
              </c:numCache>
            </c:numRef>
          </c:xVal>
          <c:yVal>
            <c:numRef>
              <c:f>SuppSheet23!$G$6:$G$13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2E-3</c:v>
                </c:pt>
                <c:pt idx="7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14-4837-A1A5-5BFD7EA8F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87407"/>
        <c:axId val="695985327"/>
      </c:scatterChart>
      <c:valAx>
        <c:axId val="69598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5327"/>
        <c:crosses val="autoZero"/>
        <c:crossBetween val="midCat"/>
      </c:valAx>
      <c:valAx>
        <c:axId val="6959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SuppSheet24!$C$6:$C$13</c:f>
              <c:numCache>
                <c:formatCode>0.0</c:formatCode>
                <c:ptCount val="8"/>
                <c:pt idx="0">
                  <c:v>0</c:v>
                </c:pt>
                <c:pt idx="1">
                  <c:v>2.0833333333139308</c:v>
                </c:pt>
                <c:pt idx="2">
                  <c:v>3.8999999999650754</c:v>
                </c:pt>
                <c:pt idx="3">
                  <c:v>5.6166666666395031</c:v>
                </c:pt>
                <c:pt idx="4">
                  <c:v>7.683333333407063</c:v>
                </c:pt>
                <c:pt idx="5">
                  <c:v>9.3333333333721384</c:v>
                </c:pt>
                <c:pt idx="6">
                  <c:v>11.700000000069849</c:v>
                </c:pt>
                <c:pt idx="7">
                  <c:v>15.783333333267365</c:v>
                </c:pt>
              </c:numCache>
            </c:numRef>
          </c:xVal>
          <c:yVal>
            <c:numRef>
              <c:f>SuppSheet24!$D$6:$D$13</c:f>
              <c:numCache>
                <c:formatCode>0.000</c:formatCode>
                <c:ptCount val="8"/>
                <c:pt idx="0">
                  <c:v>4.3999999999999997E-2</c:v>
                </c:pt>
                <c:pt idx="1">
                  <c:v>7.8E-2</c:v>
                </c:pt>
                <c:pt idx="2">
                  <c:v>0.13</c:v>
                </c:pt>
                <c:pt idx="3">
                  <c:v>0.20599999999999999</c:v>
                </c:pt>
                <c:pt idx="4">
                  <c:v>0.22600000000000001</c:v>
                </c:pt>
                <c:pt idx="5">
                  <c:v>0.22500000000000001</c:v>
                </c:pt>
                <c:pt idx="6">
                  <c:v>0.218</c:v>
                </c:pt>
                <c:pt idx="7">
                  <c:v>0.20899999999999999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E-4267-AC79-3F8EBA9B156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SuppSheet24!$C$6:$C$13</c:f>
              <c:numCache>
                <c:formatCode>0.0</c:formatCode>
                <c:ptCount val="8"/>
                <c:pt idx="0">
                  <c:v>0</c:v>
                </c:pt>
                <c:pt idx="1">
                  <c:v>2.0833333333139308</c:v>
                </c:pt>
                <c:pt idx="2">
                  <c:v>3.8999999999650754</c:v>
                </c:pt>
                <c:pt idx="3">
                  <c:v>5.6166666666395031</c:v>
                </c:pt>
                <c:pt idx="4">
                  <c:v>7.683333333407063</c:v>
                </c:pt>
                <c:pt idx="5">
                  <c:v>9.3333333333721384</c:v>
                </c:pt>
                <c:pt idx="6">
                  <c:v>11.700000000069849</c:v>
                </c:pt>
                <c:pt idx="7">
                  <c:v>15.783333333267365</c:v>
                </c:pt>
              </c:numCache>
            </c:numRef>
          </c:xVal>
          <c:yVal>
            <c:numRef>
              <c:f>SuppSheet24!$E$6:$E$13</c:f>
              <c:numCache>
                <c:formatCode>0.000</c:formatCode>
                <c:ptCount val="8"/>
                <c:pt idx="0">
                  <c:v>4.2999999999999997E-2</c:v>
                </c:pt>
                <c:pt idx="1">
                  <c:v>7.2999999999999995E-2</c:v>
                </c:pt>
                <c:pt idx="2">
                  <c:v>0.12</c:v>
                </c:pt>
                <c:pt idx="3">
                  <c:v>0.17699999999999999</c:v>
                </c:pt>
                <c:pt idx="4">
                  <c:v>0.20100000000000001</c:v>
                </c:pt>
                <c:pt idx="5">
                  <c:v>0.20300000000000001</c:v>
                </c:pt>
                <c:pt idx="6">
                  <c:v>0.20100000000000001</c:v>
                </c:pt>
                <c:pt idx="7">
                  <c:v>0.192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E-4267-AC79-3F8EBA9B156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SuppSheet24!$C$6:$C$13</c:f>
              <c:numCache>
                <c:formatCode>0.0</c:formatCode>
                <c:ptCount val="8"/>
                <c:pt idx="0">
                  <c:v>0</c:v>
                </c:pt>
                <c:pt idx="1">
                  <c:v>2.0833333333139308</c:v>
                </c:pt>
                <c:pt idx="2">
                  <c:v>3.8999999999650754</c:v>
                </c:pt>
                <c:pt idx="3">
                  <c:v>5.6166666666395031</c:v>
                </c:pt>
                <c:pt idx="4">
                  <c:v>7.683333333407063</c:v>
                </c:pt>
                <c:pt idx="5">
                  <c:v>9.3333333333721384</c:v>
                </c:pt>
                <c:pt idx="6">
                  <c:v>11.700000000069849</c:v>
                </c:pt>
                <c:pt idx="7">
                  <c:v>15.783333333267365</c:v>
                </c:pt>
              </c:numCache>
            </c:numRef>
          </c:xVal>
          <c:yVal>
            <c:numRef>
              <c:f>SuppSheet24!$F$6:$F$13</c:f>
              <c:numCache>
                <c:formatCode>0.000</c:formatCode>
                <c:ptCount val="8"/>
                <c:pt idx="0">
                  <c:v>4.3999999999999997E-2</c:v>
                </c:pt>
                <c:pt idx="1">
                  <c:v>7.8E-2</c:v>
                </c:pt>
                <c:pt idx="2">
                  <c:v>0.13200000000000001</c:v>
                </c:pt>
                <c:pt idx="3">
                  <c:v>0.20699999999999999</c:v>
                </c:pt>
                <c:pt idx="4">
                  <c:v>0.22700000000000001</c:v>
                </c:pt>
                <c:pt idx="5">
                  <c:v>0.22600000000000001</c:v>
                </c:pt>
                <c:pt idx="6">
                  <c:v>0.22</c:v>
                </c:pt>
                <c:pt idx="7">
                  <c:v>0.21099999999999999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E-4267-AC79-3F8EBA9B156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SuppSheet24!$C$6:$C$13</c:f>
              <c:numCache>
                <c:formatCode>0.0</c:formatCode>
                <c:ptCount val="8"/>
                <c:pt idx="0">
                  <c:v>0</c:v>
                </c:pt>
                <c:pt idx="1">
                  <c:v>2.0833333333139308</c:v>
                </c:pt>
                <c:pt idx="2">
                  <c:v>3.8999999999650754</c:v>
                </c:pt>
                <c:pt idx="3">
                  <c:v>5.6166666666395031</c:v>
                </c:pt>
                <c:pt idx="4">
                  <c:v>7.683333333407063</c:v>
                </c:pt>
                <c:pt idx="5">
                  <c:v>9.3333333333721384</c:v>
                </c:pt>
                <c:pt idx="6">
                  <c:v>11.700000000069849</c:v>
                </c:pt>
                <c:pt idx="7">
                  <c:v>15.783333333267365</c:v>
                </c:pt>
              </c:numCache>
            </c:numRef>
          </c:xVal>
          <c:yVal>
            <c:numRef>
              <c:f>SuppSheet24!$G$6:$G$13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9E-4267-AC79-3F8EBA9B1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03423"/>
        <c:axId val="1086602175"/>
      </c:scatterChart>
      <c:valAx>
        <c:axId val="108660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02175"/>
        <c:crosses val="autoZero"/>
        <c:crossBetween val="midCat"/>
      </c:valAx>
      <c:valAx>
        <c:axId val="10866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0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SuppSheet24!$C$6:$C$13</c:f>
              <c:numCache>
                <c:formatCode>0.0</c:formatCode>
                <c:ptCount val="8"/>
                <c:pt idx="0">
                  <c:v>0</c:v>
                </c:pt>
                <c:pt idx="1">
                  <c:v>2.0833333333139308</c:v>
                </c:pt>
                <c:pt idx="2">
                  <c:v>3.8999999999650754</c:v>
                </c:pt>
                <c:pt idx="3">
                  <c:v>5.6166666666395031</c:v>
                </c:pt>
                <c:pt idx="4">
                  <c:v>7.683333333407063</c:v>
                </c:pt>
                <c:pt idx="5">
                  <c:v>9.3333333333721384</c:v>
                </c:pt>
                <c:pt idx="6">
                  <c:v>11.700000000069849</c:v>
                </c:pt>
                <c:pt idx="7">
                  <c:v>15.783333333267365</c:v>
                </c:pt>
              </c:numCache>
            </c:numRef>
          </c:xVal>
          <c:yVal>
            <c:numRef>
              <c:f>SuppSheet24!$D$6:$D$13</c:f>
              <c:numCache>
                <c:formatCode>0.000</c:formatCode>
                <c:ptCount val="8"/>
                <c:pt idx="0">
                  <c:v>4.3999999999999997E-2</c:v>
                </c:pt>
                <c:pt idx="1">
                  <c:v>7.8E-2</c:v>
                </c:pt>
                <c:pt idx="2">
                  <c:v>0.13</c:v>
                </c:pt>
                <c:pt idx="3">
                  <c:v>0.20599999999999999</c:v>
                </c:pt>
                <c:pt idx="4">
                  <c:v>0.22600000000000001</c:v>
                </c:pt>
                <c:pt idx="5">
                  <c:v>0.22500000000000001</c:v>
                </c:pt>
                <c:pt idx="6">
                  <c:v>0.218</c:v>
                </c:pt>
                <c:pt idx="7">
                  <c:v>0.20899999999999999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7-454E-8B05-60DD7D2E018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SuppSheet24!$C$6:$C$13</c:f>
              <c:numCache>
                <c:formatCode>0.0</c:formatCode>
                <c:ptCount val="8"/>
                <c:pt idx="0">
                  <c:v>0</c:v>
                </c:pt>
                <c:pt idx="1">
                  <c:v>2.0833333333139308</c:v>
                </c:pt>
                <c:pt idx="2">
                  <c:v>3.8999999999650754</c:v>
                </c:pt>
                <c:pt idx="3">
                  <c:v>5.6166666666395031</c:v>
                </c:pt>
                <c:pt idx="4">
                  <c:v>7.683333333407063</c:v>
                </c:pt>
                <c:pt idx="5">
                  <c:v>9.3333333333721384</c:v>
                </c:pt>
                <c:pt idx="6">
                  <c:v>11.700000000069849</c:v>
                </c:pt>
                <c:pt idx="7">
                  <c:v>15.783333333267365</c:v>
                </c:pt>
              </c:numCache>
            </c:numRef>
          </c:xVal>
          <c:yVal>
            <c:numRef>
              <c:f>SuppSheet24!$E$6:$E$13</c:f>
              <c:numCache>
                <c:formatCode>0.000</c:formatCode>
                <c:ptCount val="8"/>
                <c:pt idx="0">
                  <c:v>4.2999999999999997E-2</c:v>
                </c:pt>
                <c:pt idx="1">
                  <c:v>7.2999999999999995E-2</c:v>
                </c:pt>
                <c:pt idx="2">
                  <c:v>0.12</c:v>
                </c:pt>
                <c:pt idx="3">
                  <c:v>0.17699999999999999</c:v>
                </c:pt>
                <c:pt idx="4">
                  <c:v>0.20100000000000001</c:v>
                </c:pt>
                <c:pt idx="5">
                  <c:v>0.20300000000000001</c:v>
                </c:pt>
                <c:pt idx="6">
                  <c:v>0.20100000000000001</c:v>
                </c:pt>
                <c:pt idx="7">
                  <c:v>0.192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7-454E-8B05-60DD7D2E018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SuppSheet24!$C$6:$C$13</c:f>
              <c:numCache>
                <c:formatCode>0.0</c:formatCode>
                <c:ptCount val="8"/>
                <c:pt idx="0">
                  <c:v>0</c:v>
                </c:pt>
                <c:pt idx="1">
                  <c:v>2.0833333333139308</c:v>
                </c:pt>
                <c:pt idx="2">
                  <c:v>3.8999999999650754</c:v>
                </c:pt>
                <c:pt idx="3">
                  <c:v>5.6166666666395031</c:v>
                </c:pt>
                <c:pt idx="4">
                  <c:v>7.683333333407063</c:v>
                </c:pt>
                <c:pt idx="5">
                  <c:v>9.3333333333721384</c:v>
                </c:pt>
                <c:pt idx="6">
                  <c:v>11.700000000069849</c:v>
                </c:pt>
                <c:pt idx="7">
                  <c:v>15.783333333267365</c:v>
                </c:pt>
              </c:numCache>
            </c:numRef>
          </c:xVal>
          <c:yVal>
            <c:numRef>
              <c:f>SuppSheet24!$F$6:$F$13</c:f>
              <c:numCache>
                <c:formatCode>0.000</c:formatCode>
                <c:ptCount val="8"/>
                <c:pt idx="0">
                  <c:v>4.3999999999999997E-2</c:v>
                </c:pt>
                <c:pt idx="1">
                  <c:v>7.8E-2</c:v>
                </c:pt>
                <c:pt idx="2">
                  <c:v>0.13200000000000001</c:v>
                </c:pt>
                <c:pt idx="3">
                  <c:v>0.20699999999999999</c:v>
                </c:pt>
                <c:pt idx="4">
                  <c:v>0.22700000000000001</c:v>
                </c:pt>
                <c:pt idx="5">
                  <c:v>0.22600000000000001</c:v>
                </c:pt>
                <c:pt idx="6">
                  <c:v>0.22</c:v>
                </c:pt>
                <c:pt idx="7">
                  <c:v>0.21099999999999999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7-454E-8B05-60DD7D2E0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03423"/>
        <c:axId val="1086602175"/>
      </c:scatterChart>
      <c:valAx>
        <c:axId val="108660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02175"/>
        <c:crosses val="autoZero"/>
        <c:crossBetween val="midCat"/>
      </c:valAx>
      <c:valAx>
        <c:axId val="1086602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0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SuppSheet24!$C$6:$C$13</c:f>
              <c:numCache>
                <c:formatCode>0.0</c:formatCode>
                <c:ptCount val="8"/>
                <c:pt idx="0">
                  <c:v>0</c:v>
                </c:pt>
                <c:pt idx="1">
                  <c:v>2.0833333333139308</c:v>
                </c:pt>
                <c:pt idx="2">
                  <c:v>3.8999999999650754</c:v>
                </c:pt>
                <c:pt idx="3">
                  <c:v>5.6166666666395031</c:v>
                </c:pt>
                <c:pt idx="4">
                  <c:v>7.683333333407063</c:v>
                </c:pt>
                <c:pt idx="5">
                  <c:v>9.3333333333721384</c:v>
                </c:pt>
                <c:pt idx="6">
                  <c:v>11.700000000069849</c:v>
                </c:pt>
                <c:pt idx="7">
                  <c:v>15.783333333267365</c:v>
                </c:pt>
              </c:numCache>
            </c:numRef>
          </c:xVal>
          <c:yVal>
            <c:numRef>
              <c:f>SuppSheet24!$J$6:$J$13</c:f>
              <c:numCache>
                <c:formatCode>0.00</c:formatCode>
                <c:ptCount val="8"/>
                <c:pt idx="0">
                  <c:v>6.97</c:v>
                </c:pt>
                <c:pt idx="1">
                  <c:v>6.83</c:v>
                </c:pt>
                <c:pt idx="2">
                  <c:v>6.56</c:v>
                </c:pt>
                <c:pt idx="3">
                  <c:v>6.08</c:v>
                </c:pt>
                <c:pt idx="4">
                  <c:v>5.44</c:v>
                </c:pt>
                <c:pt idx="5">
                  <c:v>5</c:v>
                </c:pt>
                <c:pt idx="6">
                  <c:v>4.7300000000000004</c:v>
                </c:pt>
                <c:pt idx="7">
                  <c:v>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4-436C-BBCB-72703AA998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SuppSheet24!$C$6:$C$13</c:f>
              <c:numCache>
                <c:formatCode>0.0</c:formatCode>
                <c:ptCount val="8"/>
                <c:pt idx="0">
                  <c:v>0</c:v>
                </c:pt>
                <c:pt idx="1">
                  <c:v>2.0833333333139308</c:v>
                </c:pt>
                <c:pt idx="2">
                  <c:v>3.8999999999650754</c:v>
                </c:pt>
                <c:pt idx="3">
                  <c:v>5.6166666666395031</c:v>
                </c:pt>
                <c:pt idx="4">
                  <c:v>7.683333333407063</c:v>
                </c:pt>
                <c:pt idx="5">
                  <c:v>9.3333333333721384</c:v>
                </c:pt>
                <c:pt idx="6">
                  <c:v>11.700000000069849</c:v>
                </c:pt>
                <c:pt idx="7">
                  <c:v>15.783333333267365</c:v>
                </c:pt>
              </c:numCache>
            </c:numRef>
          </c:xVal>
          <c:yVal>
            <c:numRef>
              <c:f>SuppSheet24!$K$6:$K$13</c:f>
              <c:numCache>
                <c:formatCode>0.00</c:formatCode>
                <c:ptCount val="8"/>
                <c:pt idx="0">
                  <c:v>6.98</c:v>
                </c:pt>
                <c:pt idx="1">
                  <c:v>6.83</c:v>
                </c:pt>
                <c:pt idx="2">
                  <c:v>6.59</c:v>
                </c:pt>
                <c:pt idx="3">
                  <c:v>6.23</c:v>
                </c:pt>
                <c:pt idx="4">
                  <c:v>5.72</c:v>
                </c:pt>
                <c:pt idx="5">
                  <c:v>5.19</c:v>
                </c:pt>
                <c:pt idx="6">
                  <c:v>4.79</c:v>
                </c:pt>
                <c:pt idx="7">
                  <c:v>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4-436C-BBCB-72703AA9988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SuppSheet24!$C$6:$C$13</c:f>
              <c:numCache>
                <c:formatCode>0.0</c:formatCode>
                <c:ptCount val="8"/>
                <c:pt idx="0">
                  <c:v>0</c:v>
                </c:pt>
                <c:pt idx="1">
                  <c:v>2.0833333333139308</c:v>
                </c:pt>
                <c:pt idx="2">
                  <c:v>3.8999999999650754</c:v>
                </c:pt>
                <c:pt idx="3">
                  <c:v>5.6166666666395031</c:v>
                </c:pt>
                <c:pt idx="4">
                  <c:v>7.683333333407063</c:v>
                </c:pt>
                <c:pt idx="5">
                  <c:v>9.3333333333721384</c:v>
                </c:pt>
                <c:pt idx="6">
                  <c:v>11.700000000069849</c:v>
                </c:pt>
                <c:pt idx="7">
                  <c:v>15.783333333267365</c:v>
                </c:pt>
              </c:numCache>
            </c:numRef>
          </c:xVal>
          <c:yVal>
            <c:numRef>
              <c:f>SuppSheet24!$L$6:$L$13</c:f>
              <c:numCache>
                <c:formatCode>0.00</c:formatCode>
                <c:ptCount val="8"/>
                <c:pt idx="0">
                  <c:v>6.98</c:v>
                </c:pt>
                <c:pt idx="1">
                  <c:v>6.8</c:v>
                </c:pt>
                <c:pt idx="2">
                  <c:v>6.54</c:v>
                </c:pt>
                <c:pt idx="3">
                  <c:v>6.06</c:v>
                </c:pt>
                <c:pt idx="4">
                  <c:v>5.36</c:v>
                </c:pt>
                <c:pt idx="5">
                  <c:v>4.95</c:v>
                </c:pt>
                <c:pt idx="6">
                  <c:v>4.6900000000000004</c:v>
                </c:pt>
                <c:pt idx="7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B4-436C-BBCB-72703AA9988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SuppSheet24!$C$6:$C$13</c:f>
              <c:numCache>
                <c:formatCode>0.0</c:formatCode>
                <c:ptCount val="8"/>
                <c:pt idx="0">
                  <c:v>0</c:v>
                </c:pt>
                <c:pt idx="1">
                  <c:v>2.0833333333139308</c:v>
                </c:pt>
                <c:pt idx="2">
                  <c:v>3.8999999999650754</c:v>
                </c:pt>
                <c:pt idx="3">
                  <c:v>5.6166666666395031</c:v>
                </c:pt>
                <c:pt idx="4">
                  <c:v>7.683333333407063</c:v>
                </c:pt>
                <c:pt idx="5">
                  <c:v>9.3333333333721384</c:v>
                </c:pt>
                <c:pt idx="6">
                  <c:v>11.700000000069849</c:v>
                </c:pt>
                <c:pt idx="7">
                  <c:v>15.783333333267365</c:v>
                </c:pt>
              </c:numCache>
            </c:numRef>
          </c:xVal>
          <c:yVal>
            <c:numRef>
              <c:f>SuppSheet24!$M$6:$M$13</c:f>
              <c:numCache>
                <c:formatCode>0.00</c:formatCode>
                <c:ptCount val="8"/>
                <c:pt idx="0">
                  <c:v>7.03</c:v>
                </c:pt>
                <c:pt idx="1">
                  <c:v>7.01</c:v>
                </c:pt>
                <c:pt idx="2">
                  <c:v>7.01</c:v>
                </c:pt>
                <c:pt idx="3">
                  <c:v>7</c:v>
                </c:pt>
                <c:pt idx="4">
                  <c:v>7.01</c:v>
                </c:pt>
                <c:pt idx="5">
                  <c:v>6.97</c:v>
                </c:pt>
                <c:pt idx="6">
                  <c:v>6.98</c:v>
                </c:pt>
                <c:pt idx="7">
                  <c:v>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B4-436C-BBCB-72703AA9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03423"/>
        <c:axId val="1086602175"/>
      </c:scatterChart>
      <c:valAx>
        <c:axId val="108660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02175"/>
        <c:crosses val="autoZero"/>
        <c:crossBetween val="midCat"/>
      </c:valAx>
      <c:valAx>
        <c:axId val="10866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0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409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SuppSheet24!$AP$6:$AP$12</c:f>
                <c:numCache>
                  <c:formatCode>General</c:formatCode>
                  <c:ptCount val="7"/>
                  <c:pt idx="0">
                    <c:v>2.9044212507420421E-2</c:v>
                  </c:pt>
                  <c:pt idx="1">
                    <c:v>3.9643099619455113E-2</c:v>
                  </c:pt>
                  <c:pt idx="2">
                    <c:v>3.9032749826648998E-2</c:v>
                  </c:pt>
                  <c:pt idx="3">
                    <c:v>3.5108890613158202E-2</c:v>
                  </c:pt>
                  <c:pt idx="4">
                    <c:v>1.2037004162821909E-2</c:v>
                  </c:pt>
                  <c:pt idx="6">
                    <c:v>1.2363100638733511E-2</c:v>
                  </c:pt>
                </c:numCache>
              </c:numRef>
            </c:plus>
            <c:minus>
              <c:numRef>
                <c:f>SuppSheet24!$AP$6:$AP$12</c:f>
                <c:numCache>
                  <c:formatCode>General</c:formatCode>
                  <c:ptCount val="7"/>
                  <c:pt idx="0">
                    <c:v>2.9044212507420421E-2</c:v>
                  </c:pt>
                  <c:pt idx="1">
                    <c:v>3.9643099619455113E-2</c:v>
                  </c:pt>
                  <c:pt idx="2">
                    <c:v>3.9032749826648998E-2</c:v>
                  </c:pt>
                  <c:pt idx="3">
                    <c:v>3.5108890613158202E-2</c:v>
                  </c:pt>
                  <c:pt idx="4">
                    <c:v>1.2037004162821909E-2</c:v>
                  </c:pt>
                  <c:pt idx="6">
                    <c:v>1.2363100638733511E-2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SuppSheet24!$C$6:$C$12</c:f>
              <c:numCache>
                <c:formatCode>0.0</c:formatCode>
                <c:ptCount val="7"/>
                <c:pt idx="0">
                  <c:v>0</c:v>
                </c:pt>
                <c:pt idx="1">
                  <c:v>2.0833333333139308</c:v>
                </c:pt>
                <c:pt idx="2">
                  <c:v>3.8999999999650754</c:v>
                </c:pt>
                <c:pt idx="3">
                  <c:v>5.6166666666395031</c:v>
                </c:pt>
                <c:pt idx="4">
                  <c:v>7.683333333407063</c:v>
                </c:pt>
                <c:pt idx="5">
                  <c:v>9.3333333333721384</c:v>
                </c:pt>
                <c:pt idx="6">
                  <c:v>11.700000000069849</c:v>
                </c:pt>
              </c:numCache>
            </c:numRef>
          </c:xVal>
          <c:yVal>
            <c:numRef>
              <c:f>SuppSheet24!$AO$6:$AO$12</c:f>
              <c:numCache>
                <c:formatCode>0.00</c:formatCode>
                <c:ptCount val="7"/>
                <c:pt idx="0">
                  <c:v>0.33118121110483906</c:v>
                </c:pt>
                <c:pt idx="1">
                  <c:v>0.3114959473905437</c:v>
                </c:pt>
                <c:pt idx="2">
                  <c:v>0.52800107613666936</c:v>
                </c:pt>
                <c:pt idx="3">
                  <c:v>0.61093993117033429</c:v>
                </c:pt>
                <c:pt idx="4">
                  <c:v>0.60695334214200702</c:v>
                </c:pt>
                <c:pt idx="6">
                  <c:v>0.59115211557072023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3-436A-AFE0-4796087FF9BC}"/>
            </c:ext>
          </c:extLst>
        </c:ser>
        <c:ser>
          <c:idx val="1"/>
          <c:order val="1"/>
          <c:tx>
            <c:v>403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SuppSheet24!$AU$6:$AU$12</c:f>
                <c:numCache>
                  <c:formatCode>General</c:formatCode>
                  <c:ptCount val="7"/>
                  <c:pt idx="0">
                    <c:v>2.9044212507420463E-2</c:v>
                  </c:pt>
                  <c:pt idx="1">
                    <c:v>3.9643099619455113E-2</c:v>
                  </c:pt>
                  <c:pt idx="2">
                    <c:v>3.9032749826648956E-2</c:v>
                  </c:pt>
                  <c:pt idx="3">
                    <c:v>3.5108890613158257E-2</c:v>
                  </c:pt>
                  <c:pt idx="4">
                    <c:v>1.2037004162821935E-2</c:v>
                  </c:pt>
                  <c:pt idx="6">
                    <c:v>1.2363100638733511E-2</c:v>
                  </c:pt>
                </c:numCache>
              </c:numRef>
            </c:plus>
            <c:minus>
              <c:numRef>
                <c:f>SuppSheet24!$AU$6:$AU$12</c:f>
                <c:numCache>
                  <c:formatCode>General</c:formatCode>
                  <c:ptCount val="7"/>
                  <c:pt idx="0">
                    <c:v>2.9044212507420463E-2</c:v>
                  </c:pt>
                  <c:pt idx="1">
                    <c:v>3.9643099619455113E-2</c:v>
                  </c:pt>
                  <c:pt idx="2">
                    <c:v>3.9032749826648956E-2</c:v>
                  </c:pt>
                  <c:pt idx="3">
                    <c:v>3.5108890613158257E-2</c:v>
                  </c:pt>
                  <c:pt idx="4">
                    <c:v>1.2037004162821935E-2</c:v>
                  </c:pt>
                  <c:pt idx="6">
                    <c:v>1.2363100638733511E-2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SuppSheet24!$C$6:$C$12</c:f>
              <c:numCache>
                <c:formatCode>0.0</c:formatCode>
                <c:ptCount val="7"/>
                <c:pt idx="0">
                  <c:v>0</c:v>
                </c:pt>
                <c:pt idx="1">
                  <c:v>2.0833333333139308</c:v>
                </c:pt>
                <c:pt idx="2">
                  <c:v>3.8999999999650754</c:v>
                </c:pt>
                <c:pt idx="3">
                  <c:v>5.6166666666395031</c:v>
                </c:pt>
                <c:pt idx="4">
                  <c:v>7.683333333407063</c:v>
                </c:pt>
                <c:pt idx="5">
                  <c:v>9.3333333333721384</c:v>
                </c:pt>
                <c:pt idx="6">
                  <c:v>11.700000000069849</c:v>
                </c:pt>
              </c:numCache>
            </c:numRef>
          </c:xVal>
          <c:yVal>
            <c:numRef>
              <c:f>SuppSheet24!$AT$6:$AT$12</c:f>
              <c:numCache>
                <c:formatCode>0.00</c:formatCode>
                <c:ptCount val="7"/>
                <c:pt idx="0">
                  <c:v>0.668818788895161</c:v>
                </c:pt>
                <c:pt idx="1">
                  <c:v>0.68850405260945635</c:v>
                </c:pt>
                <c:pt idx="2">
                  <c:v>0.47199892386333064</c:v>
                </c:pt>
                <c:pt idx="3">
                  <c:v>0.38906006882966571</c:v>
                </c:pt>
                <c:pt idx="4">
                  <c:v>0.39304665785799298</c:v>
                </c:pt>
                <c:pt idx="6">
                  <c:v>0.40884788442927977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3-436A-AFE0-4796087FF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62096"/>
        <c:axId val="519162752"/>
      </c:scatterChart>
      <c:valAx>
        <c:axId val="5191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62752"/>
        <c:crosses val="autoZero"/>
        <c:crossBetween val="midCat"/>
      </c:valAx>
      <c:valAx>
        <c:axId val="5191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6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SuppSheet25!$C$6:$C$15</c:f>
              <c:numCache>
                <c:formatCode>0.0</c:formatCode>
                <c:ptCount val="10"/>
                <c:pt idx="0">
                  <c:v>0</c:v>
                </c:pt>
                <c:pt idx="1">
                  <c:v>2.1333333333022892</c:v>
                </c:pt>
                <c:pt idx="2">
                  <c:v>4.5</c:v>
                </c:pt>
                <c:pt idx="3">
                  <c:v>6.7999999999883585</c:v>
                </c:pt>
                <c:pt idx="4">
                  <c:v>9.1666666666860692</c:v>
                </c:pt>
                <c:pt idx="5">
                  <c:v>11.599999999918509</c:v>
                </c:pt>
                <c:pt idx="6">
                  <c:v>14.483333333220799</c:v>
                </c:pt>
                <c:pt idx="7">
                  <c:v>17.266666666546371</c:v>
                </c:pt>
                <c:pt idx="8">
                  <c:v>27.600000000034925</c:v>
                </c:pt>
                <c:pt idx="9">
                  <c:v>33.299999999930151</c:v>
                </c:pt>
              </c:numCache>
            </c:numRef>
          </c:xVal>
          <c:yVal>
            <c:numRef>
              <c:f>SuppSheet25!$D$6:$D$15</c:f>
              <c:numCache>
                <c:formatCode>0.000</c:formatCode>
                <c:ptCount val="10"/>
                <c:pt idx="0">
                  <c:v>4.3999999999999997E-2</c:v>
                </c:pt>
                <c:pt idx="1">
                  <c:v>7.5999999999999998E-2</c:v>
                </c:pt>
                <c:pt idx="2">
                  <c:v>0.13600000000000001</c:v>
                </c:pt>
                <c:pt idx="3">
                  <c:v>0.23799999999999999</c:v>
                </c:pt>
                <c:pt idx="4">
                  <c:v>0.26200000000000001</c:v>
                </c:pt>
                <c:pt idx="5">
                  <c:v>0.26100000000000001</c:v>
                </c:pt>
                <c:pt idx="6">
                  <c:v>0.252</c:v>
                </c:pt>
                <c:pt idx="7">
                  <c:v>0.246</c:v>
                </c:pt>
                <c:pt idx="8">
                  <c:v>0.23699999999999999</c:v>
                </c:pt>
                <c:pt idx="9">
                  <c:v>0.23200000000000001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F-460C-8295-EA0794AE89C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SuppSheet25!$C$6:$C$15</c:f>
              <c:numCache>
                <c:formatCode>0.0</c:formatCode>
                <c:ptCount val="10"/>
                <c:pt idx="0">
                  <c:v>0</c:v>
                </c:pt>
                <c:pt idx="1">
                  <c:v>2.1333333333022892</c:v>
                </c:pt>
                <c:pt idx="2">
                  <c:v>4.5</c:v>
                </c:pt>
                <c:pt idx="3">
                  <c:v>6.7999999999883585</c:v>
                </c:pt>
                <c:pt idx="4">
                  <c:v>9.1666666666860692</c:v>
                </c:pt>
                <c:pt idx="5">
                  <c:v>11.599999999918509</c:v>
                </c:pt>
                <c:pt idx="6">
                  <c:v>14.483333333220799</c:v>
                </c:pt>
                <c:pt idx="7">
                  <c:v>17.266666666546371</c:v>
                </c:pt>
                <c:pt idx="8">
                  <c:v>27.600000000034925</c:v>
                </c:pt>
                <c:pt idx="9">
                  <c:v>33.299999999930151</c:v>
                </c:pt>
              </c:numCache>
            </c:numRef>
          </c:xVal>
          <c:yVal>
            <c:numRef>
              <c:f>SuppSheet25!$E$6:$E$15</c:f>
              <c:numCache>
                <c:formatCode>0.000</c:formatCode>
                <c:ptCount val="10"/>
                <c:pt idx="0">
                  <c:v>4.3999999999999997E-2</c:v>
                </c:pt>
                <c:pt idx="1">
                  <c:v>7.3999999999999996E-2</c:v>
                </c:pt>
                <c:pt idx="2">
                  <c:v>0.126</c:v>
                </c:pt>
                <c:pt idx="3">
                  <c:v>0.23300000000000001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0.25600000000000001</c:v>
                </c:pt>
                <c:pt idx="7">
                  <c:v>0.25</c:v>
                </c:pt>
                <c:pt idx="8">
                  <c:v>0.24099999999999999</c:v>
                </c:pt>
                <c:pt idx="9">
                  <c:v>0.23400000000000001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F-460C-8295-EA0794AE89C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SuppSheet25!$C$6:$C$15</c:f>
              <c:numCache>
                <c:formatCode>0.0</c:formatCode>
                <c:ptCount val="10"/>
                <c:pt idx="0">
                  <c:v>0</c:v>
                </c:pt>
                <c:pt idx="1">
                  <c:v>2.1333333333022892</c:v>
                </c:pt>
                <c:pt idx="2">
                  <c:v>4.5</c:v>
                </c:pt>
                <c:pt idx="3">
                  <c:v>6.7999999999883585</c:v>
                </c:pt>
                <c:pt idx="4">
                  <c:v>9.1666666666860692</c:v>
                </c:pt>
                <c:pt idx="5">
                  <c:v>11.599999999918509</c:v>
                </c:pt>
                <c:pt idx="6">
                  <c:v>14.483333333220799</c:v>
                </c:pt>
                <c:pt idx="7">
                  <c:v>17.266666666546371</c:v>
                </c:pt>
                <c:pt idx="8">
                  <c:v>27.600000000034925</c:v>
                </c:pt>
                <c:pt idx="9">
                  <c:v>33.299999999930151</c:v>
                </c:pt>
              </c:numCache>
            </c:numRef>
          </c:xVal>
          <c:yVal>
            <c:numRef>
              <c:f>SuppSheet25!$F$6:$F$15</c:f>
              <c:numCache>
                <c:formatCode>0.000</c:formatCode>
                <c:ptCount val="10"/>
                <c:pt idx="0">
                  <c:v>4.4999999999999998E-2</c:v>
                </c:pt>
                <c:pt idx="1">
                  <c:v>7.4999999999999997E-2</c:v>
                </c:pt>
                <c:pt idx="2">
                  <c:v>0.13</c:v>
                </c:pt>
                <c:pt idx="3">
                  <c:v>0.24399999999999999</c:v>
                </c:pt>
                <c:pt idx="4">
                  <c:v>0.28399999999999997</c:v>
                </c:pt>
                <c:pt idx="5">
                  <c:v>0.28000000000000003</c:v>
                </c:pt>
                <c:pt idx="6">
                  <c:v>0.26800000000000002</c:v>
                </c:pt>
                <c:pt idx="7">
                  <c:v>0.26400000000000001</c:v>
                </c:pt>
                <c:pt idx="8">
                  <c:v>0.254</c:v>
                </c:pt>
                <c:pt idx="9">
                  <c:v>0.252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6F-460C-8295-EA0794AE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220048"/>
        <c:axId val="1543227536"/>
      </c:scatterChart>
      <c:valAx>
        <c:axId val="154322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27536"/>
        <c:crosses val="autoZero"/>
        <c:crossBetween val="midCat"/>
      </c:valAx>
      <c:valAx>
        <c:axId val="1543227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2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SuppSheet25!$C$6:$C$15</c:f>
              <c:numCache>
                <c:formatCode>0.0</c:formatCode>
                <c:ptCount val="10"/>
                <c:pt idx="0">
                  <c:v>0</c:v>
                </c:pt>
                <c:pt idx="1">
                  <c:v>2.1333333333022892</c:v>
                </c:pt>
                <c:pt idx="2">
                  <c:v>4.5</c:v>
                </c:pt>
                <c:pt idx="3">
                  <c:v>6.7999999999883585</c:v>
                </c:pt>
                <c:pt idx="4">
                  <c:v>9.1666666666860692</c:v>
                </c:pt>
                <c:pt idx="5">
                  <c:v>11.599999999918509</c:v>
                </c:pt>
                <c:pt idx="6">
                  <c:v>14.483333333220799</c:v>
                </c:pt>
                <c:pt idx="7">
                  <c:v>17.266666666546371</c:v>
                </c:pt>
                <c:pt idx="8">
                  <c:v>27.600000000034925</c:v>
                </c:pt>
                <c:pt idx="9">
                  <c:v>33.299999999930151</c:v>
                </c:pt>
              </c:numCache>
            </c:numRef>
          </c:xVal>
          <c:yVal>
            <c:numRef>
              <c:f>SuppSheet25!$J$6:$J$15</c:f>
              <c:numCache>
                <c:formatCode>0.00</c:formatCode>
                <c:ptCount val="10"/>
                <c:pt idx="0">
                  <c:v>7.46</c:v>
                </c:pt>
                <c:pt idx="1">
                  <c:v>7.19</c:v>
                </c:pt>
                <c:pt idx="2">
                  <c:v>6.83</c:v>
                </c:pt>
                <c:pt idx="3">
                  <c:v>6.39</c:v>
                </c:pt>
                <c:pt idx="4">
                  <c:v>5.75</c:v>
                </c:pt>
                <c:pt idx="5">
                  <c:v>5.0199999999999996</c:v>
                </c:pt>
                <c:pt idx="6">
                  <c:v>4.76</c:v>
                </c:pt>
                <c:pt idx="7">
                  <c:v>4.7300000000000004</c:v>
                </c:pt>
                <c:pt idx="8">
                  <c:v>4.49</c:v>
                </c:pt>
                <c:pt idx="9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4-4BFF-A789-695CABC62A6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SuppSheet25!$C$6:$C$15</c:f>
              <c:numCache>
                <c:formatCode>0.0</c:formatCode>
                <c:ptCount val="10"/>
                <c:pt idx="0">
                  <c:v>0</c:v>
                </c:pt>
                <c:pt idx="1">
                  <c:v>2.1333333333022892</c:v>
                </c:pt>
                <c:pt idx="2">
                  <c:v>4.5</c:v>
                </c:pt>
                <c:pt idx="3">
                  <c:v>6.7999999999883585</c:v>
                </c:pt>
                <c:pt idx="4">
                  <c:v>9.1666666666860692</c:v>
                </c:pt>
                <c:pt idx="5">
                  <c:v>11.599999999918509</c:v>
                </c:pt>
                <c:pt idx="6">
                  <c:v>14.483333333220799</c:v>
                </c:pt>
                <c:pt idx="7">
                  <c:v>17.266666666546371</c:v>
                </c:pt>
                <c:pt idx="8">
                  <c:v>27.600000000034925</c:v>
                </c:pt>
                <c:pt idx="9">
                  <c:v>33.299999999930151</c:v>
                </c:pt>
              </c:numCache>
            </c:numRef>
          </c:xVal>
          <c:yVal>
            <c:numRef>
              <c:f>SuppSheet25!$K$6:$K$15</c:f>
              <c:numCache>
                <c:formatCode>0.00</c:formatCode>
                <c:ptCount val="10"/>
                <c:pt idx="0">
                  <c:v>7.46</c:v>
                </c:pt>
                <c:pt idx="1">
                  <c:v>7.21</c:v>
                </c:pt>
                <c:pt idx="2">
                  <c:v>6.88</c:v>
                </c:pt>
                <c:pt idx="3">
                  <c:v>6.47</c:v>
                </c:pt>
                <c:pt idx="4">
                  <c:v>5.82</c:v>
                </c:pt>
                <c:pt idx="5">
                  <c:v>5.04</c:v>
                </c:pt>
                <c:pt idx="6">
                  <c:v>4.76</c:v>
                </c:pt>
                <c:pt idx="7">
                  <c:v>4.67</c:v>
                </c:pt>
                <c:pt idx="8">
                  <c:v>4.4800000000000004</c:v>
                </c:pt>
                <c:pt idx="9">
                  <c:v>4.3600000000000003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4-4BFF-A789-695CABC62A6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SuppSheet25!$C$6:$C$15</c:f>
              <c:numCache>
                <c:formatCode>0.0</c:formatCode>
                <c:ptCount val="10"/>
                <c:pt idx="0">
                  <c:v>0</c:v>
                </c:pt>
                <c:pt idx="1">
                  <c:v>2.1333333333022892</c:v>
                </c:pt>
                <c:pt idx="2">
                  <c:v>4.5</c:v>
                </c:pt>
                <c:pt idx="3">
                  <c:v>6.7999999999883585</c:v>
                </c:pt>
                <c:pt idx="4">
                  <c:v>9.1666666666860692</c:v>
                </c:pt>
                <c:pt idx="5">
                  <c:v>11.599999999918509</c:v>
                </c:pt>
                <c:pt idx="6">
                  <c:v>14.483333333220799</c:v>
                </c:pt>
                <c:pt idx="7">
                  <c:v>17.266666666546371</c:v>
                </c:pt>
                <c:pt idx="8">
                  <c:v>27.600000000034925</c:v>
                </c:pt>
                <c:pt idx="9">
                  <c:v>33.299999999930151</c:v>
                </c:pt>
              </c:numCache>
            </c:numRef>
          </c:xVal>
          <c:yVal>
            <c:numRef>
              <c:f>SuppSheet25!$L$6:$L$15</c:f>
              <c:numCache>
                <c:formatCode>0.00</c:formatCode>
                <c:ptCount val="10"/>
                <c:pt idx="0">
                  <c:v>7.46</c:v>
                </c:pt>
                <c:pt idx="1">
                  <c:v>7.23</c:v>
                </c:pt>
                <c:pt idx="2">
                  <c:v>6.9</c:v>
                </c:pt>
                <c:pt idx="3">
                  <c:v>6.42</c:v>
                </c:pt>
                <c:pt idx="4">
                  <c:v>5.75</c:v>
                </c:pt>
                <c:pt idx="5">
                  <c:v>5</c:v>
                </c:pt>
                <c:pt idx="6">
                  <c:v>4.74</c:v>
                </c:pt>
                <c:pt idx="7">
                  <c:v>4.6500000000000004</c:v>
                </c:pt>
                <c:pt idx="8">
                  <c:v>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4-4BFF-A789-695CABC62A6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SuppSheet25!$C$6:$C$15</c:f>
              <c:numCache>
                <c:formatCode>0.0</c:formatCode>
                <c:ptCount val="10"/>
                <c:pt idx="0">
                  <c:v>0</c:v>
                </c:pt>
                <c:pt idx="1">
                  <c:v>2.1333333333022892</c:v>
                </c:pt>
                <c:pt idx="2">
                  <c:v>4.5</c:v>
                </c:pt>
                <c:pt idx="3">
                  <c:v>6.7999999999883585</c:v>
                </c:pt>
                <c:pt idx="4">
                  <c:v>9.1666666666860692</c:v>
                </c:pt>
                <c:pt idx="5">
                  <c:v>11.599999999918509</c:v>
                </c:pt>
                <c:pt idx="6">
                  <c:v>14.483333333220799</c:v>
                </c:pt>
                <c:pt idx="7">
                  <c:v>17.266666666546371</c:v>
                </c:pt>
                <c:pt idx="8">
                  <c:v>27.600000000034925</c:v>
                </c:pt>
                <c:pt idx="9">
                  <c:v>33.299999999930151</c:v>
                </c:pt>
              </c:numCache>
            </c:numRef>
          </c:xVal>
          <c:yVal>
            <c:numRef>
              <c:f>SuppSheet25!$M$6:$M$15</c:f>
              <c:numCache>
                <c:formatCode>0.00</c:formatCode>
                <c:ptCount val="10"/>
                <c:pt idx="0">
                  <c:v>7.46</c:v>
                </c:pt>
                <c:pt idx="1">
                  <c:v>7.41</c:v>
                </c:pt>
                <c:pt idx="2">
                  <c:v>7.44</c:v>
                </c:pt>
                <c:pt idx="3">
                  <c:v>7.39</c:v>
                </c:pt>
                <c:pt idx="4">
                  <c:v>7.37</c:v>
                </c:pt>
                <c:pt idx="5">
                  <c:v>7.36</c:v>
                </c:pt>
                <c:pt idx="6">
                  <c:v>7.33</c:v>
                </c:pt>
                <c:pt idx="7">
                  <c:v>7.32</c:v>
                </c:pt>
                <c:pt idx="8">
                  <c:v>7.22</c:v>
                </c:pt>
                <c:pt idx="9">
                  <c:v>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F4-4BFF-A789-695CABC62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220048"/>
        <c:axId val="1543227536"/>
      </c:scatterChart>
      <c:valAx>
        <c:axId val="154322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27536"/>
        <c:crosses val="autoZero"/>
        <c:crossBetween val="midCat"/>
      </c:valAx>
      <c:valAx>
        <c:axId val="15432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2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Substrate </a:t>
            </a:r>
            <a:r>
              <a:rPr lang="en-US" baseline="0"/>
              <a:t>inhibition at </a:t>
            </a:r>
            <a:r>
              <a:rPr lang="en-US"/>
              <a:t>pH5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384644694459101"/>
          <c:y val="6.6611205357543599E-2"/>
          <c:w val="0.80241280429046702"/>
          <c:h val="0.82946905457390996"/>
        </c:manualLayout>
      </c:layout>
      <c:scatterChart>
        <c:scatterStyle val="lineMarker"/>
        <c:varyColors val="0"/>
        <c:ser>
          <c:idx val="0"/>
          <c:order val="0"/>
          <c:tx>
            <c:v>403G100 0g/L glucose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[1]Data!$AU$52:$AU$57</c:f>
                <c:numCache>
                  <c:formatCode>General</c:formatCode>
                  <c:ptCount val="6"/>
                  <c:pt idx="1">
                    <c:v>7.7693843599948879E-3</c:v>
                  </c:pt>
                  <c:pt idx="2">
                    <c:v>4.2146569650842692E-3</c:v>
                  </c:pt>
                  <c:pt idx="3">
                    <c:v>7.4101282040190883E-3</c:v>
                  </c:pt>
                  <c:pt idx="4">
                    <c:v>6.8061246927552822E-3</c:v>
                  </c:pt>
                  <c:pt idx="5">
                    <c:v>1.0929013374195006E-2</c:v>
                  </c:pt>
                </c:numCache>
              </c:numRef>
            </c:plus>
            <c:minus>
              <c:numRef>
                <c:f>[1]Data!$AU$52:$AU$57</c:f>
                <c:numCache>
                  <c:formatCode>General</c:formatCode>
                  <c:ptCount val="6"/>
                  <c:pt idx="1">
                    <c:v>7.7693843599948879E-3</c:v>
                  </c:pt>
                  <c:pt idx="2">
                    <c:v>4.2146569650842692E-3</c:v>
                  </c:pt>
                  <c:pt idx="3">
                    <c:v>7.4101282040190883E-3</c:v>
                  </c:pt>
                  <c:pt idx="4">
                    <c:v>6.8061246927552822E-3</c:v>
                  </c:pt>
                  <c:pt idx="5">
                    <c:v>1.0929013374195006E-2</c:v>
                  </c:pt>
                </c:numCache>
              </c:numRef>
            </c:minus>
          </c:errBars>
          <c:xVal>
            <c:numRef>
              <c:f>[1]Data!$AS$52:$AS$57</c:f>
              <c:numCache>
                <c:formatCode>General</c:formatCode>
                <c:ptCount val="6"/>
                <c:pt idx="0">
                  <c:v>0</c:v>
                </c:pt>
                <c:pt idx="1">
                  <c:v>7.0000000000000007E-2</c:v>
                </c:pt>
                <c:pt idx="2">
                  <c:v>0.17499999999999999</c:v>
                </c:pt>
                <c:pt idx="3">
                  <c:v>0.35</c:v>
                </c:pt>
                <c:pt idx="4">
                  <c:v>0.7</c:v>
                </c:pt>
                <c:pt idx="5">
                  <c:v>1.4</c:v>
                </c:pt>
              </c:numCache>
            </c:numRef>
          </c:xVal>
          <c:yVal>
            <c:numRef>
              <c:f>[1]Data!$AT$52:$AT$57</c:f>
              <c:numCache>
                <c:formatCode>General</c:formatCode>
                <c:ptCount val="6"/>
                <c:pt idx="1">
                  <c:v>2.2633333333333335E-2</c:v>
                </c:pt>
                <c:pt idx="2">
                  <c:v>9.2333333333333323E-2</c:v>
                </c:pt>
                <c:pt idx="3">
                  <c:v>5.4199999999999998E-2</c:v>
                </c:pt>
                <c:pt idx="4">
                  <c:v>3.216666666666667E-2</c:v>
                </c:pt>
                <c:pt idx="5">
                  <c:v>1.4466666666666668E-2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6-4713-A3B3-AF8963E34057}"/>
            </c:ext>
          </c:extLst>
        </c:ser>
        <c:ser>
          <c:idx val="2"/>
          <c:order val="1"/>
          <c:tx>
            <c:v>WT no glucose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00B05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[1]Data!$AU$6:$AU$14</c:f>
                <c:numCache>
                  <c:formatCode>General</c:formatCode>
                  <c:ptCount val="9"/>
                  <c:pt idx="0">
                    <c:v>7.3776690085690343E-3</c:v>
                  </c:pt>
                  <c:pt idx="1">
                    <c:v>2.6057628441590792E-3</c:v>
                  </c:pt>
                  <c:pt idx="3">
                    <c:v>2.1166010488516728E-3</c:v>
                  </c:pt>
                  <c:pt idx="4">
                    <c:v>8.953956295031526E-3</c:v>
                  </c:pt>
                  <c:pt idx="5">
                    <c:v>8.4358362557207904E-3</c:v>
                  </c:pt>
                  <c:pt idx="6">
                    <c:v>1.2423096769056148E-2</c:v>
                  </c:pt>
                  <c:pt idx="7">
                    <c:v>7.0945988845975885E-3</c:v>
                  </c:pt>
                  <c:pt idx="8">
                    <c:v>5.773502691896258E-4</c:v>
                  </c:pt>
                </c:numCache>
              </c:numRef>
            </c:plus>
            <c:minus>
              <c:numRef>
                <c:f>[1]Data!$AU$6:$AU$14</c:f>
                <c:numCache>
                  <c:formatCode>General</c:formatCode>
                  <c:ptCount val="9"/>
                  <c:pt idx="0">
                    <c:v>7.3776690085690343E-3</c:v>
                  </c:pt>
                  <c:pt idx="1">
                    <c:v>2.6057628441590792E-3</c:v>
                  </c:pt>
                  <c:pt idx="3">
                    <c:v>2.1166010488516728E-3</c:v>
                  </c:pt>
                  <c:pt idx="4">
                    <c:v>8.953956295031526E-3</c:v>
                  </c:pt>
                  <c:pt idx="5">
                    <c:v>8.4358362557207904E-3</c:v>
                  </c:pt>
                  <c:pt idx="6">
                    <c:v>1.2423096769056148E-2</c:v>
                  </c:pt>
                  <c:pt idx="7">
                    <c:v>7.0945988845975885E-3</c:v>
                  </c:pt>
                  <c:pt idx="8">
                    <c:v>5.773502691896258E-4</c:v>
                  </c:pt>
                </c:numCache>
              </c:numRef>
            </c:minus>
          </c:errBars>
          <c:xVal>
            <c:numRef>
              <c:f>[1]Data!$AS$6:$AS$14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0.17499999999999999</c:v>
                </c:pt>
                <c:pt idx="3">
                  <c:v>0.35</c:v>
                </c:pt>
                <c:pt idx="4">
                  <c:v>0.7</c:v>
                </c:pt>
                <c:pt idx="5">
                  <c:v>1.4</c:v>
                </c:pt>
                <c:pt idx="6">
                  <c:v>3.5</c:v>
                </c:pt>
                <c:pt idx="7">
                  <c:v>5.6</c:v>
                </c:pt>
                <c:pt idx="8">
                  <c:v>7</c:v>
                </c:pt>
              </c:numCache>
            </c:numRef>
          </c:xVal>
          <c:yVal>
            <c:numRef>
              <c:f>[1]Data!$AT$6:$AT$14</c:f>
              <c:numCache>
                <c:formatCode>General</c:formatCode>
                <c:ptCount val="9"/>
                <c:pt idx="0">
                  <c:v>-2.8999999999999998E-3</c:v>
                </c:pt>
                <c:pt idx="1">
                  <c:v>0.11720000000000001</c:v>
                </c:pt>
                <c:pt idx="3">
                  <c:v>6.4899999999999999E-2</c:v>
                </c:pt>
                <c:pt idx="4">
                  <c:v>4.7166666666666662E-2</c:v>
                </c:pt>
                <c:pt idx="5">
                  <c:v>2.8266666666666666E-2</c:v>
                </c:pt>
                <c:pt idx="6">
                  <c:v>-1.1666666666666665E-2</c:v>
                </c:pt>
                <c:pt idx="7">
                  <c:v>-6.3333333333333332E-3</c:v>
                </c:pt>
                <c:pt idx="8">
                  <c:v>-4.3333333333333297E-3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6-4713-A3B3-AF8963E34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28512"/>
        <c:axId val="549329088"/>
      </c:scatterChart>
      <c:valAx>
        <c:axId val="54932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 Concentration (g/L)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329088"/>
        <c:crosses val="autoZero"/>
        <c:crossBetween val="midCat"/>
      </c:valAx>
      <c:valAx>
        <c:axId val="549329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Avg Mu (1/h)</a:t>
                </a:r>
              </a:p>
              <a:p>
                <a:pPr>
                  <a:defRPr b="1"/>
                </a:pPr>
                <a:endParaRPr lang="en-US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328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589586921427795"/>
          <c:y val="0.30751359014659402"/>
          <c:w val="0.207292755732191"/>
          <c:h val="0.246505106749969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SuppSheet25!$C$6:$C$15</c:f>
              <c:numCache>
                <c:formatCode>0.0</c:formatCode>
                <c:ptCount val="10"/>
                <c:pt idx="0">
                  <c:v>0</c:v>
                </c:pt>
                <c:pt idx="1">
                  <c:v>2.1333333333022892</c:v>
                </c:pt>
                <c:pt idx="2">
                  <c:v>4.5</c:v>
                </c:pt>
                <c:pt idx="3">
                  <c:v>6.7999999999883585</c:v>
                </c:pt>
                <c:pt idx="4">
                  <c:v>9.1666666666860692</c:v>
                </c:pt>
                <c:pt idx="5">
                  <c:v>11.599999999918509</c:v>
                </c:pt>
                <c:pt idx="6">
                  <c:v>14.483333333220799</c:v>
                </c:pt>
                <c:pt idx="7">
                  <c:v>17.266666666546371</c:v>
                </c:pt>
                <c:pt idx="8">
                  <c:v>27.600000000034925</c:v>
                </c:pt>
                <c:pt idx="9">
                  <c:v>33.299999999930151</c:v>
                </c:pt>
              </c:numCache>
            </c:numRef>
          </c:xVal>
          <c:yVal>
            <c:numRef>
              <c:f>SuppSheet25!$D$6:$D$15</c:f>
              <c:numCache>
                <c:formatCode>0.000</c:formatCode>
                <c:ptCount val="10"/>
                <c:pt idx="0">
                  <c:v>4.3999999999999997E-2</c:v>
                </c:pt>
                <c:pt idx="1">
                  <c:v>7.5999999999999998E-2</c:v>
                </c:pt>
                <c:pt idx="2">
                  <c:v>0.13600000000000001</c:v>
                </c:pt>
                <c:pt idx="3">
                  <c:v>0.23799999999999999</c:v>
                </c:pt>
                <c:pt idx="4">
                  <c:v>0.26200000000000001</c:v>
                </c:pt>
                <c:pt idx="5">
                  <c:v>0.26100000000000001</c:v>
                </c:pt>
                <c:pt idx="6">
                  <c:v>0.252</c:v>
                </c:pt>
                <c:pt idx="7">
                  <c:v>0.246</c:v>
                </c:pt>
                <c:pt idx="8">
                  <c:v>0.23699999999999999</c:v>
                </c:pt>
                <c:pt idx="9">
                  <c:v>0.23200000000000001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7-44D7-A66A-CD407FDF05D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SuppSheet25!$C$6:$C$15</c:f>
              <c:numCache>
                <c:formatCode>0.0</c:formatCode>
                <c:ptCount val="10"/>
                <c:pt idx="0">
                  <c:v>0</c:v>
                </c:pt>
                <c:pt idx="1">
                  <c:v>2.1333333333022892</c:v>
                </c:pt>
                <c:pt idx="2">
                  <c:v>4.5</c:v>
                </c:pt>
                <c:pt idx="3">
                  <c:v>6.7999999999883585</c:v>
                </c:pt>
                <c:pt idx="4">
                  <c:v>9.1666666666860692</c:v>
                </c:pt>
                <c:pt idx="5">
                  <c:v>11.599999999918509</c:v>
                </c:pt>
                <c:pt idx="6">
                  <c:v>14.483333333220799</c:v>
                </c:pt>
                <c:pt idx="7">
                  <c:v>17.266666666546371</c:v>
                </c:pt>
                <c:pt idx="8">
                  <c:v>27.600000000034925</c:v>
                </c:pt>
                <c:pt idx="9">
                  <c:v>33.299999999930151</c:v>
                </c:pt>
              </c:numCache>
            </c:numRef>
          </c:xVal>
          <c:yVal>
            <c:numRef>
              <c:f>SuppSheet25!$E$6:$E$15</c:f>
              <c:numCache>
                <c:formatCode>0.000</c:formatCode>
                <c:ptCount val="10"/>
                <c:pt idx="0">
                  <c:v>4.3999999999999997E-2</c:v>
                </c:pt>
                <c:pt idx="1">
                  <c:v>7.3999999999999996E-2</c:v>
                </c:pt>
                <c:pt idx="2">
                  <c:v>0.126</c:v>
                </c:pt>
                <c:pt idx="3">
                  <c:v>0.23300000000000001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0.25600000000000001</c:v>
                </c:pt>
                <c:pt idx="7">
                  <c:v>0.25</c:v>
                </c:pt>
                <c:pt idx="8">
                  <c:v>0.24099999999999999</c:v>
                </c:pt>
                <c:pt idx="9">
                  <c:v>0.23400000000000001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7-44D7-A66A-CD407FDF05D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SuppSheet25!$C$6:$C$15</c:f>
              <c:numCache>
                <c:formatCode>0.0</c:formatCode>
                <c:ptCount val="10"/>
                <c:pt idx="0">
                  <c:v>0</c:v>
                </c:pt>
                <c:pt idx="1">
                  <c:v>2.1333333333022892</c:v>
                </c:pt>
                <c:pt idx="2">
                  <c:v>4.5</c:v>
                </c:pt>
                <c:pt idx="3">
                  <c:v>6.7999999999883585</c:v>
                </c:pt>
                <c:pt idx="4">
                  <c:v>9.1666666666860692</c:v>
                </c:pt>
                <c:pt idx="5">
                  <c:v>11.599999999918509</c:v>
                </c:pt>
                <c:pt idx="6">
                  <c:v>14.483333333220799</c:v>
                </c:pt>
                <c:pt idx="7">
                  <c:v>17.266666666546371</c:v>
                </c:pt>
                <c:pt idx="8">
                  <c:v>27.600000000034925</c:v>
                </c:pt>
                <c:pt idx="9">
                  <c:v>33.299999999930151</c:v>
                </c:pt>
              </c:numCache>
            </c:numRef>
          </c:xVal>
          <c:yVal>
            <c:numRef>
              <c:f>SuppSheet25!$F$6:$F$15</c:f>
              <c:numCache>
                <c:formatCode>0.000</c:formatCode>
                <c:ptCount val="10"/>
                <c:pt idx="0">
                  <c:v>4.4999999999999998E-2</c:v>
                </c:pt>
                <c:pt idx="1">
                  <c:v>7.4999999999999997E-2</c:v>
                </c:pt>
                <c:pt idx="2">
                  <c:v>0.13</c:v>
                </c:pt>
                <c:pt idx="3">
                  <c:v>0.24399999999999999</c:v>
                </c:pt>
                <c:pt idx="4">
                  <c:v>0.28399999999999997</c:v>
                </c:pt>
                <c:pt idx="5">
                  <c:v>0.28000000000000003</c:v>
                </c:pt>
                <c:pt idx="6">
                  <c:v>0.26800000000000002</c:v>
                </c:pt>
                <c:pt idx="7">
                  <c:v>0.26400000000000001</c:v>
                </c:pt>
                <c:pt idx="8">
                  <c:v>0.254</c:v>
                </c:pt>
                <c:pt idx="9">
                  <c:v>0.252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27-44D7-A66A-CD407FDF05D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SuppSheet25!$C$6:$C$15</c:f>
              <c:numCache>
                <c:formatCode>0.0</c:formatCode>
                <c:ptCount val="10"/>
                <c:pt idx="0">
                  <c:v>0</c:v>
                </c:pt>
                <c:pt idx="1">
                  <c:v>2.1333333333022892</c:v>
                </c:pt>
                <c:pt idx="2">
                  <c:v>4.5</c:v>
                </c:pt>
                <c:pt idx="3">
                  <c:v>6.7999999999883585</c:v>
                </c:pt>
                <c:pt idx="4">
                  <c:v>9.1666666666860692</c:v>
                </c:pt>
                <c:pt idx="5">
                  <c:v>11.599999999918509</c:v>
                </c:pt>
                <c:pt idx="6">
                  <c:v>14.483333333220799</c:v>
                </c:pt>
                <c:pt idx="7">
                  <c:v>17.266666666546371</c:v>
                </c:pt>
                <c:pt idx="8">
                  <c:v>27.600000000034925</c:v>
                </c:pt>
                <c:pt idx="9">
                  <c:v>33.299999999930151</c:v>
                </c:pt>
              </c:numCache>
            </c:numRef>
          </c:xVal>
          <c:yVal>
            <c:numRef>
              <c:f>SuppSheet25!$G$6:$G$15</c:f>
              <c:numCache>
                <c:formatCode>0.000</c:formatCode>
                <c:ptCount val="10"/>
                <c:pt idx="0">
                  <c:v>-1E-3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27-44D7-A66A-CD407FDF0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220048"/>
        <c:axId val="1543227536"/>
      </c:scatterChart>
      <c:valAx>
        <c:axId val="154322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27536"/>
        <c:crosses val="autoZero"/>
        <c:crossBetween val="midCat"/>
      </c:valAx>
      <c:valAx>
        <c:axId val="15432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2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409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SuppSheet25!$AP$6:$AP$13</c:f>
                <c:numCache>
                  <c:formatCode>General</c:formatCode>
                  <c:ptCount val="8"/>
                  <c:pt idx="0">
                    <c:v>2.9311702654657212E-2</c:v>
                  </c:pt>
                  <c:pt idx="1">
                    <c:v>3.243732873904985E-2</c:v>
                  </c:pt>
                  <c:pt idx="2">
                    <c:v>0.10532939511174867</c:v>
                  </c:pt>
                  <c:pt idx="3">
                    <c:v>1.2838708212058616E-2</c:v>
                  </c:pt>
                  <c:pt idx="5">
                    <c:v>2.9260473215092123E-2</c:v>
                  </c:pt>
                  <c:pt idx="7">
                    <c:v>4.1187376291309995E-2</c:v>
                  </c:pt>
                </c:numCache>
              </c:numRef>
            </c:plus>
            <c:minus>
              <c:numRef>
                <c:f>SuppSheet25!$AP$6:$AP$13</c:f>
                <c:numCache>
                  <c:formatCode>General</c:formatCode>
                  <c:ptCount val="8"/>
                  <c:pt idx="0">
                    <c:v>2.9311702654657212E-2</c:v>
                  </c:pt>
                  <c:pt idx="1">
                    <c:v>3.243732873904985E-2</c:v>
                  </c:pt>
                  <c:pt idx="2">
                    <c:v>0.10532939511174867</c:v>
                  </c:pt>
                  <c:pt idx="3">
                    <c:v>1.2838708212058616E-2</c:v>
                  </c:pt>
                  <c:pt idx="5">
                    <c:v>2.9260473215092123E-2</c:v>
                  </c:pt>
                  <c:pt idx="7">
                    <c:v>4.1187376291309995E-2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SuppSheet25!$C$6:$C$13</c:f>
              <c:numCache>
                <c:formatCode>0.0</c:formatCode>
                <c:ptCount val="8"/>
                <c:pt idx="0">
                  <c:v>0</c:v>
                </c:pt>
                <c:pt idx="1">
                  <c:v>2.1333333333022892</c:v>
                </c:pt>
                <c:pt idx="2">
                  <c:v>4.5</c:v>
                </c:pt>
                <c:pt idx="3">
                  <c:v>6.7999999999883585</c:v>
                </c:pt>
                <c:pt idx="4">
                  <c:v>9.1666666666860692</c:v>
                </c:pt>
                <c:pt idx="5">
                  <c:v>11.599999999918509</c:v>
                </c:pt>
                <c:pt idx="6">
                  <c:v>14.483333333220799</c:v>
                </c:pt>
                <c:pt idx="7">
                  <c:v>17.266666666546371</c:v>
                </c:pt>
              </c:numCache>
            </c:numRef>
          </c:xVal>
          <c:yVal>
            <c:numRef>
              <c:f>SuppSheet25!$AO$6:$AO$13</c:f>
              <c:numCache>
                <c:formatCode>0.00</c:formatCode>
                <c:ptCount val="8"/>
                <c:pt idx="0">
                  <c:v>0.28494509326743961</c:v>
                </c:pt>
                <c:pt idx="1">
                  <c:v>0.27137394112517293</c:v>
                </c:pt>
                <c:pt idx="2">
                  <c:v>0.36579687701638924</c:v>
                </c:pt>
                <c:pt idx="3">
                  <c:v>0.5521896977151356</c:v>
                </c:pt>
                <c:pt idx="5">
                  <c:v>0.52994027142051958</c:v>
                </c:pt>
                <c:pt idx="7">
                  <c:v>0.52837555224109845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3-431B-93EF-2B7BB74A5646}"/>
            </c:ext>
          </c:extLst>
        </c:ser>
        <c:ser>
          <c:idx val="1"/>
          <c:order val="1"/>
          <c:tx>
            <c:v>403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SuppSheet25!$AU$6:$AU$13</c:f>
                <c:numCache>
                  <c:formatCode>General</c:formatCode>
                  <c:ptCount val="8"/>
                  <c:pt idx="0">
                    <c:v>2.9311702654657185E-2</c:v>
                  </c:pt>
                  <c:pt idx="1">
                    <c:v>3.2437328739049864E-2</c:v>
                  </c:pt>
                  <c:pt idx="2">
                    <c:v>0.10532939511174881</c:v>
                  </c:pt>
                  <c:pt idx="3">
                    <c:v>1.2838708212058592E-2</c:v>
                  </c:pt>
                  <c:pt idx="5">
                    <c:v>2.9260473215092141E-2</c:v>
                  </c:pt>
                  <c:pt idx="7">
                    <c:v>4.1187376291309932E-2</c:v>
                  </c:pt>
                </c:numCache>
              </c:numRef>
            </c:plus>
            <c:minus>
              <c:numRef>
                <c:f>SuppSheet25!$AU$6:$AU$13</c:f>
                <c:numCache>
                  <c:formatCode>General</c:formatCode>
                  <c:ptCount val="8"/>
                  <c:pt idx="0">
                    <c:v>2.9311702654657185E-2</c:v>
                  </c:pt>
                  <c:pt idx="1">
                    <c:v>3.2437328739049864E-2</c:v>
                  </c:pt>
                  <c:pt idx="2">
                    <c:v>0.10532939511174881</c:v>
                  </c:pt>
                  <c:pt idx="3">
                    <c:v>1.2838708212058592E-2</c:v>
                  </c:pt>
                  <c:pt idx="5">
                    <c:v>2.9260473215092141E-2</c:v>
                  </c:pt>
                  <c:pt idx="7">
                    <c:v>4.1187376291309932E-2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SuppSheet25!$C$6:$C$13</c:f>
              <c:numCache>
                <c:formatCode>0.0</c:formatCode>
                <c:ptCount val="8"/>
                <c:pt idx="0">
                  <c:v>0</c:v>
                </c:pt>
                <c:pt idx="1">
                  <c:v>2.1333333333022892</c:v>
                </c:pt>
                <c:pt idx="2">
                  <c:v>4.5</c:v>
                </c:pt>
                <c:pt idx="3">
                  <c:v>6.7999999999883585</c:v>
                </c:pt>
                <c:pt idx="4">
                  <c:v>9.1666666666860692</c:v>
                </c:pt>
                <c:pt idx="5">
                  <c:v>11.599999999918509</c:v>
                </c:pt>
                <c:pt idx="6">
                  <c:v>14.483333333220799</c:v>
                </c:pt>
                <c:pt idx="7">
                  <c:v>17.266666666546371</c:v>
                </c:pt>
              </c:numCache>
            </c:numRef>
          </c:xVal>
          <c:yVal>
            <c:numRef>
              <c:f>SuppSheet25!$AT$6:$AT$13</c:f>
              <c:numCache>
                <c:formatCode>0.00</c:formatCode>
                <c:ptCount val="8"/>
                <c:pt idx="0">
                  <c:v>0.71505490673256045</c:v>
                </c:pt>
                <c:pt idx="1">
                  <c:v>0.72862605887482701</c:v>
                </c:pt>
                <c:pt idx="2">
                  <c:v>0.63420312298361081</c:v>
                </c:pt>
                <c:pt idx="3">
                  <c:v>0.44781030228486446</c:v>
                </c:pt>
                <c:pt idx="5">
                  <c:v>0.47005972857948047</c:v>
                </c:pt>
                <c:pt idx="7">
                  <c:v>0.47162444775890155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53-431B-93EF-2B7BB74A5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9920"/>
        <c:axId val="524491560"/>
      </c:scatterChart>
      <c:valAx>
        <c:axId val="5244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91560"/>
        <c:crosses val="autoZero"/>
        <c:crossBetween val="midCat"/>
      </c:valAx>
      <c:valAx>
        <c:axId val="52449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SuppSheet26!$B$6:$B$18</c:f>
              <c:numCache>
                <c:formatCode>0.0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SuppSheet26!$C$6:$C$18</c:f>
              <c:numCache>
                <c:formatCode>0.000</c:formatCode>
                <c:ptCount val="13"/>
                <c:pt idx="0">
                  <c:v>0.03</c:v>
                </c:pt>
                <c:pt idx="1">
                  <c:v>4.7E-2</c:v>
                </c:pt>
                <c:pt idx="2">
                  <c:v>7.9000000000000001E-2</c:v>
                </c:pt>
                <c:pt idx="3">
                  <c:v>0.155</c:v>
                </c:pt>
                <c:pt idx="4">
                  <c:v>0.28799999999999998</c:v>
                </c:pt>
                <c:pt idx="5">
                  <c:v>0.52900000000000003</c:v>
                </c:pt>
                <c:pt idx="6">
                  <c:v>1.085</c:v>
                </c:pt>
                <c:pt idx="7">
                  <c:v>1.5249999999999999</c:v>
                </c:pt>
                <c:pt idx="8">
                  <c:v>2.3499999999999996</c:v>
                </c:pt>
                <c:pt idx="9">
                  <c:v>3.81</c:v>
                </c:pt>
                <c:pt idx="10">
                  <c:v>3.3600000000000003</c:v>
                </c:pt>
                <c:pt idx="11">
                  <c:v>3.41</c:v>
                </c:pt>
                <c:pt idx="12">
                  <c:v>3.4899999999999998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4-4F32-8BB4-F514D4D84D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SuppSheet26!$B$6:$B$18</c:f>
              <c:numCache>
                <c:formatCode>0.0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SuppSheet26!$D$6:$D$18</c:f>
              <c:numCache>
                <c:formatCode>0.000</c:formatCode>
                <c:ptCount val="13"/>
                <c:pt idx="0">
                  <c:v>2.9000000000000001E-2</c:v>
                </c:pt>
                <c:pt idx="1">
                  <c:v>4.7E-2</c:v>
                </c:pt>
                <c:pt idx="2">
                  <c:v>7.8E-2</c:v>
                </c:pt>
                <c:pt idx="3">
                  <c:v>0.155</c:v>
                </c:pt>
                <c:pt idx="4">
                  <c:v>0.28799999999999998</c:v>
                </c:pt>
                <c:pt idx="5">
                  <c:v>0.53800000000000003</c:v>
                </c:pt>
                <c:pt idx="6">
                  <c:v>1.07</c:v>
                </c:pt>
                <c:pt idx="7">
                  <c:v>1.7100000000000002</c:v>
                </c:pt>
                <c:pt idx="8">
                  <c:v>2.5099999999999998</c:v>
                </c:pt>
                <c:pt idx="9">
                  <c:v>3.3800000000000003</c:v>
                </c:pt>
                <c:pt idx="10">
                  <c:v>3.2</c:v>
                </c:pt>
                <c:pt idx="11">
                  <c:v>3.9400000000000004</c:v>
                </c:pt>
                <c:pt idx="12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4-4F32-8BB4-F514D4D84DD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SuppSheet26!$B$6:$B$18</c:f>
              <c:numCache>
                <c:formatCode>0.0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SuppSheet26!$E$6:$E$18</c:f>
              <c:numCache>
                <c:formatCode>0.000</c:formatCode>
                <c:ptCount val="13"/>
                <c:pt idx="0">
                  <c:v>2.5999999999999999E-2</c:v>
                </c:pt>
                <c:pt idx="1">
                  <c:v>4.2999999999999997E-2</c:v>
                </c:pt>
                <c:pt idx="2">
                  <c:v>7.0000000000000007E-2</c:v>
                </c:pt>
                <c:pt idx="3">
                  <c:v>0.14199999999999999</c:v>
                </c:pt>
                <c:pt idx="4">
                  <c:v>0.26800000000000002</c:v>
                </c:pt>
                <c:pt idx="5">
                  <c:v>0.501</c:v>
                </c:pt>
                <c:pt idx="6">
                  <c:v>0.98750000000000004</c:v>
                </c:pt>
                <c:pt idx="7">
                  <c:v>1.5449999999999999</c:v>
                </c:pt>
                <c:pt idx="8">
                  <c:v>2.3000000000000003</c:v>
                </c:pt>
                <c:pt idx="9">
                  <c:v>3.17</c:v>
                </c:pt>
                <c:pt idx="10">
                  <c:v>3.07</c:v>
                </c:pt>
                <c:pt idx="11">
                  <c:v>3.4799999999999995</c:v>
                </c:pt>
                <c:pt idx="12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4-4F32-8BB4-F514D4D84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074512"/>
        <c:axId val="1227346240"/>
      </c:scatterChart>
      <c:valAx>
        <c:axId val="115007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46240"/>
        <c:crosses val="autoZero"/>
        <c:crossBetween val="midCat"/>
      </c:valAx>
      <c:valAx>
        <c:axId val="12273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7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SuppSheet27!$C$8:$C$16</c:f>
              <c:numCache>
                <c:formatCode>0.0</c:formatCode>
                <c:ptCount val="9"/>
                <c:pt idx="0">
                  <c:v>0</c:v>
                </c:pt>
                <c:pt idx="1">
                  <c:v>2.3666666666977108</c:v>
                </c:pt>
                <c:pt idx="2">
                  <c:v>4.3000000000465661</c:v>
                </c:pt>
                <c:pt idx="3">
                  <c:v>6.4500000000698492</c:v>
                </c:pt>
                <c:pt idx="4">
                  <c:v>8.4500000001280569</c:v>
                </c:pt>
                <c:pt idx="5">
                  <c:v>10.850000000093132</c:v>
                </c:pt>
                <c:pt idx="6">
                  <c:v>12.866666666697711</c:v>
                </c:pt>
                <c:pt idx="7">
                  <c:v>14.783333333325572</c:v>
                </c:pt>
                <c:pt idx="8">
                  <c:v>16.650000000139698</c:v>
                </c:pt>
              </c:numCache>
            </c:numRef>
          </c:xVal>
          <c:yVal>
            <c:numRef>
              <c:f>SuppSheet27!$D$8:$D$16</c:f>
              <c:numCache>
                <c:formatCode>0.000</c:formatCode>
                <c:ptCount val="9"/>
                <c:pt idx="0">
                  <c:v>2.1000000000000001E-2</c:v>
                </c:pt>
                <c:pt idx="1">
                  <c:v>3.7999999999999999E-2</c:v>
                </c:pt>
                <c:pt idx="2">
                  <c:v>0.06</c:v>
                </c:pt>
                <c:pt idx="3">
                  <c:v>0.10100000000000001</c:v>
                </c:pt>
                <c:pt idx="4">
                  <c:v>0.16500000000000001</c:v>
                </c:pt>
                <c:pt idx="5">
                  <c:v>0.28499999999999998</c:v>
                </c:pt>
                <c:pt idx="6">
                  <c:v>0.438</c:v>
                </c:pt>
                <c:pt idx="7">
                  <c:v>0.48199999999999998</c:v>
                </c:pt>
                <c:pt idx="8">
                  <c:v>0.47799999999999998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D-4D9A-A8A7-3C9CEC816C9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SuppSheet27!$C$8:$C$16</c:f>
              <c:numCache>
                <c:formatCode>0.0</c:formatCode>
                <c:ptCount val="9"/>
                <c:pt idx="0">
                  <c:v>0</c:v>
                </c:pt>
                <c:pt idx="1">
                  <c:v>2.3666666666977108</c:v>
                </c:pt>
                <c:pt idx="2">
                  <c:v>4.3000000000465661</c:v>
                </c:pt>
                <c:pt idx="3">
                  <c:v>6.4500000000698492</c:v>
                </c:pt>
                <c:pt idx="4">
                  <c:v>8.4500000001280569</c:v>
                </c:pt>
                <c:pt idx="5">
                  <c:v>10.850000000093132</c:v>
                </c:pt>
                <c:pt idx="6">
                  <c:v>12.866666666697711</c:v>
                </c:pt>
                <c:pt idx="7">
                  <c:v>14.783333333325572</c:v>
                </c:pt>
                <c:pt idx="8">
                  <c:v>16.650000000139698</c:v>
                </c:pt>
              </c:numCache>
            </c:numRef>
          </c:xVal>
          <c:yVal>
            <c:numRef>
              <c:f>SuppSheet27!$E$8:$E$16</c:f>
              <c:numCache>
                <c:formatCode>0.000</c:formatCode>
                <c:ptCount val="9"/>
                <c:pt idx="0">
                  <c:v>0.02</c:v>
                </c:pt>
                <c:pt idx="1">
                  <c:v>3.5999999999999997E-2</c:v>
                </c:pt>
                <c:pt idx="2">
                  <c:v>5.8000000000000003E-2</c:v>
                </c:pt>
                <c:pt idx="3">
                  <c:v>9.7000000000000003E-2</c:v>
                </c:pt>
                <c:pt idx="4">
                  <c:v>0.158</c:v>
                </c:pt>
                <c:pt idx="5">
                  <c:v>0.27500000000000002</c:v>
                </c:pt>
                <c:pt idx="6">
                  <c:v>0.42599999999999999</c:v>
                </c:pt>
                <c:pt idx="7">
                  <c:v>0.47599999999999998</c:v>
                </c:pt>
                <c:pt idx="8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D-4D9A-A8A7-3C9CEC816C9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SuppSheet27!$C$8:$C$16</c:f>
              <c:numCache>
                <c:formatCode>0.0</c:formatCode>
                <c:ptCount val="9"/>
                <c:pt idx="0">
                  <c:v>0</c:v>
                </c:pt>
                <c:pt idx="1">
                  <c:v>2.3666666666977108</c:v>
                </c:pt>
                <c:pt idx="2">
                  <c:v>4.3000000000465661</c:v>
                </c:pt>
                <c:pt idx="3">
                  <c:v>6.4500000000698492</c:v>
                </c:pt>
                <c:pt idx="4">
                  <c:v>8.4500000001280569</c:v>
                </c:pt>
                <c:pt idx="5">
                  <c:v>10.850000000093132</c:v>
                </c:pt>
                <c:pt idx="6">
                  <c:v>12.866666666697711</c:v>
                </c:pt>
                <c:pt idx="7">
                  <c:v>14.783333333325572</c:v>
                </c:pt>
                <c:pt idx="8">
                  <c:v>16.650000000139698</c:v>
                </c:pt>
              </c:numCache>
            </c:numRef>
          </c:xVal>
          <c:yVal>
            <c:numRef>
              <c:f>SuppSheet27!$F$8:$F$16</c:f>
              <c:numCache>
                <c:formatCode>0.000</c:formatCode>
                <c:ptCount val="9"/>
                <c:pt idx="0">
                  <c:v>2.1000000000000001E-2</c:v>
                </c:pt>
                <c:pt idx="1">
                  <c:v>3.9E-2</c:v>
                </c:pt>
                <c:pt idx="2">
                  <c:v>6.2E-2</c:v>
                </c:pt>
                <c:pt idx="3">
                  <c:v>0.105</c:v>
                </c:pt>
                <c:pt idx="4">
                  <c:v>0.17100000000000001</c:v>
                </c:pt>
                <c:pt idx="5">
                  <c:v>0.29499999999999998</c:v>
                </c:pt>
                <c:pt idx="6">
                  <c:v>0.45</c:v>
                </c:pt>
                <c:pt idx="7">
                  <c:v>0.47599999999999998</c:v>
                </c:pt>
                <c:pt idx="8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9D-4D9A-A8A7-3C9CEC816C9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SuppSheet27!$C$8:$C$16</c:f>
              <c:numCache>
                <c:formatCode>0.0</c:formatCode>
                <c:ptCount val="9"/>
                <c:pt idx="0">
                  <c:v>0</c:v>
                </c:pt>
                <c:pt idx="1">
                  <c:v>2.3666666666977108</c:v>
                </c:pt>
                <c:pt idx="2">
                  <c:v>4.3000000000465661</c:v>
                </c:pt>
                <c:pt idx="3">
                  <c:v>6.4500000000698492</c:v>
                </c:pt>
                <c:pt idx="4">
                  <c:v>8.4500000001280569</c:v>
                </c:pt>
                <c:pt idx="5">
                  <c:v>10.850000000093132</c:v>
                </c:pt>
                <c:pt idx="6">
                  <c:v>12.866666666697711</c:v>
                </c:pt>
                <c:pt idx="7">
                  <c:v>14.783333333325572</c:v>
                </c:pt>
                <c:pt idx="8">
                  <c:v>16.650000000139698</c:v>
                </c:pt>
              </c:numCache>
            </c:numRef>
          </c:xVal>
          <c:yVal>
            <c:numRef>
              <c:f>SuppSheet27!$G$8:$G$16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9D-4D9A-A8A7-3C9CEC81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55312"/>
        <c:axId val="784155872"/>
      </c:scatterChart>
      <c:valAx>
        <c:axId val="78415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55872"/>
        <c:crosses val="autoZero"/>
        <c:crossBetween val="midCat"/>
      </c:valAx>
      <c:valAx>
        <c:axId val="7841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5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Coculture Initial Experiment</a:t>
            </a:r>
            <a:r>
              <a:rPr lang="en-US" baseline="0"/>
              <a:t> Log(CFU/mL) 403</a:t>
            </a:r>
            <a:endParaRPr lang="en-US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SuppSheet28!$C$6:$C$12</c:f>
              <c:numCache>
                <c:formatCode>0.0</c:formatCode>
                <c:ptCount val="7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</c:numCache>
            </c:numRef>
          </c:xVal>
          <c:yVal>
            <c:numRef>
              <c:f>SuppSheet28!$AH$6:$AH$12</c:f>
              <c:numCache>
                <c:formatCode>0.000</c:formatCode>
                <c:ptCount val="7"/>
                <c:pt idx="0">
                  <c:v>7.6353708550443669</c:v>
                </c:pt>
                <c:pt idx="1">
                  <c:v>7.9096439817194435</c:v>
                </c:pt>
                <c:pt idx="2">
                  <c:v>8.0909459215708637</c:v>
                </c:pt>
                <c:pt idx="3">
                  <c:v>8.3794876465394417</c:v>
                </c:pt>
                <c:pt idx="4">
                  <c:v>8.7865095291034638</c:v>
                </c:pt>
                <c:pt idx="5">
                  <c:v>8.9575601613562643</c:v>
                </c:pt>
                <c:pt idx="6">
                  <c:v>9.0494384685078249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9-4B9E-B59B-485ED80E85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SuppSheet28!$C$6:$C$12</c:f>
              <c:numCache>
                <c:formatCode>0.0</c:formatCode>
                <c:ptCount val="7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</c:numCache>
            </c:numRef>
          </c:xVal>
          <c:yVal>
            <c:numRef>
              <c:f>SuppSheet28!$AI$6:$AI$12</c:f>
              <c:numCache>
                <c:formatCode>0.000</c:formatCode>
                <c:ptCount val="7"/>
                <c:pt idx="0">
                  <c:v>7.8167218056091459</c:v>
                </c:pt>
                <c:pt idx="1">
                  <c:v>8.0240308842590728</c:v>
                </c:pt>
                <c:pt idx="2">
                  <c:v>8.4099466271824603</c:v>
                </c:pt>
                <c:pt idx="3">
                  <c:v>8.6274679280870394</c:v>
                </c:pt>
                <c:pt idx="4">
                  <c:v>8.7490090216461418</c:v>
                </c:pt>
                <c:pt idx="5">
                  <c:v>9.2134054625538226</c:v>
                </c:pt>
                <c:pt idx="6">
                  <c:v>9.4585718313559486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9-4B9E-B59B-485ED80E85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SuppSheet28!$C$6:$C$12</c:f>
              <c:numCache>
                <c:formatCode>0.0</c:formatCode>
                <c:ptCount val="7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</c:numCache>
            </c:numRef>
          </c:xVal>
          <c:yVal>
            <c:numRef>
              <c:f>SuppSheet28!$AJ$6:$AJ$12</c:f>
              <c:numCache>
                <c:formatCode>0.000</c:formatCode>
                <c:ptCount val="7"/>
                <c:pt idx="0">
                  <c:v>7.3321875420760021</c:v>
                </c:pt>
                <c:pt idx="1">
                  <c:v>7.6191786247582201</c:v>
                </c:pt>
                <c:pt idx="2">
                  <c:v>7.8408034644783795</c:v>
                </c:pt>
                <c:pt idx="3">
                  <c:v>7.9738865792299602</c:v>
                </c:pt>
                <c:pt idx="4">
                  <c:v>8.1354738776927924</c:v>
                </c:pt>
                <c:pt idx="5">
                  <c:v>8.2913767151954119</c:v>
                </c:pt>
                <c:pt idx="6">
                  <c:v>8.8473152976508551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A9-4B9E-B59B-485ED80E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48464"/>
        <c:axId val="1031049024"/>
      </c:scatterChart>
      <c:valAx>
        <c:axId val="103104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49024"/>
        <c:crosses val="autoZero"/>
        <c:crossBetween val="midCat"/>
      </c:valAx>
      <c:valAx>
        <c:axId val="10310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Log(CFU/mL)</a:t>
                </a:r>
                <a:endParaRPr lang="en-US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4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Coculture Initial Experiment</a:t>
            </a:r>
            <a:r>
              <a:rPr lang="en-US" baseline="0"/>
              <a:t> CFU/mL 403</a:t>
            </a:r>
            <a:endParaRPr lang="en-US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SuppSheet28!$C$6:$C$12</c:f>
              <c:numCache>
                <c:formatCode>0.0</c:formatCode>
                <c:ptCount val="7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</c:numCache>
            </c:numRef>
          </c:xVal>
          <c:yVal>
            <c:numRef>
              <c:f>SuppSheet28!$AM$6:$AM$12</c:f>
              <c:numCache>
                <c:formatCode>0.00E+00</c:formatCode>
                <c:ptCount val="7"/>
                <c:pt idx="0">
                  <c:v>48000000</c:v>
                </c:pt>
                <c:pt idx="1">
                  <c:v>88000000</c:v>
                </c:pt>
                <c:pt idx="2">
                  <c:v>125000000</c:v>
                </c:pt>
                <c:pt idx="3">
                  <c:v>249819935.15330219</c:v>
                </c:pt>
                <c:pt idx="4">
                  <c:v>622968699.05317128</c:v>
                </c:pt>
                <c:pt idx="5">
                  <c:v>940000000</c:v>
                </c:pt>
                <c:pt idx="6">
                  <c:v>1190000000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3-497D-B8EC-D1608CAD975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SuppSheet28!$C$6:$C$12</c:f>
              <c:numCache>
                <c:formatCode>0.0</c:formatCode>
                <c:ptCount val="7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</c:numCache>
            </c:numRef>
          </c:xVal>
          <c:yVal>
            <c:numRef>
              <c:f>SuppSheet28!$AN$6:$AN$12</c:f>
              <c:numCache>
                <c:formatCode>0.00E+00</c:formatCode>
                <c:ptCount val="7"/>
                <c:pt idx="0">
                  <c:v>72000000</c:v>
                </c:pt>
                <c:pt idx="1">
                  <c:v>113000000</c:v>
                </c:pt>
                <c:pt idx="2">
                  <c:v>262469045.79397565</c:v>
                </c:pt>
                <c:pt idx="3">
                  <c:v>445881150.08374184</c:v>
                </c:pt>
                <c:pt idx="4">
                  <c:v>585021367.1311506</c:v>
                </c:pt>
                <c:pt idx="5">
                  <c:v>1670000000</c:v>
                </c:pt>
                <c:pt idx="6">
                  <c:v>2970000000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3-497D-B8EC-D1608CAD975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SuppSheet28!$C$6:$C$12</c:f>
              <c:numCache>
                <c:formatCode>0.0</c:formatCode>
                <c:ptCount val="7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</c:numCache>
            </c:numRef>
          </c:xVal>
          <c:yVal>
            <c:numRef>
              <c:f>SuppSheet28!$AO$6:$AO$12</c:f>
              <c:numCache>
                <c:formatCode>0.00E+00</c:formatCode>
                <c:ptCount val="7"/>
                <c:pt idx="0">
                  <c:v>22000000</c:v>
                </c:pt>
                <c:pt idx="1">
                  <c:v>44000000</c:v>
                </c:pt>
                <c:pt idx="2">
                  <c:v>74000000</c:v>
                </c:pt>
                <c:pt idx="3">
                  <c:v>98000000</c:v>
                </c:pt>
                <c:pt idx="4">
                  <c:v>139000000</c:v>
                </c:pt>
                <c:pt idx="5">
                  <c:v>199000000</c:v>
                </c:pt>
                <c:pt idx="6">
                  <c:v>730000000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53-497D-B8EC-D1608CAD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52944"/>
        <c:axId val="1031053504"/>
      </c:scatterChart>
      <c:valAx>
        <c:axId val="10310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53504"/>
        <c:crosses val="autoZero"/>
        <c:crossBetween val="midCat"/>
      </c:valAx>
      <c:valAx>
        <c:axId val="10310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CFU/mL</a:t>
                </a:r>
                <a:endParaRPr lang="en-US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SuppSheet28!$U$132:$U$138</c:f>
              <c:numCache>
                <c:formatCode>General</c:formatCode>
                <c:ptCount val="7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</c:numCache>
            </c:numRef>
          </c:xVal>
          <c:yVal>
            <c:numRef>
              <c:f>SuppSheet28!$W$132:$W$138</c:f>
              <c:numCache>
                <c:formatCode>General</c:formatCode>
                <c:ptCount val="7"/>
                <c:pt idx="0">
                  <c:v>-20</c:v>
                </c:pt>
                <c:pt idx="1">
                  <c:v>19.26605504587156</c:v>
                </c:pt>
                <c:pt idx="2">
                  <c:v>14.383561643835616</c:v>
                </c:pt>
                <c:pt idx="3">
                  <c:v>26.168224299065418</c:v>
                </c:pt>
                <c:pt idx="4">
                  <c:v>0.50505050505049043</c:v>
                </c:pt>
                <c:pt idx="5">
                  <c:v>-10.09411113178793</c:v>
                </c:pt>
                <c:pt idx="6">
                  <c:v>-13.333333333333334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6-424E-B4F3-E0555FAD4956}"/>
            </c:ext>
          </c:extLst>
        </c:ser>
        <c:ser>
          <c:idx val="1"/>
          <c:order val="1"/>
          <c:tx>
            <c:v>Count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SuppSheet28!$U$132:$U$138</c:f>
              <c:numCache>
                <c:formatCode>General</c:formatCode>
                <c:ptCount val="7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</c:numCache>
            </c:numRef>
          </c:xVal>
          <c:yVal>
            <c:numRef>
              <c:f>SuppSheet28!$X$132:$X$138</c:f>
              <c:numCache>
                <c:formatCode>General</c:formatCode>
                <c:ptCount val="7"/>
                <c:pt idx="0">
                  <c:v>18.64406779661017</c:v>
                </c:pt>
                <c:pt idx="1">
                  <c:v>25.423728813559322</c:v>
                </c:pt>
                <c:pt idx="2">
                  <c:v>10.071942446043165</c:v>
                </c:pt>
                <c:pt idx="3">
                  <c:v>23.300970873786405</c:v>
                </c:pt>
                <c:pt idx="4">
                  <c:v>-27.13646919452475</c:v>
                </c:pt>
                <c:pt idx="5">
                  <c:v>-18.9873417721519</c:v>
                </c:pt>
                <c:pt idx="6">
                  <c:v>-13.333333333333334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56-424E-B4F3-E0555FAD4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054288"/>
        <c:axId val="1050054848"/>
      </c:scatterChart>
      <c:valAx>
        <c:axId val="105005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54848"/>
        <c:crosses val="autoZero"/>
        <c:crossBetween val="midCat"/>
      </c:valAx>
      <c:valAx>
        <c:axId val="10500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5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SuppSheet28!$U$139:$U$145</c:f>
              <c:numCache>
                <c:formatCode>General</c:formatCode>
                <c:ptCount val="7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</c:numCache>
            </c:numRef>
          </c:xVal>
          <c:yVal>
            <c:numRef>
              <c:f>SuppSheet28!$W$139:$W$145</c:f>
              <c:numCache>
                <c:formatCode>General</c:formatCode>
                <c:ptCount val="7"/>
                <c:pt idx="0">
                  <c:v>7.6923076923076925</c:v>
                </c:pt>
                <c:pt idx="1">
                  <c:v>5.833333333333333</c:v>
                </c:pt>
                <c:pt idx="2">
                  <c:v>-26.187041247103675</c:v>
                </c:pt>
                <c:pt idx="3">
                  <c:v>23.783783783783793</c:v>
                </c:pt>
                <c:pt idx="4">
                  <c:v>15.909090909090926</c:v>
                </c:pt>
                <c:pt idx="5">
                  <c:v>13.020833333333334</c:v>
                </c:pt>
                <c:pt idx="6">
                  <c:v>14.409221902017292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4-43C8-A8CC-98770FD5D329}"/>
            </c:ext>
          </c:extLst>
        </c:ser>
        <c:ser>
          <c:idx val="1"/>
          <c:order val="1"/>
          <c:tx>
            <c:v>Count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SuppSheet28!$U$139:$U$145</c:f>
              <c:numCache>
                <c:formatCode>General</c:formatCode>
                <c:ptCount val="7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</c:numCache>
            </c:numRef>
          </c:xVal>
          <c:yVal>
            <c:numRef>
              <c:f>SuppSheet28!$X$139:$X$145</c:f>
              <c:numCache>
                <c:formatCode>General</c:formatCode>
                <c:ptCount val="7"/>
                <c:pt idx="0">
                  <c:v>21.739130434782609</c:v>
                </c:pt>
                <c:pt idx="1">
                  <c:v>2.5862068965517242</c:v>
                </c:pt>
                <c:pt idx="2">
                  <c:v>-13.698630136986278</c:v>
                </c:pt>
                <c:pt idx="3">
                  <c:v>32.442249987311847</c:v>
                </c:pt>
                <c:pt idx="4">
                  <c:v>-62.505935314208507</c:v>
                </c:pt>
                <c:pt idx="5">
                  <c:v>13.020833333333334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4-43C8-A8CC-98770FD5D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057648"/>
        <c:axId val="1050058208"/>
      </c:scatterChart>
      <c:valAx>
        <c:axId val="10500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58208"/>
        <c:crosses val="autoZero"/>
        <c:crossBetween val="midCat"/>
      </c:valAx>
      <c:valAx>
        <c:axId val="10500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5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SuppSheet28!$U$146:$U$152</c:f>
              <c:numCache>
                <c:formatCode>General</c:formatCode>
                <c:ptCount val="7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</c:numCache>
            </c:numRef>
          </c:xVal>
          <c:yVal>
            <c:numRef>
              <c:f>SuppSheet28!$W$146:$W$152</c:f>
              <c:numCache>
                <c:formatCode>General</c:formatCode>
                <c:ptCount val="7"/>
                <c:pt idx="0">
                  <c:v>46.341463414634148</c:v>
                </c:pt>
                <c:pt idx="1">
                  <c:v>52.688172043010752</c:v>
                </c:pt>
                <c:pt idx="2">
                  <c:v>40.322580645161288</c:v>
                </c:pt>
                <c:pt idx="3">
                  <c:v>47.311827956989248</c:v>
                </c:pt>
                <c:pt idx="4">
                  <c:v>43.646590414948157</c:v>
                </c:pt>
                <c:pt idx="5">
                  <c:v>10.36036036036036</c:v>
                </c:pt>
                <c:pt idx="6">
                  <c:v>7.59493670886076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9-44BA-9D95-91B21885440B}"/>
            </c:ext>
          </c:extLst>
        </c:ser>
        <c:ser>
          <c:idx val="1"/>
          <c:order val="1"/>
          <c:tx>
            <c:v>Count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SuppSheet28!$U$146:$U$152</c:f>
              <c:numCache>
                <c:formatCode>General</c:formatCode>
                <c:ptCount val="7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</c:numCache>
            </c:numRef>
          </c:xVal>
          <c:yVal>
            <c:numRef>
              <c:f>SuppSheet28!$X$146:$X$152</c:f>
              <c:numCache>
                <c:formatCode>General</c:formatCode>
                <c:ptCount val="7"/>
                <c:pt idx="0">
                  <c:v>63.934426229508205</c:v>
                </c:pt>
                <c:pt idx="1">
                  <c:v>47.619047619047613</c:v>
                </c:pt>
                <c:pt idx="2">
                  <c:v>32.727272727272727</c:v>
                </c:pt>
                <c:pt idx="3">
                  <c:v>76.097560975609753</c:v>
                </c:pt>
                <c:pt idx="4">
                  <c:v>41.39245403154608</c:v>
                </c:pt>
                <c:pt idx="5">
                  <c:v>-16.535787846945745</c:v>
                </c:pt>
                <c:pt idx="6">
                  <c:v>7.59493670886076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9-44BA-9D95-91B218854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061008"/>
        <c:axId val="1050061568"/>
      </c:scatterChart>
      <c:valAx>
        <c:axId val="105006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61568"/>
        <c:crosses val="autoZero"/>
        <c:crossBetween val="midCat"/>
      </c:valAx>
      <c:valAx>
        <c:axId val="10500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6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Primary</a:t>
            </a:r>
            <a:r>
              <a:rPr lang="en-US" baseline="0">
                <a:solidFill>
                  <a:sysClr val="windowText" lastClr="000000"/>
                </a:solidFill>
              </a:rPr>
              <a:t> Producer Percentage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SuppSheet28!$U$132:$U$138</c:f>
              <c:numCache>
                <c:formatCode>General</c:formatCode>
                <c:ptCount val="7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</c:numCache>
            </c:numRef>
          </c:xVal>
          <c:yVal>
            <c:numRef>
              <c:f>SuppSheet28!$W$132:$W$138</c:f>
              <c:numCache>
                <c:formatCode>General</c:formatCode>
                <c:ptCount val="7"/>
                <c:pt idx="0">
                  <c:v>-20</c:v>
                </c:pt>
                <c:pt idx="1">
                  <c:v>19.26605504587156</c:v>
                </c:pt>
                <c:pt idx="2">
                  <c:v>14.383561643835616</c:v>
                </c:pt>
                <c:pt idx="3">
                  <c:v>26.168224299065418</c:v>
                </c:pt>
                <c:pt idx="4">
                  <c:v>0.50505050505049043</c:v>
                </c:pt>
                <c:pt idx="5">
                  <c:v>-10.09411113178793</c:v>
                </c:pt>
                <c:pt idx="6">
                  <c:v>-13.333333333333334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B-43B2-B539-45EC0A5FE9A2}"/>
            </c:ext>
          </c:extLst>
        </c:ser>
        <c:ser>
          <c:idx val="1"/>
          <c:order val="1"/>
          <c:tx>
            <c:v>Sample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SuppSheet28!$U$139:$U$145</c:f>
              <c:numCache>
                <c:formatCode>General</c:formatCode>
                <c:ptCount val="7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</c:numCache>
            </c:numRef>
          </c:xVal>
          <c:yVal>
            <c:numRef>
              <c:f>SuppSheet28!$W$139:$W$145</c:f>
              <c:numCache>
                <c:formatCode>General</c:formatCode>
                <c:ptCount val="7"/>
                <c:pt idx="0">
                  <c:v>7.6923076923076925</c:v>
                </c:pt>
                <c:pt idx="1">
                  <c:v>5.833333333333333</c:v>
                </c:pt>
                <c:pt idx="2">
                  <c:v>-26.187041247103675</c:v>
                </c:pt>
                <c:pt idx="3">
                  <c:v>23.783783783783793</c:v>
                </c:pt>
                <c:pt idx="4">
                  <c:v>15.909090909090926</c:v>
                </c:pt>
                <c:pt idx="5">
                  <c:v>13.020833333333334</c:v>
                </c:pt>
                <c:pt idx="6">
                  <c:v>14.409221902017292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FB-43B2-B539-45EC0A5FE9A2}"/>
            </c:ext>
          </c:extLst>
        </c:ser>
        <c:ser>
          <c:idx val="2"/>
          <c:order val="2"/>
          <c:tx>
            <c:v>Sample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SuppSheet28!$U$146:$U$152</c:f>
              <c:numCache>
                <c:formatCode>General</c:formatCode>
                <c:ptCount val="7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</c:numCache>
            </c:numRef>
          </c:xVal>
          <c:yVal>
            <c:numRef>
              <c:f>SuppSheet28!$W$146:$W$152</c:f>
              <c:numCache>
                <c:formatCode>General</c:formatCode>
                <c:ptCount val="7"/>
                <c:pt idx="0">
                  <c:v>46.341463414634148</c:v>
                </c:pt>
                <c:pt idx="1">
                  <c:v>52.688172043010752</c:v>
                </c:pt>
                <c:pt idx="2">
                  <c:v>40.322580645161288</c:v>
                </c:pt>
                <c:pt idx="3">
                  <c:v>47.311827956989248</c:v>
                </c:pt>
                <c:pt idx="4">
                  <c:v>43.646590414948157</c:v>
                </c:pt>
                <c:pt idx="5">
                  <c:v>10.36036036036036</c:v>
                </c:pt>
                <c:pt idx="6">
                  <c:v>7.59493670886076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FB-43B2-B539-45EC0A5FE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069408"/>
        <c:axId val="1050069968"/>
      </c:scatterChart>
      <c:valAx>
        <c:axId val="105006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(hours)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69968"/>
        <c:crosses val="autoZero"/>
        <c:crossBetween val="midCat"/>
      </c:valAx>
      <c:valAx>
        <c:axId val="10500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Percentage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of CFU/mL (primary producer)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6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SuppSheet2!$C$6:$C$10</c:f>
              <c:numCache>
                <c:formatCode>0.0</c:formatCode>
                <c:ptCount val="5"/>
                <c:pt idx="0">
                  <c:v>0</c:v>
                </c:pt>
                <c:pt idx="1">
                  <c:v>1.0833333333721384</c:v>
                </c:pt>
                <c:pt idx="2">
                  <c:v>2.9500000000116415</c:v>
                </c:pt>
                <c:pt idx="3">
                  <c:v>4.4666666667326353</c:v>
                </c:pt>
                <c:pt idx="4">
                  <c:v>6.4166666668024845</c:v>
                </c:pt>
              </c:numCache>
            </c:numRef>
          </c:xVal>
          <c:yVal>
            <c:numRef>
              <c:f>SuppSheet2!$D$6:$D$10</c:f>
              <c:numCache>
                <c:formatCode>0.000</c:formatCode>
                <c:ptCount val="5"/>
                <c:pt idx="0">
                  <c:v>2.5999999999999999E-2</c:v>
                </c:pt>
                <c:pt idx="1">
                  <c:v>4.2000000000000003E-2</c:v>
                </c:pt>
                <c:pt idx="2">
                  <c:v>0.11899999999999999</c:v>
                </c:pt>
                <c:pt idx="3">
                  <c:v>0.20100000000000001</c:v>
                </c:pt>
                <c:pt idx="4">
                  <c:v>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E-45D4-AB7E-7A25D55AB90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SuppSheet2!$C$6:$C$10</c:f>
              <c:numCache>
                <c:formatCode>0.0</c:formatCode>
                <c:ptCount val="5"/>
                <c:pt idx="0">
                  <c:v>0</c:v>
                </c:pt>
                <c:pt idx="1">
                  <c:v>1.0833333333721384</c:v>
                </c:pt>
                <c:pt idx="2">
                  <c:v>2.9500000000116415</c:v>
                </c:pt>
                <c:pt idx="3">
                  <c:v>4.4666666667326353</c:v>
                </c:pt>
                <c:pt idx="4">
                  <c:v>6.4166666668024845</c:v>
                </c:pt>
              </c:numCache>
            </c:numRef>
          </c:xVal>
          <c:yVal>
            <c:numRef>
              <c:f>SuppSheet2!$E$6:$E$10</c:f>
              <c:numCache>
                <c:formatCode>0.000</c:formatCode>
                <c:ptCount val="5"/>
                <c:pt idx="0">
                  <c:v>2.5000000000000001E-2</c:v>
                </c:pt>
                <c:pt idx="1">
                  <c:v>4.2000000000000003E-2</c:v>
                </c:pt>
                <c:pt idx="2">
                  <c:v>0.11899999999999999</c:v>
                </c:pt>
                <c:pt idx="3">
                  <c:v>0.20100000000000001</c:v>
                </c:pt>
                <c:pt idx="4">
                  <c:v>0.20899999999999999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2E-45D4-AB7E-7A25D55AB90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SuppSheet2!$C$6:$C$10</c:f>
              <c:numCache>
                <c:formatCode>0.0</c:formatCode>
                <c:ptCount val="5"/>
                <c:pt idx="0">
                  <c:v>0</c:v>
                </c:pt>
                <c:pt idx="1">
                  <c:v>1.0833333333721384</c:v>
                </c:pt>
                <c:pt idx="2">
                  <c:v>2.9500000000116415</c:v>
                </c:pt>
                <c:pt idx="3">
                  <c:v>4.4666666667326353</c:v>
                </c:pt>
                <c:pt idx="4">
                  <c:v>6.4166666668024845</c:v>
                </c:pt>
              </c:numCache>
            </c:numRef>
          </c:xVal>
          <c:yVal>
            <c:numRef>
              <c:f>SuppSheet2!$F$6:$F$10</c:f>
              <c:numCache>
                <c:formatCode>0.000</c:formatCode>
                <c:ptCount val="5"/>
                <c:pt idx="0">
                  <c:v>2.8000000000000001E-2</c:v>
                </c:pt>
                <c:pt idx="1">
                  <c:v>4.5999999999999999E-2</c:v>
                </c:pt>
                <c:pt idx="2">
                  <c:v>0.127</c:v>
                </c:pt>
                <c:pt idx="3">
                  <c:v>0.20899999999999999</c:v>
                </c:pt>
                <c:pt idx="4">
                  <c:v>0.214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2E-45D4-AB7E-7A25D55AB90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SuppSheet2!$C$6:$C$10</c:f>
              <c:numCache>
                <c:formatCode>0.0</c:formatCode>
                <c:ptCount val="5"/>
                <c:pt idx="0">
                  <c:v>0</c:v>
                </c:pt>
                <c:pt idx="1">
                  <c:v>1.0833333333721384</c:v>
                </c:pt>
                <c:pt idx="2">
                  <c:v>2.9500000000116415</c:v>
                </c:pt>
                <c:pt idx="3">
                  <c:v>4.4666666667326353</c:v>
                </c:pt>
                <c:pt idx="4">
                  <c:v>6.4166666668024845</c:v>
                </c:pt>
              </c:numCache>
            </c:numRef>
          </c:xVal>
          <c:yVal>
            <c:numRef>
              <c:f>SuppSheet2!$G$6:$G$10</c:f>
              <c:numCache>
                <c:formatCode>0.000</c:formatCode>
                <c:ptCount val="5"/>
                <c:pt idx="0">
                  <c:v>2E-3</c:v>
                </c:pt>
                <c:pt idx="1">
                  <c:v>0</c:v>
                </c:pt>
                <c:pt idx="2">
                  <c:v>1E-3</c:v>
                </c:pt>
                <c:pt idx="3">
                  <c:v>-1E-3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2E-45D4-AB7E-7A25D55AB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73024"/>
        <c:axId val="876023680"/>
      </c:scatterChart>
      <c:valAx>
        <c:axId val="95017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23680"/>
        <c:crosses val="autoZero"/>
        <c:crossBetween val="midCat"/>
      </c:valAx>
      <c:valAx>
        <c:axId val="8760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7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ECOM fraction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SuppSheet28!$AO$133:$AO$153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2.0833333334885538</c:v>
                </c:pt>
                <c:pt idx="4">
                  <c:v>2.0833333334885538</c:v>
                </c:pt>
                <c:pt idx="5">
                  <c:v>2.0833333334885538</c:v>
                </c:pt>
                <c:pt idx="6">
                  <c:v>4.0833333333721384</c:v>
                </c:pt>
                <c:pt idx="7">
                  <c:v>4.0833333333721384</c:v>
                </c:pt>
                <c:pt idx="8">
                  <c:v>4.0833333333721384</c:v>
                </c:pt>
                <c:pt idx="9">
                  <c:v>6.4166666668024845</c:v>
                </c:pt>
                <c:pt idx="10">
                  <c:v>6.4166666668024845</c:v>
                </c:pt>
                <c:pt idx="11">
                  <c:v>6.4166666668024845</c:v>
                </c:pt>
                <c:pt idx="12">
                  <c:v>8.6000000000931323</c:v>
                </c:pt>
                <c:pt idx="13">
                  <c:v>8.6000000000931323</c:v>
                </c:pt>
                <c:pt idx="14">
                  <c:v>8.6000000000931323</c:v>
                </c:pt>
                <c:pt idx="15">
                  <c:v>10.833333333372138</c:v>
                </c:pt>
                <c:pt idx="16">
                  <c:v>10.833333333372138</c:v>
                </c:pt>
                <c:pt idx="17">
                  <c:v>10.833333333372138</c:v>
                </c:pt>
                <c:pt idx="18">
                  <c:v>13.300000000046566</c:v>
                </c:pt>
                <c:pt idx="19">
                  <c:v>13.300000000046566</c:v>
                </c:pt>
                <c:pt idx="20">
                  <c:v>13.300000000046566</c:v>
                </c:pt>
              </c:numCache>
            </c:numRef>
          </c:xVal>
          <c:yVal>
            <c:numRef>
              <c:f>SuppSheet28!$AS$133:$AS$153</c:f>
              <c:numCache>
                <c:formatCode>General</c:formatCode>
                <c:ptCount val="21"/>
                <c:pt idx="0">
                  <c:v>-0.2</c:v>
                </c:pt>
                <c:pt idx="1">
                  <c:v>7.6923076923076927E-2</c:v>
                </c:pt>
                <c:pt idx="2">
                  <c:v>0.43902439024390244</c:v>
                </c:pt>
                <c:pt idx="3">
                  <c:v>0.14062500000000003</c:v>
                </c:pt>
                <c:pt idx="4">
                  <c:v>0.13037364345369501</c:v>
                </c:pt>
                <c:pt idx="5">
                  <c:v>0.72171956590518282</c:v>
                </c:pt>
                <c:pt idx="6">
                  <c:v>-2.1739130434782591E-2</c:v>
                </c:pt>
                <c:pt idx="7">
                  <c:v>-0.25757575757575724</c:v>
                </c:pt>
                <c:pt idx="8">
                  <c:v>0.36244402012734234</c:v>
                </c:pt>
                <c:pt idx="9">
                  <c:v>0.26168224299065418</c:v>
                </c:pt>
                <c:pt idx="10">
                  <c:v>0.29850746268656714</c:v>
                </c:pt>
                <c:pt idx="11">
                  <c:v>0.34090909090909094</c:v>
                </c:pt>
                <c:pt idx="12">
                  <c:v>0.36734693877551022</c:v>
                </c:pt>
                <c:pt idx="13">
                  <c:v>-0.62505935314208505</c:v>
                </c:pt>
                <c:pt idx="14">
                  <c:v>0.35897435897435898</c:v>
                </c:pt>
                <c:pt idx="15">
                  <c:v>-0.189873417721519</c:v>
                </c:pt>
                <c:pt idx="16">
                  <c:v>0.13020833333333334</c:v>
                </c:pt>
                <c:pt idx="17">
                  <c:v>-0.22977464562103547</c:v>
                </c:pt>
                <c:pt idx="18">
                  <c:v>-0.13333333333333333</c:v>
                </c:pt>
                <c:pt idx="19">
                  <c:v>0.14409221902017291</c:v>
                </c:pt>
                <c:pt idx="20">
                  <c:v>7.5949367088607597E-2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1-461E-AF8D-E2146C098363}"/>
            </c:ext>
          </c:extLst>
        </c:ser>
        <c:ser>
          <c:idx val="1"/>
          <c:order val="1"/>
          <c:tx>
            <c:v>403 fraction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SuppSheet28!$AO$133:$AO$153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2.0833333334885538</c:v>
                </c:pt>
                <c:pt idx="4">
                  <c:v>2.0833333334885538</c:v>
                </c:pt>
                <c:pt idx="5">
                  <c:v>2.0833333334885538</c:v>
                </c:pt>
                <c:pt idx="6">
                  <c:v>4.0833333333721384</c:v>
                </c:pt>
                <c:pt idx="7">
                  <c:v>4.0833333333721384</c:v>
                </c:pt>
                <c:pt idx="8">
                  <c:v>4.0833333333721384</c:v>
                </c:pt>
                <c:pt idx="9">
                  <c:v>6.4166666668024845</c:v>
                </c:pt>
                <c:pt idx="10">
                  <c:v>6.4166666668024845</c:v>
                </c:pt>
                <c:pt idx="11">
                  <c:v>6.4166666668024845</c:v>
                </c:pt>
                <c:pt idx="12">
                  <c:v>8.6000000000931323</c:v>
                </c:pt>
                <c:pt idx="13">
                  <c:v>8.6000000000931323</c:v>
                </c:pt>
                <c:pt idx="14">
                  <c:v>8.6000000000931323</c:v>
                </c:pt>
                <c:pt idx="15">
                  <c:v>10.833333333372138</c:v>
                </c:pt>
                <c:pt idx="16">
                  <c:v>10.833333333372138</c:v>
                </c:pt>
                <c:pt idx="17">
                  <c:v>10.833333333372138</c:v>
                </c:pt>
                <c:pt idx="18">
                  <c:v>13.300000000046566</c:v>
                </c:pt>
                <c:pt idx="19">
                  <c:v>13.300000000046566</c:v>
                </c:pt>
                <c:pt idx="20">
                  <c:v>13.300000000046566</c:v>
                </c:pt>
              </c:numCache>
            </c:numRef>
          </c:xVal>
          <c:yVal>
            <c:numRef>
              <c:f>SuppSheet28!$AT$133:$AT$153</c:f>
              <c:numCache>
                <c:formatCode>General</c:formatCode>
                <c:ptCount val="21"/>
                <c:pt idx="0">
                  <c:v>1.2</c:v>
                </c:pt>
                <c:pt idx="1">
                  <c:v>0.92307692307692313</c:v>
                </c:pt>
                <c:pt idx="2">
                  <c:v>0.56097560975609762</c:v>
                </c:pt>
                <c:pt idx="3">
                  <c:v>0.859375</c:v>
                </c:pt>
                <c:pt idx="4">
                  <c:v>0.86962635654630505</c:v>
                </c:pt>
                <c:pt idx="5">
                  <c:v>0.27828043409481718</c:v>
                </c:pt>
                <c:pt idx="6">
                  <c:v>1.0217391304347825</c:v>
                </c:pt>
                <c:pt idx="7">
                  <c:v>1.2575757575757571</c:v>
                </c:pt>
                <c:pt idx="8">
                  <c:v>0.63755597987265766</c:v>
                </c:pt>
                <c:pt idx="9">
                  <c:v>0.73831775700934588</c:v>
                </c:pt>
                <c:pt idx="10">
                  <c:v>0.70149253731343286</c:v>
                </c:pt>
                <c:pt idx="11">
                  <c:v>0.65909090909090906</c:v>
                </c:pt>
                <c:pt idx="12">
                  <c:v>0.63265306122448983</c:v>
                </c:pt>
                <c:pt idx="13">
                  <c:v>1.6250593531420849</c:v>
                </c:pt>
                <c:pt idx="14">
                  <c:v>0.64102564102564108</c:v>
                </c:pt>
                <c:pt idx="15">
                  <c:v>1.1898734177215189</c:v>
                </c:pt>
                <c:pt idx="16">
                  <c:v>0.86979166666666663</c:v>
                </c:pt>
                <c:pt idx="17">
                  <c:v>1.2297746456210354</c:v>
                </c:pt>
                <c:pt idx="18">
                  <c:v>1.1333333333333333</c:v>
                </c:pt>
                <c:pt idx="19">
                  <c:v>0.85590778097982712</c:v>
                </c:pt>
                <c:pt idx="20">
                  <c:v>0.92405063291139244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1-461E-AF8D-E2146C098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073328"/>
        <c:axId val="1050073888"/>
      </c:scatterChart>
      <c:valAx>
        <c:axId val="105007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73888"/>
        <c:crosses val="autoZero"/>
        <c:crossBetween val="midCat"/>
      </c:valAx>
      <c:valAx>
        <c:axId val="10500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7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Coculture @ 4 g/L Glucose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ECOM fraction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SuppSheet28!$AX$133:$AX$151</c:f>
                <c:numCache>
                  <c:formatCode>General</c:formatCode>
                  <c:ptCount val="19"/>
                  <c:pt idx="0">
                    <c:v>0.32045694535766744</c:v>
                  </c:pt>
                  <c:pt idx="3">
                    <c:v>0.33849322613497335</c:v>
                  </c:pt>
                  <c:pt idx="6">
                    <c:v>0.31295370600672778</c:v>
                  </c:pt>
                  <c:pt idx="9">
                    <c:v>3.9646118584010258E-2</c:v>
                  </c:pt>
                  <c:pt idx="12">
                    <c:v>0.5705644420092304</c:v>
                  </c:pt>
                  <c:pt idx="15">
                    <c:v>0.1973289049966625</c:v>
                  </c:pt>
                  <c:pt idx="18">
                    <c:v>0.14457272337472879</c:v>
                  </c:pt>
                </c:numCache>
              </c:numRef>
            </c:plus>
            <c:minus>
              <c:numRef>
                <c:f>SuppSheet28!$AX$133:$AX$151</c:f>
                <c:numCache>
                  <c:formatCode>General</c:formatCode>
                  <c:ptCount val="19"/>
                  <c:pt idx="0">
                    <c:v>0.32045694535766744</c:v>
                  </c:pt>
                  <c:pt idx="3">
                    <c:v>0.33849322613497335</c:v>
                  </c:pt>
                  <c:pt idx="6">
                    <c:v>0.31295370600672778</c:v>
                  </c:pt>
                  <c:pt idx="9">
                    <c:v>3.9646118584010258E-2</c:v>
                  </c:pt>
                  <c:pt idx="12">
                    <c:v>0.5705644420092304</c:v>
                  </c:pt>
                  <c:pt idx="15">
                    <c:v>0.1973289049966625</c:v>
                  </c:pt>
                  <c:pt idx="18">
                    <c:v>0.14457272337472879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SuppSheet28!$AO$133:$AO$153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2.0833333334885538</c:v>
                </c:pt>
                <c:pt idx="4">
                  <c:v>2.0833333334885538</c:v>
                </c:pt>
                <c:pt idx="5">
                  <c:v>2.0833333334885538</c:v>
                </c:pt>
                <c:pt idx="6">
                  <c:v>4.0833333333721384</c:v>
                </c:pt>
                <c:pt idx="7">
                  <c:v>4.0833333333721384</c:v>
                </c:pt>
                <c:pt idx="8">
                  <c:v>4.0833333333721384</c:v>
                </c:pt>
                <c:pt idx="9">
                  <c:v>6.4166666668024845</c:v>
                </c:pt>
                <c:pt idx="10">
                  <c:v>6.4166666668024845</c:v>
                </c:pt>
                <c:pt idx="11">
                  <c:v>6.4166666668024845</c:v>
                </c:pt>
                <c:pt idx="12">
                  <c:v>8.6000000000931323</c:v>
                </c:pt>
                <c:pt idx="13">
                  <c:v>8.6000000000931323</c:v>
                </c:pt>
                <c:pt idx="14">
                  <c:v>8.6000000000931323</c:v>
                </c:pt>
                <c:pt idx="15">
                  <c:v>10.833333333372138</c:v>
                </c:pt>
                <c:pt idx="16">
                  <c:v>10.833333333372138</c:v>
                </c:pt>
                <c:pt idx="17">
                  <c:v>10.833333333372138</c:v>
                </c:pt>
                <c:pt idx="18">
                  <c:v>13.300000000046566</c:v>
                </c:pt>
                <c:pt idx="19">
                  <c:v>13.300000000046566</c:v>
                </c:pt>
                <c:pt idx="20">
                  <c:v>13.300000000046566</c:v>
                </c:pt>
              </c:numCache>
            </c:numRef>
          </c:xVal>
          <c:yVal>
            <c:numRef>
              <c:f>SuppSheet28!$AV$133:$AV$153</c:f>
              <c:numCache>
                <c:formatCode>General</c:formatCode>
                <c:ptCount val="21"/>
                <c:pt idx="0">
                  <c:v>0.10531582238899312</c:v>
                </c:pt>
                <c:pt idx="3">
                  <c:v>0.33090606978629261</c:v>
                </c:pt>
                <c:pt idx="6">
                  <c:v>2.7709710705600837E-2</c:v>
                </c:pt>
                <c:pt idx="9">
                  <c:v>0.30036626552877077</c:v>
                </c:pt>
                <c:pt idx="12">
                  <c:v>3.3753981535928047E-2</c:v>
                </c:pt>
                <c:pt idx="15">
                  <c:v>-9.647991000307371E-2</c:v>
                </c:pt>
                <c:pt idx="18">
                  <c:v>2.8902750925149059E-2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2-4948-9D90-348E0A6793D2}"/>
            </c:ext>
          </c:extLst>
        </c:ser>
        <c:ser>
          <c:idx val="1"/>
          <c:order val="1"/>
          <c:tx>
            <c:v>403 fraction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SuppSheet28!$AY$133:$AY$151</c:f>
                <c:numCache>
                  <c:formatCode>General</c:formatCode>
                  <c:ptCount val="19"/>
                  <c:pt idx="0">
                    <c:v>0.3204569453576675</c:v>
                  </c:pt>
                  <c:pt idx="3">
                    <c:v>0.33849322613497346</c:v>
                  </c:pt>
                  <c:pt idx="6">
                    <c:v>0.31295370600672795</c:v>
                  </c:pt>
                  <c:pt idx="9">
                    <c:v>3.9646118584010431E-2</c:v>
                  </c:pt>
                  <c:pt idx="12">
                    <c:v>0.57056444200923084</c:v>
                  </c:pt>
                  <c:pt idx="15">
                    <c:v>0.19732890499666253</c:v>
                  </c:pt>
                  <c:pt idx="18">
                    <c:v>0.14457272337472807</c:v>
                  </c:pt>
                </c:numCache>
              </c:numRef>
            </c:plus>
            <c:minus>
              <c:numRef>
                <c:f>SuppSheet28!$AY$133:$AY$151</c:f>
                <c:numCache>
                  <c:formatCode>General</c:formatCode>
                  <c:ptCount val="19"/>
                  <c:pt idx="0">
                    <c:v>0.3204569453576675</c:v>
                  </c:pt>
                  <c:pt idx="3">
                    <c:v>0.33849322613497346</c:v>
                  </c:pt>
                  <c:pt idx="6">
                    <c:v>0.31295370600672795</c:v>
                  </c:pt>
                  <c:pt idx="9">
                    <c:v>3.9646118584010431E-2</c:v>
                  </c:pt>
                  <c:pt idx="12">
                    <c:v>0.57056444200923084</c:v>
                  </c:pt>
                  <c:pt idx="15">
                    <c:v>0.19732890499666253</c:v>
                  </c:pt>
                  <c:pt idx="18">
                    <c:v>0.14457272337472807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SuppSheet28!$AO$133:$AO$153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2.0833333334885538</c:v>
                </c:pt>
                <c:pt idx="4">
                  <c:v>2.0833333334885538</c:v>
                </c:pt>
                <c:pt idx="5">
                  <c:v>2.0833333334885538</c:v>
                </c:pt>
                <c:pt idx="6">
                  <c:v>4.0833333333721384</c:v>
                </c:pt>
                <c:pt idx="7">
                  <c:v>4.0833333333721384</c:v>
                </c:pt>
                <c:pt idx="8">
                  <c:v>4.0833333333721384</c:v>
                </c:pt>
                <c:pt idx="9">
                  <c:v>6.4166666668024845</c:v>
                </c:pt>
                <c:pt idx="10">
                  <c:v>6.4166666668024845</c:v>
                </c:pt>
                <c:pt idx="11">
                  <c:v>6.4166666668024845</c:v>
                </c:pt>
                <c:pt idx="12">
                  <c:v>8.6000000000931323</c:v>
                </c:pt>
                <c:pt idx="13">
                  <c:v>8.6000000000931323</c:v>
                </c:pt>
                <c:pt idx="14">
                  <c:v>8.6000000000931323</c:v>
                </c:pt>
                <c:pt idx="15">
                  <c:v>10.833333333372138</c:v>
                </c:pt>
                <c:pt idx="16">
                  <c:v>10.833333333372138</c:v>
                </c:pt>
                <c:pt idx="17">
                  <c:v>10.833333333372138</c:v>
                </c:pt>
                <c:pt idx="18">
                  <c:v>13.300000000046566</c:v>
                </c:pt>
                <c:pt idx="19">
                  <c:v>13.300000000046566</c:v>
                </c:pt>
                <c:pt idx="20">
                  <c:v>13.300000000046566</c:v>
                </c:pt>
              </c:numCache>
            </c:numRef>
          </c:xVal>
          <c:yVal>
            <c:numRef>
              <c:f>SuppSheet28!$AW$133:$AW$153</c:f>
              <c:numCache>
                <c:formatCode>General</c:formatCode>
                <c:ptCount val="21"/>
                <c:pt idx="0">
                  <c:v>0.89468417761100694</c:v>
                </c:pt>
                <c:pt idx="3">
                  <c:v>0.66909393021370744</c:v>
                </c:pt>
                <c:pt idx="6">
                  <c:v>0.97229028929439909</c:v>
                </c:pt>
                <c:pt idx="9">
                  <c:v>0.69963373447122923</c:v>
                </c:pt>
                <c:pt idx="12">
                  <c:v>0.96624601846407188</c:v>
                </c:pt>
                <c:pt idx="15">
                  <c:v>1.0964799100030735</c:v>
                </c:pt>
                <c:pt idx="18">
                  <c:v>0.97109724907485095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2-4948-9D90-348E0A679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076688"/>
        <c:axId val="1050077248"/>
      </c:scatterChart>
      <c:valAx>
        <c:axId val="10500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77248"/>
        <c:crosses val="autoZero"/>
        <c:crossBetween val="midCat"/>
      </c:valAx>
      <c:valAx>
        <c:axId val="10500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Population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Fraction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7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Coculture</a:t>
            </a:r>
            <a:r>
              <a:rPr lang="en-US" baseline="0">
                <a:solidFill>
                  <a:sysClr val="windowText" lastClr="000000"/>
                </a:solidFill>
              </a:rPr>
              <a:t> @ 4 g/L Glucose</a:t>
            </a:r>
            <a:endParaRPr lang="en-US" baseline="-25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OD, 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SuppSheet28!$C$6:$C$14</c:f>
              <c:numCache>
                <c:formatCode>0.0</c:formatCode>
                <c:ptCount val="9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  <c:pt idx="7">
                  <c:v>18.033333333441988</c:v>
                </c:pt>
                <c:pt idx="8">
                  <c:v>27.116666666697711</c:v>
                </c:pt>
              </c:numCache>
            </c:numRef>
          </c:xVal>
          <c:yVal>
            <c:numRef>
              <c:f>SuppSheet28!$D$6:$D$14</c:f>
              <c:numCache>
                <c:formatCode>0.000</c:formatCode>
                <c:ptCount val="9"/>
                <c:pt idx="0">
                  <c:v>4.2000000000000003E-2</c:v>
                </c:pt>
                <c:pt idx="1">
                  <c:v>7.6999999999999999E-2</c:v>
                </c:pt>
                <c:pt idx="2">
                  <c:v>0.124</c:v>
                </c:pt>
                <c:pt idx="3">
                  <c:v>0.214</c:v>
                </c:pt>
                <c:pt idx="4">
                  <c:v>0.36399999999999999</c:v>
                </c:pt>
                <c:pt idx="5">
                  <c:v>0.57000000000000006</c:v>
                </c:pt>
                <c:pt idx="6">
                  <c:v>0.84599999999999986</c:v>
                </c:pt>
                <c:pt idx="7">
                  <c:v>0.97199999999999998</c:v>
                </c:pt>
                <c:pt idx="8">
                  <c:v>1.1040000000000001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1-4521-B60A-DB90E10C1B76}"/>
            </c:ext>
          </c:extLst>
        </c:ser>
        <c:ser>
          <c:idx val="1"/>
          <c:order val="1"/>
          <c:tx>
            <c:v>OD, 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SuppSheet28!$C$6:$C$14</c:f>
              <c:numCache>
                <c:formatCode>0.0</c:formatCode>
                <c:ptCount val="9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  <c:pt idx="7">
                  <c:v>18.033333333441988</c:v>
                </c:pt>
                <c:pt idx="8">
                  <c:v>27.116666666697711</c:v>
                </c:pt>
              </c:numCache>
            </c:numRef>
          </c:xVal>
          <c:yVal>
            <c:numRef>
              <c:f>SuppSheet28!$E$6:$E$14</c:f>
              <c:numCache>
                <c:formatCode>0.000</c:formatCode>
                <c:ptCount val="9"/>
                <c:pt idx="0">
                  <c:v>4.7E-2</c:v>
                </c:pt>
                <c:pt idx="1">
                  <c:v>8.8999999999999996E-2</c:v>
                </c:pt>
                <c:pt idx="2">
                  <c:v>0.14499999999999999</c:v>
                </c:pt>
                <c:pt idx="3">
                  <c:v>0.255</c:v>
                </c:pt>
                <c:pt idx="4">
                  <c:v>0.442</c:v>
                </c:pt>
                <c:pt idx="5">
                  <c:v>0.76200000000000001</c:v>
                </c:pt>
                <c:pt idx="6">
                  <c:v>0.92800000000000005</c:v>
                </c:pt>
                <c:pt idx="7">
                  <c:v>1.0680000000000001</c:v>
                </c:pt>
                <c:pt idx="8">
                  <c:v>1.23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1-4521-B60A-DB90E10C1B76}"/>
            </c:ext>
          </c:extLst>
        </c:ser>
        <c:ser>
          <c:idx val="2"/>
          <c:order val="2"/>
          <c:tx>
            <c:v>OD, 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SuppSheet28!$C$6:$C$14</c:f>
              <c:numCache>
                <c:formatCode>0.0</c:formatCode>
                <c:ptCount val="9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  <c:pt idx="7">
                  <c:v>18.033333333441988</c:v>
                </c:pt>
                <c:pt idx="8">
                  <c:v>27.116666666697711</c:v>
                </c:pt>
              </c:numCache>
            </c:numRef>
          </c:xVal>
          <c:yVal>
            <c:numRef>
              <c:f>SuppSheet28!$F$6:$F$14</c:f>
              <c:numCache>
                <c:formatCode>0.000</c:formatCode>
                <c:ptCount val="9"/>
                <c:pt idx="0">
                  <c:v>3.2000000000000001E-2</c:v>
                </c:pt>
                <c:pt idx="1">
                  <c:v>5.7000000000000002E-2</c:v>
                </c:pt>
                <c:pt idx="2">
                  <c:v>8.7999999999999995E-2</c:v>
                </c:pt>
                <c:pt idx="3">
                  <c:v>0.14499999999999999</c:v>
                </c:pt>
                <c:pt idx="4">
                  <c:v>0.23300000000000001</c:v>
                </c:pt>
                <c:pt idx="5">
                  <c:v>0.33300000000000002</c:v>
                </c:pt>
                <c:pt idx="6">
                  <c:v>0.33900000000000002</c:v>
                </c:pt>
                <c:pt idx="7">
                  <c:v>1.0720000000000001</c:v>
                </c:pt>
                <c:pt idx="8">
                  <c:v>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41-4521-B60A-DB90E10C1B76}"/>
            </c:ext>
          </c:extLst>
        </c:ser>
        <c:ser>
          <c:idx val="3"/>
          <c:order val="3"/>
          <c:tx>
            <c:v>OD, 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SuppSheet28!$C$6:$C$14</c:f>
              <c:numCache>
                <c:formatCode>0.0</c:formatCode>
                <c:ptCount val="9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  <c:pt idx="7">
                  <c:v>18.033333333441988</c:v>
                </c:pt>
                <c:pt idx="8">
                  <c:v>27.116666666697711</c:v>
                </c:pt>
              </c:numCache>
            </c:numRef>
          </c:xVal>
          <c:yVal>
            <c:numRef>
              <c:f>SuppSheet28!$G$6:$G$14</c:f>
              <c:numCache>
                <c:formatCode>0.000</c:formatCode>
                <c:ptCount val="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41-4521-B60A-DB90E10C1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049248"/>
        <c:axId val="1050049808"/>
      </c:scatterChart>
      <c:scatterChart>
        <c:scatterStyle val="lineMarker"/>
        <c:varyColors val="0"/>
        <c:ser>
          <c:idx val="4"/>
          <c:order val="4"/>
          <c:tx>
            <c:v>pH, S1</c:v>
          </c:tx>
          <c:spPr>
            <a:ln w="2540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SuppSheet28!$C$6:$C$14</c:f>
              <c:numCache>
                <c:formatCode>0.0</c:formatCode>
                <c:ptCount val="9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  <c:pt idx="7">
                  <c:v>18.033333333441988</c:v>
                </c:pt>
                <c:pt idx="8">
                  <c:v>27.116666666697711</c:v>
                </c:pt>
              </c:numCache>
            </c:numRef>
          </c:xVal>
          <c:yVal>
            <c:numRef>
              <c:f>SuppSheet28!$J$6:$J$14</c:f>
              <c:numCache>
                <c:formatCode>0.00</c:formatCode>
                <c:ptCount val="9"/>
                <c:pt idx="0">
                  <c:v>7.04</c:v>
                </c:pt>
                <c:pt idx="1">
                  <c:v>7</c:v>
                </c:pt>
                <c:pt idx="2">
                  <c:v>6.99</c:v>
                </c:pt>
                <c:pt idx="3">
                  <c:v>6.91</c:v>
                </c:pt>
                <c:pt idx="4">
                  <c:v>6.82</c:v>
                </c:pt>
                <c:pt idx="5">
                  <c:v>6.77</c:v>
                </c:pt>
                <c:pt idx="6">
                  <c:v>6.87</c:v>
                </c:pt>
                <c:pt idx="7">
                  <c:v>6.87</c:v>
                </c:pt>
                <c:pt idx="8">
                  <c:v>6.86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41-4521-B60A-DB90E10C1B76}"/>
            </c:ext>
          </c:extLst>
        </c:ser>
        <c:ser>
          <c:idx val="5"/>
          <c:order val="5"/>
          <c:tx>
            <c:v>pH, S2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SuppSheet28!$C$6:$C$14</c:f>
              <c:numCache>
                <c:formatCode>0.0</c:formatCode>
                <c:ptCount val="9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  <c:pt idx="7">
                  <c:v>18.033333333441988</c:v>
                </c:pt>
                <c:pt idx="8">
                  <c:v>27.116666666697711</c:v>
                </c:pt>
              </c:numCache>
            </c:numRef>
          </c:xVal>
          <c:yVal>
            <c:numRef>
              <c:f>SuppSheet28!$K$6:$K$14</c:f>
              <c:numCache>
                <c:formatCode>0.00</c:formatCode>
                <c:ptCount val="9"/>
                <c:pt idx="0">
                  <c:v>7.04</c:v>
                </c:pt>
                <c:pt idx="1">
                  <c:v>7.01</c:v>
                </c:pt>
                <c:pt idx="2">
                  <c:v>7</c:v>
                </c:pt>
                <c:pt idx="3">
                  <c:v>6.92</c:v>
                </c:pt>
                <c:pt idx="4">
                  <c:v>6.86</c:v>
                </c:pt>
                <c:pt idx="5">
                  <c:v>6.82</c:v>
                </c:pt>
                <c:pt idx="6">
                  <c:v>6.88</c:v>
                </c:pt>
                <c:pt idx="7">
                  <c:v>6.87</c:v>
                </c:pt>
                <c:pt idx="8">
                  <c:v>6.86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41-4521-B60A-DB90E10C1B76}"/>
            </c:ext>
          </c:extLst>
        </c:ser>
        <c:ser>
          <c:idx val="6"/>
          <c:order val="6"/>
          <c:tx>
            <c:v>pH, S3</c:v>
          </c:tx>
          <c:spPr>
            <a:ln w="2540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SuppSheet28!$C$6:$C$14</c:f>
              <c:numCache>
                <c:formatCode>0.0</c:formatCode>
                <c:ptCount val="9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  <c:pt idx="7">
                  <c:v>18.033333333441988</c:v>
                </c:pt>
                <c:pt idx="8">
                  <c:v>27.116666666697711</c:v>
                </c:pt>
              </c:numCache>
            </c:numRef>
          </c:xVal>
          <c:yVal>
            <c:numRef>
              <c:f>SuppSheet28!$L$6:$L$14</c:f>
              <c:numCache>
                <c:formatCode>0.00</c:formatCode>
                <c:ptCount val="9"/>
                <c:pt idx="0">
                  <c:v>7.03</c:v>
                </c:pt>
                <c:pt idx="1">
                  <c:v>7.01</c:v>
                </c:pt>
                <c:pt idx="2">
                  <c:v>6.99</c:v>
                </c:pt>
                <c:pt idx="3">
                  <c:v>6.91</c:v>
                </c:pt>
                <c:pt idx="4">
                  <c:v>6.8</c:v>
                </c:pt>
                <c:pt idx="5">
                  <c:v>6.63</c:v>
                </c:pt>
                <c:pt idx="6">
                  <c:v>6.59</c:v>
                </c:pt>
                <c:pt idx="7">
                  <c:v>6.84</c:v>
                </c:pt>
                <c:pt idx="8">
                  <c:v>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41-4521-B60A-DB90E10C1B76}"/>
            </c:ext>
          </c:extLst>
        </c:ser>
        <c:ser>
          <c:idx val="7"/>
          <c:order val="7"/>
          <c:tx>
            <c:v>pH, SA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SuppSheet28!$C$6:$C$14</c:f>
              <c:numCache>
                <c:formatCode>0.0</c:formatCode>
                <c:ptCount val="9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  <c:pt idx="7">
                  <c:v>18.033333333441988</c:v>
                </c:pt>
                <c:pt idx="8">
                  <c:v>27.116666666697711</c:v>
                </c:pt>
              </c:numCache>
            </c:numRef>
          </c:xVal>
          <c:yVal>
            <c:numRef>
              <c:f>SuppSheet28!$M$6:$M$14</c:f>
              <c:numCache>
                <c:formatCode>0.00</c:formatCode>
                <c:ptCount val="9"/>
                <c:pt idx="0">
                  <c:v>7.05</c:v>
                </c:pt>
                <c:pt idx="1">
                  <c:v>7.04</c:v>
                </c:pt>
                <c:pt idx="2">
                  <c:v>7.04</c:v>
                </c:pt>
                <c:pt idx="3">
                  <c:v>7.04</c:v>
                </c:pt>
                <c:pt idx="4">
                  <c:v>7.03</c:v>
                </c:pt>
                <c:pt idx="5">
                  <c:v>7.03</c:v>
                </c:pt>
                <c:pt idx="6">
                  <c:v>7.04</c:v>
                </c:pt>
                <c:pt idx="7">
                  <c:v>7.04</c:v>
                </c:pt>
                <c:pt idx="8">
                  <c:v>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41-4521-B60A-DB90E10C1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050928"/>
        <c:axId val="1050050368"/>
      </c:scatterChart>
      <c:valAx>
        <c:axId val="10500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49808"/>
        <c:crosses val="autoZero"/>
        <c:crossBetween val="midCat"/>
        <c:majorUnit val="10"/>
      </c:valAx>
      <c:valAx>
        <c:axId val="10500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OD</a:t>
                </a:r>
                <a:r>
                  <a:rPr lang="en-US" baseline="-25000">
                    <a:solidFill>
                      <a:sysClr val="windowText" lastClr="000000"/>
                    </a:solidFill>
                  </a:rPr>
                  <a:t>600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49248"/>
        <c:crosses val="autoZero"/>
        <c:crossBetween val="midCat"/>
        <c:majorUnit val="0.2"/>
      </c:valAx>
      <c:valAx>
        <c:axId val="1050050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50928"/>
        <c:crosses val="max"/>
        <c:crossBetween val="midCat"/>
        <c:majorUnit val="0.2"/>
      </c:valAx>
      <c:valAx>
        <c:axId val="10500509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05005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Coculture Initial Experiment</a:t>
            </a:r>
            <a:r>
              <a:rPr lang="en-US" baseline="0">
                <a:solidFill>
                  <a:sysClr val="windowText" lastClr="000000"/>
                </a:solidFill>
              </a:rPr>
              <a:t> OD</a:t>
            </a:r>
            <a:r>
              <a:rPr lang="en-US" baseline="-25000">
                <a:solidFill>
                  <a:sysClr val="windowText" lastClr="000000"/>
                </a:solidFill>
              </a:rPr>
              <a:t>600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SuppSheet28!$C$6:$C$14</c:f>
              <c:numCache>
                <c:formatCode>0.0</c:formatCode>
                <c:ptCount val="9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  <c:pt idx="7">
                  <c:v>18.033333333441988</c:v>
                </c:pt>
                <c:pt idx="8">
                  <c:v>27.116666666697711</c:v>
                </c:pt>
              </c:numCache>
            </c:numRef>
          </c:xVal>
          <c:yVal>
            <c:numRef>
              <c:f>SuppSheet28!$D$6:$D$14</c:f>
              <c:numCache>
                <c:formatCode>0.000</c:formatCode>
                <c:ptCount val="9"/>
                <c:pt idx="0">
                  <c:v>4.2000000000000003E-2</c:v>
                </c:pt>
                <c:pt idx="1">
                  <c:v>7.6999999999999999E-2</c:v>
                </c:pt>
                <c:pt idx="2">
                  <c:v>0.124</c:v>
                </c:pt>
                <c:pt idx="3">
                  <c:v>0.214</c:v>
                </c:pt>
                <c:pt idx="4">
                  <c:v>0.36399999999999999</c:v>
                </c:pt>
                <c:pt idx="5">
                  <c:v>0.57000000000000006</c:v>
                </c:pt>
                <c:pt idx="6">
                  <c:v>0.84599999999999986</c:v>
                </c:pt>
                <c:pt idx="7">
                  <c:v>0.97199999999999998</c:v>
                </c:pt>
                <c:pt idx="8">
                  <c:v>1.1040000000000001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995-AB22-23B36A71A614}"/>
            </c:ext>
          </c:extLst>
        </c:ser>
        <c:ser>
          <c:idx val="1"/>
          <c:order val="1"/>
          <c:tx>
            <c:v>Sample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SuppSheet28!$C$6:$C$14</c:f>
              <c:numCache>
                <c:formatCode>0.0</c:formatCode>
                <c:ptCount val="9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  <c:pt idx="7">
                  <c:v>18.033333333441988</c:v>
                </c:pt>
                <c:pt idx="8">
                  <c:v>27.116666666697711</c:v>
                </c:pt>
              </c:numCache>
            </c:numRef>
          </c:xVal>
          <c:yVal>
            <c:numRef>
              <c:f>SuppSheet28!$E$6:$E$14</c:f>
              <c:numCache>
                <c:formatCode>0.000</c:formatCode>
                <c:ptCount val="9"/>
                <c:pt idx="0">
                  <c:v>4.7E-2</c:v>
                </c:pt>
                <c:pt idx="1">
                  <c:v>8.8999999999999996E-2</c:v>
                </c:pt>
                <c:pt idx="2">
                  <c:v>0.14499999999999999</c:v>
                </c:pt>
                <c:pt idx="3">
                  <c:v>0.255</c:v>
                </c:pt>
                <c:pt idx="4">
                  <c:v>0.442</c:v>
                </c:pt>
                <c:pt idx="5">
                  <c:v>0.76200000000000001</c:v>
                </c:pt>
                <c:pt idx="6">
                  <c:v>0.92800000000000005</c:v>
                </c:pt>
                <c:pt idx="7">
                  <c:v>1.0680000000000001</c:v>
                </c:pt>
                <c:pt idx="8">
                  <c:v>1.23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7-4995-AB22-23B36A71A614}"/>
            </c:ext>
          </c:extLst>
        </c:ser>
        <c:ser>
          <c:idx val="2"/>
          <c:order val="2"/>
          <c:tx>
            <c:v>Sample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SuppSheet28!$C$6:$C$14</c:f>
              <c:numCache>
                <c:formatCode>0.0</c:formatCode>
                <c:ptCount val="9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  <c:pt idx="7">
                  <c:v>18.033333333441988</c:v>
                </c:pt>
                <c:pt idx="8">
                  <c:v>27.116666666697711</c:v>
                </c:pt>
              </c:numCache>
            </c:numRef>
          </c:xVal>
          <c:yVal>
            <c:numRef>
              <c:f>SuppSheet28!$F$6:$F$14</c:f>
              <c:numCache>
                <c:formatCode>0.000</c:formatCode>
                <c:ptCount val="9"/>
                <c:pt idx="0">
                  <c:v>3.2000000000000001E-2</c:v>
                </c:pt>
                <c:pt idx="1">
                  <c:v>5.7000000000000002E-2</c:v>
                </c:pt>
                <c:pt idx="2">
                  <c:v>8.7999999999999995E-2</c:v>
                </c:pt>
                <c:pt idx="3">
                  <c:v>0.14499999999999999</c:v>
                </c:pt>
                <c:pt idx="4">
                  <c:v>0.23300000000000001</c:v>
                </c:pt>
                <c:pt idx="5">
                  <c:v>0.33300000000000002</c:v>
                </c:pt>
                <c:pt idx="6">
                  <c:v>0.33900000000000002</c:v>
                </c:pt>
                <c:pt idx="7">
                  <c:v>1.0720000000000001</c:v>
                </c:pt>
                <c:pt idx="8">
                  <c:v>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D7-4995-AB22-23B36A71A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064928"/>
        <c:axId val="1050065488"/>
      </c:scatterChart>
      <c:valAx>
        <c:axId val="105006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65488"/>
        <c:crosses val="autoZero"/>
        <c:crossBetween val="midCat"/>
      </c:valAx>
      <c:valAx>
        <c:axId val="105006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Log OD</a:t>
                </a:r>
                <a:r>
                  <a:rPr lang="en-US" baseline="-25000">
                    <a:solidFill>
                      <a:sysClr val="windowText" lastClr="000000"/>
                    </a:solidFill>
                  </a:rPr>
                  <a:t>600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6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Coculture @ 4 g/L Glucose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Glucose, 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SuppSheet28!$C$6:$C$13</c:f>
              <c:numCache>
                <c:formatCode>0.0</c:formatCode>
                <c:ptCount val="8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  <c:pt idx="7">
                  <c:v>18.033333333441988</c:v>
                </c:pt>
              </c:numCache>
            </c:numRef>
          </c:xVal>
          <c:yVal>
            <c:numRef>
              <c:f>SuppSheet28!$P$6:$P$13</c:f>
              <c:numCache>
                <c:formatCode>0.000</c:formatCode>
                <c:ptCount val="8"/>
                <c:pt idx="0">
                  <c:v>22.402473012828811</c:v>
                </c:pt>
                <c:pt idx="1">
                  <c:v>22.867417422008725</c:v>
                </c:pt>
                <c:pt idx="2">
                  <c:v>22.183121313781168</c:v>
                </c:pt>
                <c:pt idx="3">
                  <c:v>20.317518949994696</c:v>
                </c:pt>
                <c:pt idx="4">
                  <c:v>18.877128775204397</c:v>
                </c:pt>
                <c:pt idx="5">
                  <c:v>16.509187843242426</c:v>
                </c:pt>
                <c:pt idx="6">
                  <c:v>15.418771307606432</c:v>
                </c:pt>
                <c:pt idx="7">
                  <c:v>15.030810343389492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B-44F4-891E-62B6419DD67A}"/>
            </c:ext>
          </c:extLst>
        </c:ser>
        <c:ser>
          <c:idx val="0"/>
          <c:order val="1"/>
          <c:tx>
            <c:v>Glucose, 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SuppSheet28!$C$6:$C$13</c:f>
              <c:numCache>
                <c:formatCode>0.0</c:formatCode>
                <c:ptCount val="8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  <c:pt idx="7">
                  <c:v>18.033333333441988</c:v>
                </c:pt>
              </c:numCache>
            </c:numRef>
          </c:xVal>
          <c:yVal>
            <c:numRef>
              <c:f>SuppSheet28!$Q$6:$Q$13</c:f>
              <c:numCache>
                <c:formatCode>0.000</c:formatCode>
                <c:ptCount val="8"/>
                <c:pt idx="0">
                  <c:v>23.188634331778928</c:v>
                </c:pt>
                <c:pt idx="1">
                  <c:v>22.878710247678729</c:v>
                </c:pt>
                <c:pt idx="2">
                  <c:v>22.19396754033674</c:v>
                </c:pt>
                <c:pt idx="3">
                  <c:v>20.992713238215348</c:v>
                </c:pt>
                <c:pt idx="4">
                  <c:v>19.064128609828519</c:v>
                </c:pt>
                <c:pt idx="5">
                  <c:v>16.415335120153554</c:v>
                </c:pt>
                <c:pt idx="6">
                  <c:v>15.240064966289628</c:v>
                </c:pt>
                <c:pt idx="7">
                  <c:v>14.689635171946856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2B-44F4-891E-62B6419DD67A}"/>
            </c:ext>
          </c:extLst>
        </c:ser>
        <c:ser>
          <c:idx val="6"/>
          <c:order val="2"/>
          <c:tx>
            <c:v>Glucose, 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SuppSheet28!$C$6:$C$13</c:f>
              <c:numCache>
                <c:formatCode>0.0</c:formatCode>
                <c:ptCount val="8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  <c:pt idx="7">
                  <c:v>18.033333333441988</c:v>
                </c:pt>
              </c:numCache>
            </c:numRef>
          </c:xVal>
          <c:yVal>
            <c:numRef>
              <c:f>SuppSheet28!$R$6:$R$13</c:f>
              <c:numCache>
                <c:formatCode>0.000</c:formatCode>
                <c:ptCount val="8"/>
                <c:pt idx="0">
                  <c:v>23.187508903987034</c:v>
                </c:pt>
                <c:pt idx="1">
                  <c:v>22.686158113202822</c:v>
                </c:pt>
                <c:pt idx="2">
                  <c:v>22.128412173259374</c:v>
                </c:pt>
                <c:pt idx="3">
                  <c:v>20.857182218011726</c:v>
                </c:pt>
                <c:pt idx="4">
                  <c:v>18.72876178774953</c:v>
                </c:pt>
                <c:pt idx="5">
                  <c:v>15.203816076213547</c:v>
                </c:pt>
                <c:pt idx="6">
                  <c:v>13.176807218867998</c:v>
                </c:pt>
                <c:pt idx="7">
                  <c:v>12.547046518562345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2B-44F4-891E-62B6419DD67A}"/>
            </c:ext>
          </c:extLst>
        </c:ser>
        <c:ser>
          <c:idx val="9"/>
          <c:order val="3"/>
          <c:tx>
            <c:v>Glucose, SA</c:v>
          </c:tx>
          <c:spPr>
            <a:ln w="2540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SuppSheet28!$C$6:$C$13</c:f>
              <c:numCache>
                <c:formatCode>0.0</c:formatCode>
                <c:ptCount val="8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  <c:pt idx="7">
                  <c:v>18.033333333441988</c:v>
                </c:pt>
              </c:numCache>
            </c:numRef>
          </c:xVal>
          <c:yVal>
            <c:numRef>
              <c:f>SuppSheet28!$S$6:$S$13</c:f>
              <c:numCache>
                <c:formatCode>0.000</c:formatCode>
                <c:ptCount val="8"/>
                <c:pt idx="0">
                  <c:v>23.350270929429069</c:v>
                </c:pt>
                <c:pt idx="1">
                  <c:v>23.244493288522506</c:v>
                </c:pt>
                <c:pt idx="2">
                  <c:v>23.241407362224098</c:v>
                </c:pt>
                <c:pt idx="3">
                  <c:v>23.618291238941371</c:v>
                </c:pt>
                <c:pt idx="4">
                  <c:v>23.631508852149661</c:v>
                </c:pt>
                <c:pt idx="5">
                  <c:v>23.39335636266625</c:v>
                </c:pt>
                <c:pt idx="6">
                  <c:v>23.603791009470992</c:v>
                </c:pt>
                <c:pt idx="7">
                  <c:v>23.761222147500245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2B-44F4-891E-62B6419DD67A}"/>
            </c:ext>
          </c:extLst>
        </c:ser>
        <c:ser>
          <c:idx val="2"/>
          <c:order val="4"/>
          <c:tx>
            <c:v>Lactate, S1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SuppSheet28!$C$6:$C$13</c:f>
              <c:numCache>
                <c:formatCode>0.0</c:formatCode>
                <c:ptCount val="8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  <c:pt idx="7">
                  <c:v>18.033333333441988</c:v>
                </c:pt>
              </c:numCache>
            </c:numRef>
          </c:xVal>
          <c:yVal>
            <c:numRef>
              <c:f>SuppSheet28!$V$6:$V$13</c:f>
              <c:numCache>
                <c:formatCode>0.000</c:formatCode>
                <c:ptCount val="8"/>
                <c:pt idx="0">
                  <c:v>9.2562055361301757E-2</c:v>
                </c:pt>
                <c:pt idx="1">
                  <c:v>0.36916726293519514</c:v>
                </c:pt>
                <c:pt idx="2">
                  <c:v>0.93698636721605411</c:v>
                </c:pt>
                <c:pt idx="3">
                  <c:v>2.022933303450186</c:v>
                </c:pt>
                <c:pt idx="4">
                  <c:v>3.4769768246912256</c:v>
                </c:pt>
                <c:pt idx="5">
                  <c:v>3.6589561199661826</c:v>
                </c:pt>
                <c:pt idx="6">
                  <c:v>3.7727083578249852E-2</c:v>
                </c:pt>
                <c:pt idx="7">
                  <c:v>3.4643746204921506E-2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2B-44F4-891E-62B6419DD67A}"/>
            </c:ext>
          </c:extLst>
        </c:ser>
        <c:ser>
          <c:idx val="4"/>
          <c:order val="5"/>
          <c:tx>
            <c:v>Lactate, S2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SuppSheet28!$C$6:$C$13</c:f>
              <c:numCache>
                <c:formatCode>0.0</c:formatCode>
                <c:ptCount val="8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  <c:pt idx="7">
                  <c:v>18.033333333441988</c:v>
                </c:pt>
              </c:numCache>
            </c:numRef>
          </c:xVal>
          <c:yVal>
            <c:numRef>
              <c:f>SuppSheet28!$W$6:$W$13</c:f>
              <c:numCache>
                <c:formatCode>0.000</c:formatCode>
                <c:ptCount val="8"/>
                <c:pt idx="0">
                  <c:v>8.1109720969154794E-2</c:v>
                </c:pt>
                <c:pt idx="1">
                  <c:v>0.26380290398262729</c:v>
                </c:pt>
                <c:pt idx="2">
                  <c:v>0.67795630620426905</c:v>
                </c:pt>
                <c:pt idx="3">
                  <c:v>1.3901071523057797</c:v>
                </c:pt>
                <c:pt idx="4">
                  <c:v>1.9738907065492441</c:v>
                </c:pt>
                <c:pt idx="5">
                  <c:v>0.61264841882418242</c:v>
                </c:pt>
                <c:pt idx="6">
                  <c:v>3.7255582304419881E-2</c:v>
                </c:pt>
                <c:pt idx="7">
                  <c:v>3.9688379607987399E-2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2B-44F4-891E-62B6419DD67A}"/>
            </c:ext>
          </c:extLst>
        </c:ser>
        <c:ser>
          <c:idx val="7"/>
          <c:order val="6"/>
          <c:tx>
            <c:v>Lactate, S3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SuppSheet28!$C$6:$C$13</c:f>
              <c:numCache>
                <c:formatCode>0.0</c:formatCode>
                <c:ptCount val="8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  <c:pt idx="7">
                  <c:v>18.033333333441988</c:v>
                </c:pt>
              </c:numCache>
            </c:numRef>
          </c:xVal>
          <c:yVal>
            <c:numRef>
              <c:f>SuppSheet28!$X$6:$X$13</c:f>
              <c:numCache>
                <c:formatCode>0.000</c:formatCode>
                <c:ptCount val="8"/>
                <c:pt idx="0">
                  <c:v>9.3848269777431659E-2</c:v>
                </c:pt>
                <c:pt idx="1">
                  <c:v>0.53408760314055692</c:v>
                </c:pt>
                <c:pt idx="2">
                  <c:v>1.4025586489171384</c:v>
                </c:pt>
                <c:pt idx="3">
                  <c:v>3.2847367276866035</c:v>
                </c:pt>
                <c:pt idx="4">
                  <c:v>6.6698297545226142</c:v>
                </c:pt>
                <c:pt idx="5">
                  <c:v>11.762295663547006</c:v>
                </c:pt>
                <c:pt idx="6">
                  <c:v>12.008170017253695</c:v>
                </c:pt>
                <c:pt idx="7">
                  <c:v>5.8931322720804924E-2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2B-44F4-891E-62B6419DD67A}"/>
            </c:ext>
          </c:extLst>
        </c:ser>
        <c:ser>
          <c:idx val="3"/>
          <c:order val="7"/>
          <c:tx>
            <c:v>Acetate, S1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SuppSheet28!$C$6:$C$13</c:f>
              <c:numCache>
                <c:formatCode>0.0</c:formatCode>
                <c:ptCount val="8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  <c:pt idx="7">
                  <c:v>18.033333333441988</c:v>
                </c:pt>
              </c:numCache>
            </c:numRef>
          </c:xVal>
          <c:yVal>
            <c:numRef>
              <c:f>SuppSheet28!$AB$6:$AB$13</c:f>
              <c:numCache>
                <c:formatCode>0.000</c:formatCode>
                <c:ptCount val="8"/>
                <c:pt idx="0">
                  <c:v>6.0092697780024885E-2</c:v>
                </c:pt>
                <c:pt idx="1">
                  <c:v>9.0483619642426127E-2</c:v>
                </c:pt>
                <c:pt idx="2">
                  <c:v>0.14826918088389704</c:v>
                </c:pt>
                <c:pt idx="3">
                  <c:v>0.29859302111062536</c:v>
                </c:pt>
                <c:pt idx="4">
                  <c:v>0.6583092023542747</c:v>
                </c:pt>
                <c:pt idx="5">
                  <c:v>1.153091277210148</c:v>
                </c:pt>
                <c:pt idx="6">
                  <c:v>3.2430825770436503E-3</c:v>
                </c:pt>
                <c:pt idx="7">
                  <c:v>1.2611160981285098E-2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2B-44F4-891E-62B6419DD67A}"/>
            </c:ext>
          </c:extLst>
        </c:ser>
        <c:ser>
          <c:idx val="5"/>
          <c:order val="8"/>
          <c:tx>
            <c:v>Acetate, S2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SuppSheet28!$C$6:$C$13</c:f>
              <c:numCache>
                <c:formatCode>0.0</c:formatCode>
                <c:ptCount val="8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  <c:pt idx="7">
                  <c:v>18.033333333441988</c:v>
                </c:pt>
              </c:numCache>
            </c:numRef>
          </c:xVal>
          <c:yVal>
            <c:numRef>
              <c:f>SuppSheet28!$AC$6:$AC$13</c:f>
              <c:numCache>
                <c:formatCode>0.000</c:formatCode>
                <c:ptCount val="8"/>
                <c:pt idx="0">
                  <c:v>6.1970789451674613E-2</c:v>
                </c:pt>
                <c:pt idx="1">
                  <c:v>0.11324565785187261</c:v>
                </c:pt>
                <c:pt idx="2">
                  <c:v>0.16104319242885001</c:v>
                </c:pt>
                <c:pt idx="3">
                  <c:v>0.343204784363843</c:v>
                </c:pt>
                <c:pt idx="4">
                  <c:v>0.83041283727274384</c:v>
                </c:pt>
                <c:pt idx="5">
                  <c:v>1.3412249391394013</c:v>
                </c:pt>
                <c:pt idx="6">
                  <c:v>3.7242784844873193E-3</c:v>
                </c:pt>
                <c:pt idx="7">
                  <c:v>7.0589387000637056E-3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2B-44F4-891E-62B6419DD67A}"/>
            </c:ext>
          </c:extLst>
        </c:ser>
        <c:ser>
          <c:idx val="8"/>
          <c:order val="9"/>
          <c:tx>
            <c:v>Acetate, S3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SuppSheet28!$C$6:$C$13</c:f>
              <c:numCache>
                <c:formatCode>0.0</c:formatCode>
                <c:ptCount val="8"/>
                <c:pt idx="0">
                  <c:v>0</c:v>
                </c:pt>
                <c:pt idx="1">
                  <c:v>2.0833333334885538</c:v>
                </c:pt>
                <c:pt idx="2">
                  <c:v>4.0833333333721384</c:v>
                </c:pt>
                <c:pt idx="3">
                  <c:v>6.4166666668024845</c:v>
                </c:pt>
                <c:pt idx="4">
                  <c:v>8.6000000000931323</c:v>
                </c:pt>
                <c:pt idx="5">
                  <c:v>10.833333333372138</c:v>
                </c:pt>
                <c:pt idx="6">
                  <c:v>13.300000000046566</c:v>
                </c:pt>
                <c:pt idx="7">
                  <c:v>18.033333333441988</c:v>
                </c:pt>
              </c:numCache>
            </c:numRef>
          </c:xVal>
          <c:yVal>
            <c:numRef>
              <c:f>SuppSheet28!$AD$6:$AD$13</c:f>
              <c:numCache>
                <c:formatCode>0.000</c:formatCode>
                <c:ptCount val="8"/>
                <c:pt idx="0">
                  <c:v>6.8494704060467648E-2</c:v>
                </c:pt>
                <c:pt idx="1">
                  <c:v>7.1120440849620423E-2</c:v>
                </c:pt>
                <c:pt idx="2">
                  <c:v>0.10469838471323119</c:v>
                </c:pt>
                <c:pt idx="3">
                  <c:v>0.16232178822685916</c:v>
                </c:pt>
                <c:pt idx="4">
                  <c:v>0.24628293919241603</c:v>
                </c:pt>
                <c:pt idx="5">
                  <c:v>0.49626797130548433</c:v>
                </c:pt>
                <c:pt idx="6">
                  <c:v>0.85869688538584132</c:v>
                </c:pt>
                <c:pt idx="7">
                  <c:v>1.0092856936796551E-2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2B-44F4-891E-62B6419D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041968"/>
        <c:axId val="1050042528"/>
      </c:scatterChart>
      <c:valAx>
        <c:axId val="105004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42528"/>
        <c:crosses val="autoZero"/>
        <c:crossBetween val="midCat"/>
      </c:valAx>
      <c:valAx>
        <c:axId val="10500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Concentration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4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SuppSheet2!$C$6:$C$10</c:f>
              <c:numCache>
                <c:formatCode>0.0</c:formatCode>
                <c:ptCount val="5"/>
                <c:pt idx="0">
                  <c:v>0</c:v>
                </c:pt>
                <c:pt idx="1">
                  <c:v>1.0833333333721384</c:v>
                </c:pt>
                <c:pt idx="2">
                  <c:v>2.9500000000116415</c:v>
                </c:pt>
                <c:pt idx="3">
                  <c:v>4.4666666667326353</c:v>
                </c:pt>
                <c:pt idx="4">
                  <c:v>6.4166666668024845</c:v>
                </c:pt>
              </c:numCache>
            </c:numRef>
          </c:xVal>
          <c:yVal>
            <c:numRef>
              <c:f>SuppSheet2!$D$6:$D$10</c:f>
              <c:numCache>
                <c:formatCode>0.000</c:formatCode>
                <c:ptCount val="5"/>
                <c:pt idx="0">
                  <c:v>2.5999999999999999E-2</c:v>
                </c:pt>
                <c:pt idx="1">
                  <c:v>4.2000000000000003E-2</c:v>
                </c:pt>
                <c:pt idx="2">
                  <c:v>0.11899999999999999</c:v>
                </c:pt>
                <c:pt idx="3">
                  <c:v>0.20100000000000001</c:v>
                </c:pt>
                <c:pt idx="4">
                  <c:v>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5-4144-B66F-8643CCE48E7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SuppSheet2!$C$6:$C$10</c:f>
              <c:numCache>
                <c:formatCode>0.0</c:formatCode>
                <c:ptCount val="5"/>
                <c:pt idx="0">
                  <c:v>0</c:v>
                </c:pt>
                <c:pt idx="1">
                  <c:v>1.0833333333721384</c:v>
                </c:pt>
                <c:pt idx="2">
                  <c:v>2.9500000000116415</c:v>
                </c:pt>
                <c:pt idx="3">
                  <c:v>4.4666666667326353</c:v>
                </c:pt>
                <c:pt idx="4">
                  <c:v>6.4166666668024845</c:v>
                </c:pt>
              </c:numCache>
            </c:numRef>
          </c:xVal>
          <c:yVal>
            <c:numRef>
              <c:f>SuppSheet2!$E$6:$E$10</c:f>
              <c:numCache>
                <c:formatCode>0.000</c:formatCode>
                <c:ptCount val="5"/>
                <c:pt idx="0">
                  <c:v>2.5000000000000001E-2</c:v>
                </c:pt>
                <c:pt idx="1">
                  <c:v>4.2000000000000003E-2</c:v>
                </c:pt>
                <c:pt idx="2">
                  <c:v>0.11899999999999999</c:v>
                </c:pt>
                <c:pt idx="3">
                  <c:v>0.20100000000000001</c:v>
                </c:pt>
                <c:pt idx="4">
                  <c:v>0.20899999999999999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B5-4144-B66F-8643CCE48E7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SuppSheet2!$C$6:$C$10</c:f>
              <c:numCache>
                <c:formatCode>0.0</c:formatCode>
                <c:ptCount val="5"/>
                <c:pt idx="0">
                  <c:v>0</c:v>
                </c:pt>
                <c:pt idx="1">
                  <c:v>1.0833333333721384</c:v>
                </c:pt>
                <c:pt idx="2">
                  <c:v>2.9500000000116415</c:v>
                </c:pt>
                <c:pt idx="3">
                  <c:v>4.4666666667326353</c:v>
                </c:pt>
                <c:pt idx="4">
                  <c:v>6.4166666668024845</c:v>
                </c:pt>
              </c:numCache>
            </c:numRef>
          </c:xVal>
          <c:yVal>
            <c:numRef>
              <c:f>SuppSheet2!$F$6:$F$10</c:f>
              <c:numCache>
                <c:formatCode>0.000</c:formatCode>
                <c:ptCount val="5"/>
                <c:pt idx="0">
                  <c:v>2.8000000000000001E-2</c:v>
                </c:pt>
                <c:pt idx="1">
                  <c:v>4.5999999999999999E-2</c:v>
                </c:pt>
                <c:pt idx="2">
                  <c:v>0.127</c:v>
                </c:pt>
                <c:pt idx="3">
                  <c:v>0.20899999999999999</c:v>
                </c:pt>
                <c:pt idx="4">
                  <c:v>0.214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B5-4144-B66F-8643CCE4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32640"/>
        <c:axId val="876033200"/>
      </c:scatterChart>
      <c:valAx>
        <c:axId val="87603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33200"/>
        <c:crosses val="autoZero"/>
        <c:crossBetween val="midCat"/>
      </c:valAx>
      <c:valAx>
        <c:axId val="876033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3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SuppSheet2!$C$6:$C$10</c:f>
              <c:numCache>
                <c:formatCode>0.0</c:formatCode>
                <c:ptCount val="5"/>
                <c:pt idx="0">
                  <c:v>0</c:v>
                </c:pt>
                <c:pt idx="1">
                  <c:v>1.0833333333721384</c:v>
                </c:pt>
                <c:pt idx="2">
                  <c:v>2.9500000000116415</c:v>
                </c:pt>
                <c:pt idx="3">
                  <c:v>4.4666666667326353</c:v>
                </c:pt>
                <c:pt idx="4">
                  <c:v>6.4166666668024845</c:v>
                </c:pt>
              </c:numCache>
            </c:numRef>
          </c:xVal>
          <c:yVal>
            <c:numRef>
              <c:f>SuppSheet2!$J$6:$J$10</c:f>
              <c:numCache>
                <c:formatCode>0.00</c:formatCode>
                <c:ptCount val="5"/>
                <c:pt idx="0">
                  <c:v>6.01</c:v>
                </c:pt>
                <c:pt idx="1">
                  <c:v>5.89</c:v>
                </c:pt>
                <c:pt idx="2">
                  <c:v>5.23</c:v>
                </c:pt>
                <c:pt idx="3">
                  <c:v>4.26</c:v>
                </c:pt>
                <c:pt idx="4">
                  <c:v>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C-4E51-A880-449429088A8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SuppSheet2!$C$6:$C$10</c:f>
              <c:numCache>
                <c:formatCode>0.0</c:formatCode>
                <c:ptCount val="5"/>
                <c:pt idx="0">
                  <c:v>0</c:v>
                </c:pt>
                <c:pt idx="1">
                  <c:v>1.0833333333721384</c:v>
                </c:pt>
                <c:pt idx="2">
                  <c:v>2.9500000000116415</c:v>
                </c:pt>
                <c:pt idx="3">
                  <c:v>4.4666666667326353</c:v>
                </c:pt>
                <c:pt idx="4">
                  <c:v>6.4166666668024845</c:v>
                </c:pt>
              </c:numCache>
            </c:numRef>
          </c:xVal>
          <c:yVal>
            <c:numRef>
              <c:f>SuppSheet2!$K$6:$K$10</c:f>
              <c:numCache>
                <c:formatCode>0.00</c:formatCode>
                <c:ptCount val="5"/>
                <c:pt idx="0">
                  <c:v>6.01</c:v>
                </c:pt>
                <c:pt idx="1">
                  <c:v>5.89</c:v>
                </c:pt>
                <c:pt idx="2">
                  <c:v>5.14</c:v>
                </c:pt>
                <c:pt idx="3">
                  <c:v>4.12</c:v>
                </c:pt>
                <c:pt idx="4">
                  <c:v>3.91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C-4E51-A880-449429088A8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SuppSheet2!$C$6:$C$10</c:f>
              <c:numCache>
                <c:formatCode>0.0</c:formatCode>
                <c:ptCount val="5"/>
                <c:pt idx="0">
                  <c:v>0</c:v>
                </c:pt>
                <c:pt idx="1">
                  <c:v>1.0833333333721384</c:v>
                </c:pt>
                <c:pt idx="2">
                  <c:v>2.9500000000116415</c:v>
                </c:pt>
                <c:pt idx="3">
                  <c:v>4.4666666667326353</c:v>
                </c:pt>
                <c:pt idx="4">
                  <c:v>6.4166666668024845</c:v>
                </c:pt>
              </c:numCache>
            </c:numRef>
          </c:xVal>
          <c:yVal>
            <c:numRef>
              <c:f>SuppSheet2!$L$6:$L$10</c:f>
              <c:numCache>
                <c:formatCode>0.00</c:formatCode>
                <c:ptCount val="5"/>
                <c:pt idx="0">
                  <c:v>6</c:v>
                </c:pt>
                <c:pt idx="1">
                  <c:v>5.87</c:v>
                </c:pt>
                <c:pt idx="2">
                  <c:v>5.04</c:v>
                </c:pt>
                <c:pt idx="3">
                  <c:v>4.07</c:v>
                </c:pt>
                <c:pt idx="4">
                  <c:v>3.91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C-4E51-A880-449429088A8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SuppSheet2!$C$6:$C$10</c:f>
              <c:numCache>
                <c:formatCode>0.0</c:formatCode>
                <c:ptCount val="5"/>
                <c:pt idx="0">
                  <c:v>0</c:v>
                </c:pt>
                <c:pt idx="1">
                  <c:v>1.0833333333721384</c:v>
                </c:pt>
                <c:pt idx="2">
                  <c:v>2.9500000000116415</c:v>
                </c:pt>
                <c:pt idx="3">
                  <c:v>4.4666666667326353</c:v>
                </c:pt>
                <c:pt idx="4">
                  <c:v>6.4166666668024845</c:v>
                </c:pt>
              </c:numCache>
            </c:numRef>
          </c:xVal>
          <c:yVal>
            <c:numRef>
              <c:f>SuppSheet2!$M$6:$M$10</c:f>
              <c:numCache>
                <c:formatCode>0.00</c:formatCode>
                <c:ptCount val="5"/>
                <c:pt idx="0">
                  <c:v>6.05</c:v>
                </c:pt>
                <c:pt idx="1">
                  <c:v>6.03</c:v>
                </c:pt>
                <c:pt idx="2">
                  <c:v>6.04</c:v>
                </c:pt>
                <c:pt idx="3">
                  <c:v>6.04</c:v>
                </c:pt>
                <c:pt idx="4">
                  <c:v>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1C-4E51-A880-449429088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73024"/>
        <c:axId val="876023680"/>
      </c:scatterChart>
      <c:valAx>
        <c:axId val="95017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23680"/>
        <c:crosses val="autoZero"/>
        <c:crossBetween val="midCat"/>
      </c:valAx>
      <c:valAx>
        <c:axId val="8760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7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SuppSheet3!$C$6:$C$11</c:f>
              <c:numCache>
                <c:formatCode>0.0</c:formatCode>
                <c:ptCount val="6"/>
                <c:pt idx="0">
                  <c:v>0</c:v>
                </c:pt>
                <c:pt idx="1">
                  <c:v>1.3666666667559184</c:v>
                </c:pt>
                <c:pt idx="2">
                  <c:v>2.8666666667559184</c:v>
                </c:pt>
                <c:pt idx="3">
                  <c:v>4.4833333332790062</c:v>
                </c:pt>
                <c:pt idx="4">
                  <c:v>6.0499999999883585</c:v>
                </c:pt>
                <c:pt idx="5">
                  <c:v>7.4500000000116415</c:v>
                </c:pt>
              </c:numCache>
            </c:numRef>
          </c:xVal>
          <c:yVal>
            <c:numRef>
              <c:f>SuppSheet3!$D$6:$D$11</c:f>
              <c:numCache>
                <c:formatCode>0.000</c:formatCode>
                <c:ptCount val="6"/>
                <c:pt idx="0">
                  <c:v>2.4E-2</c:v>
                </c:pt>
                <c:pt idx="1">
                  <c:v>4.5999999999999999E-2</c:v>
                </c:pt>
                <c:pt idx="2">
                  <c:v>0.109</c:v>
                </c:pt>
                <c:pt idx="3">
                  <c:v>0.24199999999999999</c:v>
                </c:pt>
                <c:pt idx="4">
                  <c:v>0.378</c:v>
                </c:pt>
                <c:pt idx="5">
                  <c:v>0.38800000000000001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5-4099-881E-F8935BB94E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SuppSheet3!$C$6:$C$11</c:f>
              <c:numCache>
                <c:formatCode>0.0</c:formatCode>
                <c:ptCount val="6"/>
                <c:pt idx="0">
                  <c:v>0</c:v>
                </c:pt>
                <c:pt idx="1">
                  <c:v>1.3666666667559184</c:v>
                </c:pt>
                <c:pt idx="2">
                  <c:v>2.8666666667559184</c:v>
                </c:pt>
                <c:pt idx="3">
                  <c:v>4.4833333332790062</c:v>
                </c:pt>
                <c:pt idx="4">
                  <c:v>6.0499999999883585</c:v>
                </c:pt>
                <c:pt idx="5">
                  <c:v>7.4500000000116415</c:v>
                </c:pt>
              </c:numCache>
            </c:numRef>
          </c:xVal>
          <c:yVal>
            <c:numRef>
              <c:f>SuppSheet3!$E$6:$E$11</c:f>
              <c:numCache>
                <c:formatCode>0.000</c:formatCode>
                <c:ptCount val="6"/>
                <c:pt idx="0">
                  <c:v>2.4E-2</c:v>
                </c:pt>
                <c:pt idx="1">
                  <c:v>4.5999999999999999E-2</c:v>
                </c:pt>
                <c:pt idx="2">
                  <c:v>0.111</c:v>
                </c:pt>
                <c:pt idx="3">
                  <c:v>0.245</c:v>
                </c:pt>
                <c:pt idx="4">
                  <c:v>0.374</c:v>
                </c:pt>
                <c:pt idx="5">
                  <c:v>0.38200000000000001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5-4099-881E-F8935BB94EA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SuppSheet3!$C$6:$C$11</c:f>
              <c:numCache>
                <c:formatCode>0.0</c:formatCode>
                <c:ptCount val="6"/>
                <c:pt idx="0">
                  <c:v>0</c:v>
                </c:pt>
                <c:pt idx="1">
                  <c:v>1.3666666667559184</c:v>
                </c:pt>
                <c:pt idx="2">
                  <c:v>2.8666666667559184</c:v>
                </c:pt>
                <c:pt idx="3">
                  <c:v>4.4833333332790062</c:v>
                </c:pt>
                <c:pt idx="4">
                  <c:v>6.0499999999883585</c:v>
                </c:pt>
                <c:pt idx="5">
                  <c:v>7.4500000000116415</c:v>
                </c:pt>
              </c:numCache>
            </c:numRef>
          </c:xVal>
          <c:yVal>
            <c:numRef>
              <c:f>SuppSheet3!$F$6:$F$11</c:f>
              <c:numCache>
                <c:formatCode>0.000</c:formatCode>
                <c:ptCount val="6"/>
                <c:pt idx="0">
                  <c:v>2.4E-2</c:v>
                </c:pt>
                <c:pt idx="1">
                  <c:v>4.8000000000000001E-2</c:v>
                </c:pt>
                <c:pt idx="2">
                  <c:v>0.122</c:v>
                </c:pt>
                <c:pt idx="3">
                  <c:v>0.26700000000000002</c:v>
                </c:pt>
                <c:pt idx="4">
                  <c:v>0.38400000000000001</c:v>
                </c:pt>
                <c:pt idx="5">
                  <c:v>0.38400000000000001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5-4099-881E-F8935BB94EA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SuppSheet3!$C$6:$C$11</c:f>
              <c:numCache>
                <c:formatCode>0.0</c:formatCode>
                <c:ptCount val="6"/>
                <c:pt idx="0">
                  <c:v>0</c:v>
                </c:pt>
                <c:pt idx="1">
                  <c:v>1.3666666667559184</c:v>
                </c:pt>
                <c:pt idx="2">
                  <c:v>2.8666666667559184</c:v>
                </c:pt>
                <c:pt idx="3">
                  <c:v>4.4833333332790062</c:v>
                </c:pt>
                <c:pt idx="4">
                  <c:v>6.0499999999883585</c:v>
                </c:pt>
                <c:pt idx="5">
                  <c:v>7.4500000000116415</c:v>
                </c:pt>
              </c:numCache>
            </c:numRef>
          </c:xVal>
          <c:yVal>
            <c:numRef>
              <c:f>SuppSheet3!$G$6:$G$11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35-4099-881E-F8935BB94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50064"/>
        <c:axId val="950150624"/>
      </c:scatterChart>
      <c:valAx>
        <c:axId val="95015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50624"/>
        <c:crosses val="autoZero"/>
        <c:crossBetween val="midCat"/>
      </c:valAx>
      <c:valAx>
        <c:axId val="9501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5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SuppSheet3!$C$6:$C$11</c:f>
              <c:numCache>
                <c:formatCode>0.0</c:formatCode>
                <c:ptCount val="6"/>
                <c:pt idx="0">
                  <c:v>0</c:v>
                </c:pt>
                <c:pt idx="1">
                  <c:v>1.3666666667559184</c:v>
                </c:pt>
                <c:pt idx="2">
                  <c:v>2.8666666667559184</c:v>
                </c:pt>
                <c:pt idx="3">
                  <c:v>4.4833333332790062</c:v>
                </c:pt>
                <c:pt idx="4">
                  <c:v>6.0499999999883585</c:v>
                </c:pt>
                <c:pt idx="5">
                  <c:v>7.4500000000116415</c:v>
                </c:pt>
              </c:numCache>
            </c:numRef>
          </c:xVal>
          <c:yVal>
            <c:numRef>
              <c:f>SuppSheet3!$D$6:$D$11</c:f>
              <c:numCache>
                <c:formatCode>0.000</c:formatCode>
                <c:ptCount val="6"/>
                <c:pt idx="0">
                  <c:v>2.4E-2</c:v>
                </c:pt>
                <c:pt idx="1">
                  <c:v>4.5999999999999999E-2</c:v>
                </c:pt>
                <c:pt idx="2">
                  <c:v>0.109</c:v>
                </c:pt>
                <c:pt idx="3">
                  <c:v>0.24199999999999999</c:v>
                </c:pt>
                <c:pt idx="4">
                  <c:v>0.378</c:v>
                </c:pt>
                <c:pt idx="5">
                  <c:v>0.38800000000000001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C-4799-BD4D-EA74BD0C370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SuppSheet3!$C$6:$C$11</c:f>
              <c:numCache>
                <c:formatCode>0.0</c:formatCode>
                <c:ptCount val="6"/>
                <c:pt idx="0">
                  <c:v>0</c:v>
                </c:pt>
                <c:pt idx="1">
                  <c:v>1.3666666667559184</c:v>
                </c:pt>
                <c:pt idx="2">
                  <c:v>2.8666666667559184</c:v>
                </c:pt>
                <c:pt idx="3">
                  <c:v>4.4833333332790062</c:v>
                </c:pt>
                <c:pt idx="4">
                  <c:v>6.0499999999883585</c:v>
                </c:pt>
                <c:pt idx="5">
                  <c:v>7.4500000000116415</c:v>
                </c:pt>
              </c:numCache>
            </c:numRef>
          </c:xVal>
          <c:yVal>
            <c:numRef>
              <c:f>SuppSheet3!$E$6:$E$11</c:f>
              <c:numCache>
                <c:formatCode>0.000</c:formatCode>
                <c:ptCount val="6"/>
                <c:pt idx="0">
                  <c:v>2.4E-2</c:v>
                </c:pt>
                <c:pt idx="1">
                  <c:v>4.5999999999999999E-2</c:v>
                </c:pt>
                <c:pt idx="2">
                  <c:v>0.111</c:v>
                </c:pt>
                <c:pt idx="3">
                  <c:v>0.245</c:v>
                </c:pt>
                <c:pt idx="4">
                  <c:v>0.374</c:v>
                </c:pt>
                <c:pt idx="5">
                  <c:v>0.38200000000000001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C-4799-BD4D-EA74BD0C370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SuppSheet3!$C$6:$C$11</c:f>
              <c:numCache>
                <c:formatCode>0.0</c:formatCode>
                <c:ptCount val="6"/>
                <c:pt idx="0">
                  <c:v>0</c:v>
                </c:pt>
                <c:pt idx="1">
                  <c:v>1.3666666667559184</c:v>
                </c:pt>
                <c:pt idx="2">
                  <c:v>2.8666666667559184</c:v>
                </c:pt>
                <c:pt idx="3">
                  <c:v>4.4833333332790062</c:v>
                </c:pt>
                <c:pt idx="4">
                  <c:v>6.0499999999883585</c:v>
                </c:pt>
                <c:pt idx="5">
                  <c:v>7.4500000000116415</c:v>
                </c:pt>
              </c:numCache>
            </c:numRef>
          </c:xVal>
          <c:yVal>
            <c:numRef>
              <c:f>SuppSheet3!$F$6:$F$11</c:f>
              <c:numCache>
                <c:formatCode>0.000</c:formatCode>
                <c:ptCount val="6"/>
                <c:pt idx="0">
                  <c:v>2.4E-2</c:v>
                </c:pt>
                <c:pt idx="1">
                  <c:v>4.8000000000000001E-2</c:v>
                </c:pt>
                <c:pt idx="2">
                  <c:v>0.122</c:v>
                </c:pt>
                <c:pt idx="3">
                  <c:v>0.26700000000000002</c:v>
                </c:pt>
                <c:pt idx="4">
                  <c:v>0.38400000000000001</c:v>
                </c:pt>
                <c:pt idx="5">
                  <c:v>0.38400000000000001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6C-4799-BD4D-EA74BD0C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54544"/>
        <c:axId val="950155104"/>
      </c:scatterChart>
      <c:valAx>
        <c:axId val="95015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55104"/>
        <c:crosses val="autoZero"/>
        <c:crossBetween val="midCat"/>
      </c:valAx>
      <c:valAx>
        <c:axId val="950155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5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SuppSheet3!$C$6:$C$11</c:f>
              <c:numCache>
                <c:formatCode>0.0</c:formatCode>
                <c:ptCount val="6"/>
                <c:pt idx="0">
                  <c:v>0</c:v>
                </c:pt>
                <c:pt idx="1">
                  <c:v>1.3666666667559184</c:v>
                </c:pt>
                <c:pt idx="2">
                  <c:v>2.8666666667559184</c:v>
                </c:pt>
                <c:pt idx="3">
                  <c:v>4.4833333332790062</c:v>
                </c:pt>
                <c:pt idx="4">
                  <c:v>6.0499999999883585</c:v>
                </c:pt>
                <c:pt idx="5">
                  <c:v>7.4500000000116415</c:v>
                </c:pt>
              </c:numCache>
            </c:numRef>
          </c:xVal>
          <c:yVal>
            <c:numRef>
              <c:f>SuppSheet3!$J$6:$J$11</c:f>
              <c:numCache>
                <c:formatCode>0.00</c:formatCode>
                <c:ptCount val="6"/>
                <c:pt idx="0">
                  <c:v>6.48</c:v>
                </c:pt>
                <c:pt idx="1">
                  <c:v>6.39</c:v>
                </c:pt>
                <c:pt idx="2">
                  <c:v>6.16</c:v>
                </c:pt>
                <c:pt idx="3">
                  <c:v>5.18</c:v>
                </c:pt>
                <c:pt idx="4">
                  <c:v>4.24</c:v>
                </c:pt>
                <c:pt idx="5">
                  <c:v>4.1399999999999997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7-4A30-9432-C63B46E3321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SuppSheet3!$C$6:$C$11</c:f>
              <c:numCache>
                <c:formatCode>0.0</c:formatCode>
                <c:ptCount val="6"/>
                <c:pt idx="0">
                  <c:v>0</c:v>
                </c:pt>
                <c:pt idx="1">
                  <c:v>1.3666666667559184</c:v>
                </c:pt>
                <c:pt idx="2">
                  <c:v>2.8666666667559184</c:v>
                </c:pt>
                <c:pt idx="3">
                  <c:v>4.4833333332790062</c:v>
                </c:pt>
                <c:pt idx="4">
                  <c:v>6.0499999999883585</c:v>
                </c:pt>
                <c:pt idx="5">
                  <c:v>7.4500000000116415</c:v>
                </c:pt>
              </c:numCache>
            </c:numRef>
          </c:xVal>
          <c:yVal>
            <c:numRef>
              <c:f>SuppSheet3!$K$6:$K$11</c:f>
              <c:numCache>
                <c:formatCode>0.00</c:formatCode>
                <c:ptCount val="6"/>
                <c:pt idx="0">
                  <c:v>6.49</c:v>
                </c:pt>
                <c:pt idx="1">
                  <c:v>6.39</c:v>
                </c:pt>
                <c:pt idx="2">
                  <c:v>6.13</c:v>
                </c:pt>
                <c:pt idx="3">
                  <c:v>5.13</c:v>
                </c:pt>
                <c:pt idx="4">
                  <c:v>4.21</c:v>
                </c:pt>
                <c:pt idx="5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37-4A30-9432-C63B46E3321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SuppSheet3!$C$6:$C$11</c:f>
              <c:numCache>
                <c:formatCode>0.0</c:formatCode>
                <c:ptCount val="6"/>
                <c:pt idx="0">
                  <c:v>0</c:v>
                </c:pt>
                <c:pt idx="1">
                  <c:v>1.3666666667559184</c:v>
                </c:pt>
                <c:pt idx="2">
                  <c:v>2.8666666667559184</c:v>
                </c:pt>
                <c:pt idx="3">
                  <c:v>4.4833333332790062</c:v>
                </c:pt>
                <c:pt idx="4">
                  <c:v>6.0499999999883585</c:v>
                </c:pt>
                <c:pt idx="5">
                  <c:v>7.4500000000116415</c:v>
                </c:pt>
              </c:numCache>
            </c:numRef>
          </c:xVal>
          <c:yVal>
            <c:numRef>
              <c:f>SuppSheet3!$L$6:$L$11</c:f>
              <c:numCache>
                <c:formatCode>0.00</c:formatCode>
                <c:ptCount val="6"/>
                <c:pt idx="0">
                  <c:v>6.48</c:v>
                </c:pt>
                <c:pt idx="1">
                  <c:v>6.38</c:v>
                </c:pt>
                <c:pt idx="2">
                  <c:v>6.08</c:v>
                </c:pt>
                <c:pt idx="3">
                  <c:v>4.9800000000000004</c:v>
                </c:pt>
                <c:pt idx="4">
                  <c:v>4.16</c:v>
                </c:pt>
                <c:pt idx="5">
                  <c:v>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37-4A30-9432-C63B46E3321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SuppSheet3!$C$6:$C$11</c:f>
              <c:numCache>
                <c:formatCode>0.0</c:formatCode>
                <c:ptCount val="6"/>
                <c:pt idx="0">
                  <c:v>0</c:v>
                </c:pt>
                <c:pt idx="1">
                  <c:v>1.3666666667559184</c:v>
                </c:pt>
                <c:pt idx="2">
                  <c:v>2.8666666667559184</c:v>
                </c:pt>
                <c:pt idx="3">
                  <c:v>4.4833333332790062</c:v>
                </c:pt>
                <c:pt idx="4">
                  <c:v>6.0499999999883585</c:v>
                </c:pt>
                <c:pt idx="5">
                  <c:v>7.4500000000116415</c:v>
                </c:pt>
              </c:numCache>
            </c:numRef>
          </c:xVal>
          <c:yVal>
            <c:numRef>
              <c:f>SuppSheet3!$M$6:$M$11</c:f>
              <c:numCache>
                <c:formatCode>0.00</c:formatCode>
                <c:ptCount val="6"/>
                <c:pt idx="0">
                  <c:v>6.49</c:v>
                </c:pt>
                <c:pt idx="1">
                  <c:v>6.49</c:v>
                </c:pt>
                <c:pt idx="2">
                  <c:v>6.49</c:v>
                </c:pt>
                <c:pt idx="3">
                  <c:v>6.48</c:v>
                </c:pt>
                <c:pt idx="4">
                  <c:v>6.48</c:v>
                </c:pt>
                <c:pt idx="5">
                  <c:v>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37-4A30-9432-C63B46E33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50064"/>
        <c:axId val="950150624"/>
      </c:scatterChart>
      <c:valAx>
        <c:axId val="95015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50624"/>
        <c:crosses val="autoZero"/>
        <c:crossBetween val="midCat"/>
      </c:valAx>
      <c:valAx>
        <c:axId val="9501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5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SuppSheet4!$C$6:$C$12</c:f>
              <c:numCache>
                <c:formatCode>0.0</c:formatCode>
                <c:ptCount val="7"/>
                <c:pt idx="0">
                  <c:v>0</c:v>
                </c:pt>
                <c:pt idx="1">
                  <c:v>0.78333333326736465</c:v>
                </c:pt>
                <c:pt idx="2">
                  <c:v>2.5833333333721384</c:v>
                </c:pt>
                <c:pt idx="3">
                  <c:v>3.9499999999534339</c:v>
                </c:pt>
                <c:pt idx="4">
                  <c:v>5.6166666666395031</c:v>
                </c:pt>
                <c:pt idx="5">
                  <c:v>7.0166666666627862</c:v>
                </c:pt>
                <c:pt idx="6">
                  <c:v>8.8666666665812954</c:v>
                </c:pt>
              </c:numCache>
            </c:numRef>
          </c:xVal>
          <c:yVal>
            <c:numRef>
              <c:f>SuppSheet4!$D$6:$D$12</c:f>
              <c:numCache>
                <c:formatCode>0.000</c:formatCode>
                <c:ptCount val="7"/>
                <c:pt idx="0">
                  <c:v>2.5000000000000001E-2</c:v>
                </c:pt>
                <c:pt idx="1">
                  <c:v>3.6999999999999998E-2</c:v>
                </c:pt>
                <c:pt idx="2">
                  <c:v>7.9000000000000001E-2</c:v>
                </c:pt>
                <c:pt idx="3">
                  <c:v>0.187</c:v>
                </c:pt>
                <c:pt idx="4">
                  <c:v>0.47199999999999998</c:v>
                </c:pt>
                <c:pt idx="5">
                  <c:v>0.61799999999999999</c:v>
                </c:pt>
                <c:pt idx="6" formatCode="General">
                  <c:v>0.61499999999999999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0-4E0C-AC4C-B872FC66E8E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SuppSheet4!$C$6:$C$12</c:f>
              <c:numCache>
                <c:formatCode>0.0</c:formatCode>
                <c:ptCount val="7"/>
                <c:pt idx="0">
                  <c:v>0</c:v>
                </c:pt>
                <c:pt idx="1">
                  <c:v>0.78333333326736465</c:v>
                </c:pt>
                <c:pt idx="2">
                  <c:v>2.5833333333721384</c:v>
                </c:pt>
                <c:pt idx="3">
                  <c:v>3.9499999999534339</c:v>
                </c:pt>
                <c:pt idx="4">
                  <c:v>5.6166666666395031</c:v>
                </c:pt>
                <c:pt idx="5">
                  <c:v>7.0166666666627862</c:v>
                </c:pt>
                <c:pt idx="6">
                  <c:v>8.8666666665812954</c:v>
                </c:pt>
              </c:numCache>
            </c:numRef>
          </c:xVal>
          <c:yVal>
            <c:numRef>
              <c:f>SuppSheet4!$E$6:$E$12</c:f>
              <c:numCache>
                <c:formatCode>0.000</c:formatCode>
                <c:ptCount val="7"/>
                <c:pt idx="0">
                  <c:v>2.5000000000000001E-2</c:v>
                </c:pt>
                <c:pt idx="1">
                  <c:v>3.9E-2</c:v>
                </c:pt>
                <c:pt idx="2">
                  <c:v>8.3000000000000004E-2</c:v>
                </c:pt>
                <c:pt idx="3">
                  <c:v>0.19700000000000001</c:v>
                </c:pt>
                <c:pt idx="4">
                  <c:v>0.45600000000000002</c:v>
                </c:pt>
                <c:pt idx="5">
                  <c:v>0.60000000000000009</c:v>
                </c:pt>
                <c:pt idx="6" formatCode="General">
                  <c:v>0.59099999999999997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C0-4E0C-AC4C-B872FC66E8E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SuppSheet4!$C$6:$C$12</c:f>
              <c:numCache>
                <c:formatCode>0.0</c:formatCode>
                <c:ptCount val="7"/>
                <c:pt idx="0">
                  <c:v>0</c:v>
                </c:pt>
                <c:pt idx="1">
                  <c:v>0.78333333326736465</c:v>
                </c:pt>
                <c:pt idx="2">
                  <c:v>2.5833333333721384</c:v>
                </c:pt>
                <c:pt idx="3">
                  <c:v>3.9499999999534339</c:v>
                </c:pt>
                <c:pt idx="4">
                  <c:v>5.6166666666395031</c:v>
                </c:pt>
                <c:pt idx="5">
                  <c:v>7.0166666666627862</c:v>
                </c:pt>
                <c:pt idx="6">
                  <c:v>8.8666666665812954</c:v>
                </c:pt>
              </c:numCache>
            </c:numRef>
          </c:xVal>
          <c:yVal>
            <c:numRef>
              <c:f>SuppSheet4!$F$6:$F$12</c:f>
              <c:numCache>
                <c:formatCode>0.000</c:formatCode>
                <c:ptCount val="7"/>
                <c:pt idx="0">
                  <c:v>2.5000000000000001E-2</c:v>
                </c:pt>
                <c:pt idx="1">
                  <c:v>3.7999999999999999E-2</c:v>
                </c:pt>
                <c:pt idx="2">
                  <c:v>8.6999999999999994E-2</c:v>
                </c:pt>
                <c:pt idx="3">
                  <c:v>0.21299999999999999</c:v>
                </c:pt>
                <c:pt idx="4">
                  <c:v>0.50600000000000001</c:v>
                </c:pt>
                <c:pt idx="5">
                  <c:v>0.627</c:v>
                </c:pt>
                <c:pt idx="6" formatCode="General">
                  <c:v>0.61499999999999999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C0-4E0C-AC4C-B872FC66E8E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SuppSheet4!$C$6:$C$12</c:f>
              <c:numCache>
                <c:formatCode>0.0</c:formatCode>
                <c:ptCount val="7"/>
                <c:pt idx="0">
                  <c:v>0</c:v>
                </c:pt>
                <c:pt idx="1">
                  <c:v>0.78333333326736465</c:v>
                </c:pt>
                <c:pt idx="2">
                  <c:v>2.5833333333721384</c:v>
                </c:pt>
                <c:pt idx="3">
                  <c:v>3.9499999999534339</c:v>
                </c:pt>
                <c:pt idx="4">
                  <c:v>5.6166666666395031</c:v>
                </c:pt>
                <c:pt idx="5">
                  <c:v>7.0166666666627862</c:v>
                </c:pt>
                <c:pt idx="6">
                  <c:v>8.8666666665812954</c:v>
                </c:pt>
              </c:numCache>
            </c:numRef>
          </c:xVal>
          <c:yVal>
            <c:numRef>
              <c:f>SuppSheet4!$G$6:$G$12</c:f>
              <c:numCache>
                <c:formatCode>0.000</c:formatCode>
                <c:ptCount val="7"/>
                <c:pt idx="0">
                  <c:v>1E-3</c:v>
                </c:pt>
                <c:pt idx="1">
                  <c:v>-1E-3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3.0000000000000001E-3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C0-4E0C-AC4C-B872FC66E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381568"/>
        <c:axId val="866383248"/>
      </c:scatterChart>
      <c:valAx>
        <c:axId val="8663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83248"/>
        <c:crosses val="autoZero"/>
        <c:crossBetween val="midCat"/>
      </c:valAx>
      <c:valAx>
        <c:axId val="8663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SuppSheet4!$C$6:$C$12</c:f>
              <c:numCache>
                <c:formatCode>0.0</c:formatCode>
                <c:ptCount val="7"/>
                <c:pt idx="0">
                  <c:v>0</c:v>
                </c:pt>
                <c:pt idx="1">
                  <c:v>0.78333333326736465</c:v>
                </c:pt>
                <c:pt idx="2">
                  <c:v>2.5833333333721384</c:v>
                </c:pt>
                <c:pt idx="3">
                  <c:v>3.9499999999534339</c:v>
                </c:pt>
                <c:pt idx="4">
                  <c:v>5.6166666666395031</c:v>
                </c:pt>
                <c:pt idx="5">
                  <c:v>7.0166666666627862</c:v>
                </c:pt>
                <c:pt idx="6">
                  <c:v>8.8666666665812954</c:v>
                </c:pt>
              </c:numCache>
            </c:numRef>
          </c:xVal>
          <c:yVal>
            <c:numRef>
              <c:f>SuppSheet4!$D$6:$D$12</c:f>
              <c:numCache>
                <c:formatCode>0.000</c:formatCode>
                <c:ptCount val="7"/>
                <c:pt idx="0">
                  <c:v>2.5000000000000001E-2</c:v>
                </c:pt>
                <c:pt idx="1">
                  <c:v>3.6999999999999998E-2</c:v>
                </c:pt>
                <c:pt idx="2">
                  <c:v>7.9000000000000001E-2</c:v>
                </c:pt>
                <c:pt idx="3">
                  <c:v>0.187</c:v>
                </c:pt>
                <c:pt idx="4">
                  <c:v>0.47199999999999998</c:v>
                </c:pt>
                <c:pt idx="5">
                  <c:v>0.61799999999999999</c:v>
                </c:pt>
                <c:pt idx="6" formatCode="General">
                  <c:v>0.61499999999999999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A-42E6-894A-E23E5042F5F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SuppSheet4!$C$6:$C$12</c:f>
              <c:numCache>
                <c:formatCode>0.0</c:formatCode>
                <c:ptCount val="7"/>
                <c:pt idx="0">
                  <c:v>0</c:v>
                </c:pt>
                <c:pt idx="1">
                  <c:v>0.78333333326736465</c:v>
                </c:pt>
                <c:pt idx="2">
                  <c:v>2.5833333333721384</c:v>
                </c:pt>
                <c:pt idx="3">
                  <c:v>3.9499999999534339</c:v>
                </c:pt>
                <c:pt idx="4">
                  <c:v>5.6166666666395031</c:v>
                </c:pt>
                <c:pt idx="5">
                  <c:v>7.0166666666627862</c:v>
                </c:pt>
                <c:pt idx="6">
                  <c:v>8.8666666665812954</c:v>
                </c:pt>
              </c:numCache>
            </c:numRef>
          </c:xVal>
          <c:yVal>
            <c:numRef>
              <c:f>SuppSheet4!$E$6:$E$12</c:f>
              <c:numCache>
                <c:formatCode>0.000</c:formatCode>
                <c:ptCount val="7"/>
                <c:pt idx="0">
                  <c:v>2.5000000000000001E-2</c:v>
                </c:pt>
                <c:pt idx="1">
                  <c:v>3.9E-2</c:v>
                </c:pt>
                <c:pt idx="2">
                  <c:v>8.3000000000000004E-2</c:v>
                </c:pt>
                <c:pt idx="3">
                  <c:v>0.19700000000000001</c:v>
                </c:pt>
                <c:pt idx="4">
                  <c:v>0.45600000000000002</c:v>
                </c:pt>
                <c:pt idx="5">
                  <c:v>0.60000000000000009</c:v>
                </c:pt>
                <c:pt idx="6" formatCode="General">
                  <c:v>0.59099999999999997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A-42E6-894A-E23E5042F5F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SuppSheet4!$C$6:$C$12</c:f>
              <c:numCache>
                <c:formatCode>0.0</c:formatCode>
                <c:ptCount val="7"/>
                <c:pt idx="0">
                  <c:v>0</c:v>
                </c:pt>
                <c:pt idx="1">
                  <c:v>0.78333333326736465</c:v>
                </c:pt>
                <c:pt idx="2">
                  <c:v>2.5833333333721384</c:v>
                </c:pt>
                <c:pt idx="3">
                  <c:v>3.9499999999534339</c:v>
                </c:pt>
                <c:pt idx="4">
                  <c:v>5.6166666666395031</c:v>
                </c:pt>
                <c:pt idx="5">
                  <c:v>7.0166666666627862</c:v>
                </c:pt>
                <c:pt idx="6">
                  <c:v>8.8666666665812954</c:v>
                </c:pt>
              </c:numCache>
            </c:numRef>
          </c:xVal>
          <c:yVal>
            <c:numRef>
              <c:f>SuppSheet4!$F$6:$F$12</c:f>
              <c:numCache>
                <c:formatCode>0.000</c:formatCode>
                <c:ptCount val="7"/>
                <c:pt idx="0">
                  <c:v>2.5000000000000001E-2</c:v>
                </c:pt>
                <c:pt idx="1">
                  <c:v>3.7999999999999999E-2</c:v>
                </c:pt>
                <c:pt idx="2">
                  <c:v>8.6999999999999994E-2</c:v>
                </c:pt>
                <c:pt idx="3">
                  <c:v>0.21299999999999999</c:v>
                </c:pt>
                <c:pt idx="4">
                  <c:v>0.50600000000000001</c:v>
                </c:pt>
                <c:pt idx="5">
                  <c:v>0.627</c:v>
                </c:pt>
                <c:pt idx="6" formatCode="General">
                  <c:v>0.61499999999999999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A-42E6-894A-E23E5042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381568"/>
        <c:axId val="866383248"/>
      </c:scatterChart>
      <c:valAx>
        <c:axId val="8663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83248"/>
        <c:crosses val="autoZero"/>
        <c:crossBetween val="midCat"/>
      </c:valAx>
      <c:valAx>
        <c:axId val="866383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307G100 with 20g/L glucose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938676276183"/>
          <c:y val="0.133896858261735"/>
          <c:w val="0.80241280429046702"/>
          <c:h val="0.72309122629489697"/>
        </c:manualLayout>
      </c:layout>
      <c:scatterChart>
        <c:scatterStyle val="lineMarker"/>
        <c:varyColors val="0"/>
        <c:ser>
          <c:idx val="0"/>
          <c:order val="0"/>
          <c:tx>
            <c:v>pH = 6.9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[1]Data!$AG$28:$AG$37</c:f>
                <c:numCache>
                  <c:formatCode>General</c:formatCode>
                  <c:ptCount val="10"/>
                  <c:pt idx="0">
                    <c:v>4.0000000000000001E-3</c:v>
                  </c:pt>
                  <c:pt idx="1">
                    <c:v>0</c:v>
                  </c:pt>
                  <c:pt idx="2">
                    <c:v>8.9999999999999993E-3</c:v>
                  </c:pt>
                  <c:pt idx="3">
                    <c:v>8.0000000000000002E-3</c:v>
                  </c:pt>
                  <c:pt idx="4">
                    <c:v>5.0000000000000001E-3</c:v>
                  </c:pt>
                  <c:pt idx="5">
                    <c:v>3.0000000000000001E-3</c:v>
                  </c:pt>
                  <c:pt idx="6">
                    <c:v>0.01</c:v>
                  </c:pt>
                  <c:pt idx="7">
                    <c:v>2E-3</c:v>
                  </c:pt>
                  <c:pt idx="8">
                    <c:v>2E-3</c:v>
                  </c:pt>
                  <c:pt idx="9">
                    <c:v>1E-3</c:v>
                  </c:pt>
                </c:numCache>
              </c:numRef>
            </c:plus>
            <c:minus>
              <c:numRef>
                <c:f>[1]Data!$AG$28:$AG$37</c:f>
                <c:numCache>
                  <c:formatCode>General</c:formatCode>
                  <c:ptCount val="10"/>
                  <c:pt idx="0">
                    <c:v>4.0000000000000001E-3</c:v>
                  </c:pt>
                  <c:pt idx="1">
                    <c:v>0</c:v>
                  </c:pt>
                  <c:pt idx="2">
                    <c:v>8.9999999999999993E-3</c:v>
                  </c:pt>
                  <c:pt idx="3">
                    <c:v>8.0000000000000002E-3</c:v>
                  </c:pt>
                  <c:pt idx="4">
                    <c:v>5.0000000000000001E-3</c:v>
                  </c:pt>
                  <c:pt idx="5">
                    <c:v>3.0000000000000001E-3</c:v>
                  </c:pt>
                  <c:pt idx="6">
                    <c:v>0.01</c:v>
                  </c:pt>
                  <c:pt idx="7">
                    <c:v>2E-3</c:v>
                  </c:pt>
                  <c:pt idx="8">
                    <c:v>2E-3</c:v>
                  </c:pt>
                  <c:pt idx="9">
                    <c:v>1E-3</c:v>
                  </c:pt>
                </c:numCache>
              </c:numRef>
            </c:minus>
          </c:errBars>
          <c:xVal>
            <c:numRef>
              <c:f>[1]Data!$AE$28:$AE$37</c:f>
              <c:numCache>
                <c:formatCode>General</c:formatCode>
                <c:ptCount val="10"/>
                <c:pt idx="0">
                  <c:v>0</c:v>
                </c:pt>
                <c:pt idx="1">
                  <c:v>7.0000000000000007E-2</c:v>
                </c:pt>
                <c:pt idx="2">
                  <c:v>0.17499999999999999</c:v>
                </c:pt>
                <c:pt idx="3">
                  <c:v>0.35</c:v>
                </c:pt>
                <c:pt idx="4">
                  <c:v>0.7</c:v>
                </c:pt>
                <c:pt idx="5">
                  <c:v>1.4</c:v>
                </c:pt>
                <c:pt idx="6">
                  <c:v>3.5</c:v>
                </c:pt>
                <c:pt idx="7">
                  <c:v>5.6</c:v>
                </c:pt>
                <c:pt idx="8">
                  <c:v>7</c:v>
                </c:pt>
                <c:pt idx="9">
                  <c:v>10.5</c:v>
                </c:pt>
              </c:numCache>
            </c:numRef>
          </c:xVal>
          <c:yVal>
            <c:numRef>
              <c:f>[1]Data!$AF$28:$AF$37</c:f>
              <c:numCache>
                <c:formatCode>General</c:formatCode>
                <c:ptCount val="10"/>
                <c:pt idx="0">
                  <c:v>0.74099999999999999</c:v>
                </c:pt>
                <c:pt idx="1">
                  <c:v>0.73599999999999999</c:v>
                </c:pt>
                <c:pt idx="2">
                  <c:v>0.71099999999999997</c:v>
                </c:pt>
                <c:pt idx="3">
                  <c:v>0.59499999999999997</c:v>
                </c:pt>
                <c:pt idx="4">
                  <c:v>0.55200000000000005</c:v>
                </c:pt>
                <c:pt idx="5">
                  <c:v>0.59</c:v>
                </c:pt>
                <c:pt idx="6">
                  <c:v>0.35799999999999998</c:v>
                </c:pt>
                <c:pt idx="7">
                  <c:v>0.13600000000000001</c:v>
                </c:pt>
                <c:pt idx="8">
                  <c:v>9.6000000000000002E-2</c:v>
                </c:pt>
                <c:pt idx="9">
                  <c:v>7.2999999999999995E-2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A-43EC-8679-37F1BF48295C}"/>
            </c:ext>
          </c:extLst>
        </c:ser>
        <c:ser>
          <c:idx val="1"/>
          <c:order val="1"/>
          <c:tx>
            <c:v>pH = 6.0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[1]Data!$AN$28:$AN$34</c:f>
                <c:numCache>
                  <c:formatCode>General</c:formatCode>
                  <c:ptCount val="7"/>
                  <c:pt idx="0">
                    <c:v>1.2E-2</c:v>
                  </c:pt>
                  <c:pt idx="1">
                    <c:v>2E-3</c:v>
                  </c:pt>
                  <c:pt idx="2">
                    <c:v>1.4999999999999999E-2</c:v>
                  </c:pt>
                  <c:pt idx="3">
                    <c:v>0.01</c:v>
                  </c:pt>
                  <c:pt idx="4">
                    <c:v>6.0000000000000001E-3</c:v>
                  </c:pt>
                  <c:pt idx="5">
                    <c:v>8.9999999999999993E-3</c:v>
                  </c:pt>
                  <c:pt idx="6">
                    <c:v>5.0000000000000001E-3</c:v>
                  </c:pt>
                </c:numCache>
              </c:numRef>
            </c:plus>
            <c:minus>
              <c:numRef>
                <c:f>[1]Data!$AN$28:$AN$34</c:f>
                <c:numCache>
                  <c:formatCode>General</c:formatCode>
                  <c:ptCount val="7"/>
                  <c:pt idx="0">
                    <c:v>1.2E-2</c:v>
                  </c:pt>
                  <c:pt idx="1">
                    <c:v>2E-3</c:v>
                  </c:pt>
                  <c:pt idx="2">
                    <c:v>1.4999999999999999E-2</c:v>
                  </c:pt>
                  <c:pt idx="3">
                    <c:v>0.01</c:v>
                  </c:pt>
                  <c:pt idx="4">
                    <c:v>6.0000000000000001E-3</c:v>
                  </c:pt>
                  <c:pt idx="5">
                    <c:v>8.9999999999999993E-3</c:v>
                  </c:pt>
                  <c:pt idx="6">
                    <c:v>5.0000000000000001E-3</c:v>
                  </c:pt>
                </c:numCache>
              </c:numRef>
            </c:minus>
          </c:errBars>
          <c:xVal>
            <c:numRef>
              <c:f>[1]Data!$AL$28:$AL$34</c:f>
              <c:numCache>
                <c:formatCode>General</c:formatCode>
                <c:ptCount val="7"/>
                <c:pt idx="0">
                  <c:v>0</c:v>
                </c:pt>
                <c:pt idx="1">
                  <c:v>7.0000000000000007E-2</c:v>
                </c:pt>
                <c:pt idx="2">
                  <c:v>0.17499999999999999</c:v>
                </c:pt>
                <c:pt idx="3">
                  <c:v>0.35</c:v>
                </c:pt>
                <c:pt idx="4">
                  <c:v>0.7</c:v>
                </c:pt>
                <c:pt idx="5">
                  <c:v>1.4</c:v>
                </c:pt>
                <c:pt idx="6">
                  <c:v>3.5</c:v>
                </c:pt>
              </c:numCache>
            </c:numRef>
          </c:xVal>
          <c:yVal>
            <c:numRef>
              <c:f>[1]Data!$AM$28:$AM$34</c:f>
              <c:numCache>
                <c:formatCode>General</c:formatCode>
                <c:ptCount val="7"/>
                <c:pt idx="0">
                  <c:v>0.42</c:v>
                </c:pt>
                <c:pt idx="1">
                  <c:v>0.42699999999999999</c:v>
                </c:pt>
                <c:pt idx="2">
                  <c:v>0.52600000000000002</c:v>
                </c:pt>
                <c:pt idx="3">
                  <c:v>0.47699999999999998</c:v>
                </c:pt>
                <c:pt idx="4">
                  <c:v>0.22700000000000001</c:v>
                </c:pt>
                <c:pt idx="5">
                  <c:v>7.2999999999999995E-2</c:v>
                </c:pt>
                <c:pt idx="6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A-43EC-8679-37F1BF48295C}"/>
            </c:ext>
          </c:extLst>
        </c:ser>
        <c:ser>
          <c:idx val="2"/>
          <c:order val="2"/>
          <c:tx>
            <c:v>pH = 5.0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00B05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[1]Data!$AU$28:$AU$34</c:f>
                <c:numCache>
                  <c:formatCode>General</c:formatCode>
                  <c:ptCount val="7"/>
                  <c:pt idx="0">
                    <c:v>3.8682468035705114E-3</c:v>
                  </c:pt>
                  <c:pt idx="1">
                    <c:v>3.1176914536239801E-3</c:v>
                  </c:pt>
                  <c:pt idx="2">
                    <c:v>3.3381631675718543E-3</c:v>
                  </c:pt>
                  <c:pt idx="3">
                    <c:v>2.0526405757787516E-3</c:v>
                  </c:pt>
                  <c:pt idx="4">
                    <c:v>3.4933269720043856E-3</c:v>
                  </c:pt>
                  <c:pt idx="5">
                    <c:v>7.8809897855535802E-3</c:v>
                  </c:pt>
                  <c:pt idx="6">
                    <c:v>2.6633312473917569E-3</c:v>
                  </c:pt>
                </c:numCache>
              </c:numRef>
            </c:plus>
            <c:minus>
              <c:numRef>
                <c:f>[1]Data!$AU$28:$AU$34</c:f>
                <c:numCache>
                  <c:formatCode>General</c:formatCode>
                  <c:ptCount val="7"/>
                  <c:pt idx="0">
                    <c:v>3.8682468035705114E-3</c:v>
                  </c:pt>
                  <c:pt idx="1">
                    <c:v>3.1176914536239801E-3</c:v>
                  </c:pt>
                  <c:pt idx="2">
                    <c:v>3.3381631675718543E-3</c:v>
                  </c:pt>
                  <c:pt idx="3">
                    <c:v>2.0526405757787516E-3</c:v>
                  </c:pt>
                  <c:pt idx="4">
                    <c:v>3.4933269720043856E-3</c:v>
                  </c:pt>
                  <c:pt idx="5">
                    <c:v>7.8809897855535802E-3</c:v>
                  </c:pt>
                  <c:pt idx="6">
                    <c:v>2.6633312473917569E-3</c:v>
                  </c:pt>
                </c:numCache>
              </c:numRef>
            </c:minus>
          </c:errBars>
          <c:xVal>
            <c:numRef>
              <c:f>[1]Data!$AS$28:$AS$34</c:f>
              <c:numCache>
                <c:formatCode>General</c:formatCode>
                <c:ptCount val="7"/>
                <c:pt idx="0">
                  <c:v>0</c:v>
                </c:pt>
                <c:pt idx="1">
                  <c:v>7.0000000000000007E-2</c:v>
                </c:pt>
                <c:pt idx="2">
                  <c:v>0.17499999999999999</c:v>
                </c:pt>
                <c:pt idx="3">
                  <c:v>0.35</c:v>
                </c:pt>
                <c:pt idx="4">
                  <c:v>0.7</c:v>
                </c:pt>
                <c:pt idx="5">
                  <c:v>1.4</c:v>
                </c:pt>
                <c:pt idx="6">
                  <c:v>3.5</c:v>
                </c:pt>
              </c:numCache>
            </c:numRef>
          </c:xVal>
          <c:yVal>
            <c:numRef>
              <c:f>[1]Data!$AT$28:$AT$34</c:f>
              <c:numCache>
                <c:formatCode>General</c:formatCode>
                <c:ptCount val="7"/>
                <c:pt idx="0">
                  <c:v>0.26226666666666665</c:v>
                </c:pt>
                <c:pt idx="1">
                  <c:v>0.12100000000000001</c:v>
                </c:pt>
                <c:pt idx="2">
                  <c:v>8.5966666666666677E-2</c:v>
                </c:pt>
                <c:pt idx="3">
                  <c:v>5.2433333333333332E-2</c:v>
                </c:pt>
                <c:pt idx="4">
                  <c:v>2.0866666666666662E-2</c:v>
                </c:pt>
                <c:pt idx="5">
                  <c:v>2.1000000000000001E-2</c:v>
                </c:pt>
                <c:pt idx="6">
                  <c:v>2.3833333333333335E-2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6A-43EC-8679-37F1BF482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1328"/>
        <c:axId val="49371904"/>
      </c:scatterChart>
      <c:valAx>
        <c:axId val="4937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 Concentration (g/L)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71904"/>
        <c:crosses val="autoZero"/>
        <c:crossBetween val="midCat"/>
      </c:valAx>
      <c:valAx>
        <c:axId val="49371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Avg Mu (1/h)</a:t>
                </a:r>
              </a:p>
              <a:p>
                <a:pPr>
                  <a:defRPr b="1"/>
                </a:pPr>
                <a:endParaRPr lang="en-US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71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589586921427795"/>
          <c:y val="0.30751359014659402"/>
          <c:w val="9.6687036135271603E-2"/>
          <c:h val="0.2398660414935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SuppSheet4!$C$6:$C$12</c:f>
              <c:numCache>
                <c:formatCode>0.0</c:formatCode>
                <c:ptCount val="7"/>
                <c:pt idx="0">
                  <c:v>0</c:v>
                </c:pt>
                <c:pt idx="1">
                  <c:v>0.78333333326736465</c:v>
                </c:pt>
                <c:pt idx="2">
                  <c:v>2.5833333333721384</c:v>
                </c:pt>
                <c:pt idx="3">
                  <c:v>3.9499999999534339</c:v>
                </c:pt>
                <c:pt idx="4">
                  <c:v>5.6166666666395031</c:v>
                </c:pt>
                <c:pt idx="5">
                  <c:v>7.0166666666627862</c:v>
                </c:pt>
                <c:pt idx="6">
                  <c:v>8.8666666665812954</c:v>
                </c:pt>
              </c:numCache>
            </c:numRef>
          </c:xVal>
          <c:yVal>
            <c:numRef>
              <c:f>SuppSheet4!$J$6:$J$12</c:f>
              <c:numCache>
                <c:formatCode>0.00</c:formatCode>
                <c:ptCount val="7"/>
                <c:pt idx="0">
                  <c:v>7.02</c:v>
                </c:pt>
                <c:pt idx="1">
                  <c:v>6.94</c:v>
                </c:pt>
                <c:pt idx="2">
                  <c:v>6.81</c:v>
                </c:pt>
                <c:pt idx="3">
                  <c:v>6.53</c:v>
                </c:pt>
                <c:pt idx="4">
                  <c:v>5.49</c:v>
                </c:pt>
                <c:pt idx="5">
                  <c:v>4.75</c:v>
                </c:pt>
                <c:pt idx="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7-411D-A991-416FF08D25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SuppSheet4!$C$6:$C$12</c:f>
              <c:numCache>
                <c:formatCode>0.0</c:formatCode>
                <c:ptCount val="7"/>
                <c:pt idx="0">
                  <c:v>0</c:v>
                </c:pt>
                <c:pt idx="1">
                  <c:v>0.78333333326736465</c:v>
                </c:pt>
                <c:pt idx="2">
                  <c:v>2.5833333333721384</c:v>
                </c:pt>
                <c:pt idx="3">
                  <c:v>3.9499999999534339</c:v>
                </c:pt>
                <c:pt idx="4">
                  <c:v>5.6166666666395031</c:v>
                </c:pt>
                <c:pt idx="5">
                  <c:v>7.0166666666627862</c:v>
                </c:pt>
                <c:pt idx="6">
                  <c:v>8.8666666665812954</c:v>
                </c:pt>
              </c:numCache>
            </c:numRef>
          </c:xVal>
          <c:yVal>
            <c:numRef>
              <c:f>SuppSheet4!$K$6:$K$12</c:f>
              <c:numCache>
                <c:formatCode>0.00</c:formatCode>
                <c:ptCount val="7"/>
                <c:pt idx="0">
                  <c:v>7</c:v>
                </c:pt>
                <c:pt idx="1">
                  <c:v>6.95</c:v>
                </c:pt>
                <c:pt idx="2">
                  <c:v>6.8</c:v>
                </c:pt>
                <c:pt idx="3">
                  <c:v>6.49</c:v>
                </c:pt>
                <c:pt idx="4">
                  <c:v>5.44</c:v>
                </c:pt>
                <c:pt idx="5">
                  <c:v>4.7699999999999996</c:v>
                </c:pt>
                <c:pt idx="6">
                  <c:v>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7-411D-A991-416FF08D250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SuppSheet4!$C$6:$C$12</c:f>
              <c:numCache>
                <c:formatCode>0.0</c:formatCode>
                <c:ptCount val="7"/>
                <c:pt idx="0">
                  <c:v>0</c:v>
                </c:pt>
                <c:pt idx="1">
                  <c:v>0.78333333326736465</c:v>
                </c:pt>
                <c:pt idx="2">
                  <c:v>2.5833333333721384</c:v>
                </c:pt>
                <c:pt idx="3">
                  <c:v>3.9499999999534339</c:v>
                </c:pt>
                <c:pt idx="4">
                  <c:v>5.6166666666395031</c:v>
                </c:pt>
                <c:pt idx="5">
                  <c:v>7.0166666666627862</c:v>
                </c:pt>
                <c:pt idx="6">
                  <c:v>8.8666666665812954</c:v>
                </c:pt>
              </c:numCache>
            </c:numRef>
          </c:xVal>
          <c:yVal>
            <c:numRef>
              <c:f>SuppSheet4!$L$6:$L$12</c:f>
              <c:numCache>
                <c:formatCode>0.00</c:formatCode>
                <c:ptCount val="7"/>
                <c:pt idx="0">
                  <c:v>7.01</c:v>
                </c:pt>
                <c:pt idx="1">
                  <c:v>6.95</c:v>
                </c:pt>
                <c:pt idx="2">
                  <c:v>6.78</c:v>
                </c:pt>
                <c:pt idx="3">
                  <c:v>6.44</c:v>
                </c:pt>
                <c:pt idx="4">
                  <c:v>5.28</c:v>
                </c:pt>
                <c:pt idx="5">
                  <c:v>4.7</c:v>
                </c:pt>
                <c:pt idx="6">
                  <c:v>4.43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D7-411D-A991-416FF08D250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SuppSheet4!$C$6:$C$12</c:f>
              <c:numCache>
                <c:formatCode>0.0</c:formatCode>
                <c:ptCount val="7"/>
                <c:pt idx="0">
                  <c:v>0</c:v>
                </c:pt>
                <c:pt idx="1">
                  <c:v>0.78333333326736465</c:v>
                </c:pt>
                <c:pt idx="2">
                  <c:v>2.5833333333721384</c:v>
                </c:pt>
                <c:pt idx="3">
                  <c:v>3.9499999999534339</c:v>
                </c:pt>
                <c:pt idx="4">
                  <c:v>5.6166666666395031</c:v>
                </c:pt>
                <c:pt idx="5">
                  <c:v>7.0166666666627862</c:v>
                </c:pt>
                <c:pt idx="6">
                  <c:v>8.8666666665812954</c:v>
                </c:pt>
              </c:numCache>
            </c:numRef>
          </c:xVal>
          <c:yVal>
            <c:numRef>
              <c:f>SuppSheet4!$M$6:$M$12</c:f>
              <c:numCache>
                <c:formatCode>0.00</c:formatCode>
                <c:ptCount val="7"/>
                <c:pt idx="0">
                  <c:v>7.02</c:v>
                </c:pt>
                <c:pt idx="1">
                  <c:v>7.01</c:v>
                </c:pt>
                <c:pt idx="2">
                  <c:v>7</c:v>
                </c:pt>
                <c:pt idx="3">
                  <c:v>6.92</c:v>
                </c:pt>
                <c:pt idx="4">
                  <c:v>6.92</c:v>
                </c:pt>
                <c:pt idx="5">
                  <c:v>6.97</c:v>
                </c:pt>
                <c:pt idx="6">
                  <c:v>6.97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D7-411D-A991-416FF08D2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381568"/>
        <c:axId val="866383248"/>
      </c:scatterChart>
      <c:valAx>
        <c:axId val="8663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83248"/>
        <c:crosses val="autoZero"/>
        <c:crossBetween val="midCat"/>
      </c:valAx>
      <c:valAx>
        <c:axId val="8663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SuppSheet5!$C$6:$C$14</c:f>
              <c:numCache>
                <c:formatCode>0.0</c:formatCode>
                <c:ptCount val="9"/>
                <c:pt idx="0">
                  <c:v>0</c:v>
                </c:pt>
                <c:pt idx="1">
                  <c:v>0.81666666670935228</c:v>
                </c:pt>
                <c:pt idx="2">
                  <c:v>2.1500000000232831</c:v>
                </c:pt>
                <c:pt idx="3">
                  <c:v>3.5833333333139308</c:v>
                </c:pt>
                <c:pt idx="4">
                  <c:v>5.1833333332906477</c:v>
                </c:pt>
                <c:pt idx="5">
                  <c:v>6.46666666661622</c:v>
                </c:pt>
                <c:pt idx="6">
                  <c:v>8.0166666666045785</c:v>
                </c:pt>
                <c:pt idx="7">
                  <c:v>9.9333333332324401</c:v>
                </c:pt>
                <c:pt idx="8">
                  <c:v>18.883333333244082</c:v>
                </c:pt>
              </c:numCache>
            </c:numRef>
          </c:xVal>
          <c:yVal>
            <c:numRef>
              <c:f>SuppSheet5!$D$6:$D$14</c:f>
              <c:numCache>
                <c:formatCode>0.000</c:formatCode>
                <c:ptCount val="9"/>
                <c:pt idx="0">
                  <c:v>2.5000000000000001E-2</c:v>
                </c:pt>
                <c:pt idx="1">
                  <c:v>3.5000000000000003E-2</c:v>
                </c:pt>
                <c:pt idx="2">
                  <c:v>4.9000000000000002E-2</c:v>
                </c:pt>
                <c:pt idx="3">
                  <c:v>6.6000000000000003E-2</c:v>
                </c:pt>
                <c:pt idx="4">
                  <c:v>0.183</c:v>
                </c:pt>
                <c:pt idx="5">
                  <c:v>0.251</c:v>
                </c:pt>
                <c:pt idx="6">
                  <c:v>0.26600000000000001</c:v>
                </c:pt>
                <c:pt idx="7">
                  <c:v>0.26700000000000002</c:v>
                </c:pt>
                <c:pt idx="8">
                  <c:v>0.245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0-40A8-817F-22AE788989A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SuppSheet5!$C$6:$C$14</c:f>
              <c:numCache>
                <c:formatCode>0.0</c:formatCode>
                <c:ptCount val="9"/>
                <c:pt idx="0">
                  <c:v>0</c:v>
                </c:pt>
                <c:pt idx="1">
                  <c:v>0.81666666670935228</c:v>
                </c:pt>
                <c:pt idx="2">
                  <c:v>2.1500000000232831</c:v>
                </c:pt>
                <c:pt idx="3">
                  <c:v>3.5833333333139308</c:v>
                </c:pt>
                <c:pt idx="4">
                  <c:v>5.1833333332906477</c:v>
                </c:pt>
                <c:pt idx="5">
                  <c:v>6.46666666661622</c:v>
                </c:pt>
                <c:pt idx="6">
                  <c:v>8.0166666666045785</c:v>
                </c:pt>
                <c:pt idx="7">
                  <c:v>9.9333333332324401</c:v>
                </c:pt>
                <c:pt idx="8">
                  <c:v>18.883333333244082</c:v>
                </c:pt>
              </c:numCache>
            </c:numRef>
          </c:xVal>
          <c:yVal>
            <c:numRef>
              <c:f>SuppSheet5!$E$6:$E$14</c:f>
              <c:numCache>
                <c:formatCode>0.000</c:formatCode>
                <c:ptCount val="9"/>
                <c:pt idx="0">
                  <c:v>2.4E-2</c:v>
                </c:pt>
                <c:pt idx="1">
                  <c:v>3.3000000000000002E-2</c:v>
                </c:pt>
                <c:pt idx="2">
                  <c:v>4.5999999999999999E-2</c:v>
                </c:pt>
                <c:pt idx="3">
                  <c:v>5.8000000000000003E-2</c:v>
                </c:pt>
                <c:pt idx="4">
                  <c:v>0.161</c:v>
                </c:pt>
                <c:pt idx="5">
                  <c:v>0.22700000000000001</c:v>
                </c:pt>
                <c:pt idx="6">
                  <c:v>0.246</c:v>
                </c:pt>
                <c:pt idx="7">
                  <c:v>0.25</c:v>
                </c:pt>
                <c:pt idx="8">
                  <c:v>0.23400000000000001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0-40A8-817F-22AE788989A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SuppSheet5!$C$6:$C$14</c:f>
              <c:numCache>
                <c:formatCode>0.0</c:formatCode>
                <c:ptCount val="9"/>
                <c:pt idx="0">
                  <c:v>0</c:v>
                </c:pt>
                <c:pt idx="1">
                  <c:v>0.81666666670935228</c:v>
                </c:pt>
                <c:pt idx="2">
                  <c:v>2.1500000000232831</c:v>
                </c:pt>
                <c:pt idx="3">
                  <c:v>3.5833333333139308</c:v>
                </c:pt>
                <c:pt idx="4">
                  <c:v>5.1833333332906477</c:v>
                </c:pt>
                <c:pt idx="5">
                  <c:v>6.46666666661622</c:v>
                </c:pt>
                <c:pt idx="6">
                  <c:v>8.0166666666045785</c:v>
                </c:pt>
                <c:pt idx="7">
                  <c:v>9.9333333332324401</c:v>
                </c:pt>
                <c:pt idx="8">
                  <c:v>18.883333333244082</c:v>
                </c:pt>
              </c:numCache>
            </c:numRef>
          </c:xVal>
          <c:yVal>
            <c:numRef>
              <c:f>SuppSheet5!$F$6:$F$14</c:f>
              <c:numCache>
                <c:formatCode>0.000</c:formatCode>
                <c:ptCount val="9"/>
                <c:pt idx="0">
                  <c:v>2.3E-2</c:v>
                </c:pt>
                <c:pt idx="1">
                  <c:v>3.1E-2</c:v>
                </c:pt>
                <c:pt idx="2">
                  <c:v>4.2000000000000003E-2</c:v>
                </c:pt>
                <c:pt idx="3">
                  <c:v>5.3999999999999999E-2</c:v>
                </c:pt>
                <c:pt idx="4">
                  <c:v>0.157</c:v>
                </c:pt>
                <c:pt idx="5">
                  <c:v>0.22900000000000001</c:v>
                </c:pt>
                <c:pt idx="6">
                  <c:v>0.246</c:v>
                </c:pt>
                <c:pt idx="7">
                  <c:v>0.249</c:v>
                </c:pt>
                <c:pt idx="8">
                  <c:v>0.23100000000000001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B0-40A8-817F-22AE788989A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SuppSheet5!$C$6:$C$14</c:f>
              <c:numCache>
                <c:formatCode>0.0</c:formatCode>
                <c:ptCount val="9"/>
                <c:pt idx="0">
                  <c:v>0</c:v>
                </c:pt>
                <c:pt idx="1">
                  <c:v>0.81666666670935228</c:v>
                </c:pt>
                <c:pt idx="2">
                  <c:v>2.1500000000232831</c:v>
                </c:pt>
                <c:pt idx="3">
                  <c:v>3.5833333333139308</c:v>
                </c:pt>
                <c:pt idx="4">
                  <c:v>5.1833333332906477</c:v>
                </c:pt>
                <c:pt idx="5">
                  <c:v>6.46666666661622</c:v>
                </c:pt>
                <c:pt idx="6">
                  <c:v>8.0166666666045785</c:v>
                </c:pt>
                <c:pt idx="7">
                  <c:v>9.9333333332324401</c:v>
                </c:pt>
                <c:pt idx="8">
                  <c:v>18.883333333244082</c:v>
                </c:pt>
              </c:numCache>
            </c:numRef>
          </c:xVal>
          <c:yVal>
            <c:numRef>
              <c:f>SuppSheet5!$G$6:$G$14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2E-3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B0-40A8-817F-22AE78898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942032"/>
        <c:axId val="917949104"/>
      </c:scatterChart>
      <c:valAx>
        <c:axId val="9179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49104"/>
        <c:crosses val="autoZero"/>
        <c:crossBetween val="midCat"/>
      </c:valAx>
      <c:valAx>
        <c:axId val="9179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4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SuppSheet5!$C$6:$C$14</c:f>
              <c:numCache>
                <c:formatCode>0.0</c:formatCode>
                <c:ptCount val="9"/>
                <c:pt idx="0">
                  <c:v>0</c:v>
                </c:pt>
                <c:pt idx="1">
                  <c:v>0.81666666670935228</c:v>
                </c:pt>
                <c:pt idx="2">
                  <c:v>2.1500000000232831</c:v>
                </c:pt>
                <c:pt idx="3">
                  <c:v>3.5833333333139308</c:v>
                </c:pt>
                <c:pt idx="4">
                  <c:v>5.1833333332906477</c:v>
                </c:pt>
                <c:pt idx="5">
                  <c:v>6.46666666661622</c:v>
                </c:pt>
                <c:pt idx="6">
                  <c:v>8.0166666666045785</c:v>
                </c:pt>
                <c:pt idx="7">
                  <c:v>9.9333333332324401</c:v>
                </c:pt>
                <c:pt idx="8">
                  <c:v>18.883333333244082</c:v>
                </c:pt>
              </c:numCache>
            </c:numRef>
          </c:xVal>
          <c:yVal>
            <c:numRef>
              <c:f>SuppSheet5!$D$6:$D$14</c:f>
              <c:numCache>
                <c:formatCode>0.000</c:formatCode>
                <c:ptCount val="9"/>
                <c:pt idx="0">
                  <c:v>2.5000000000000001E-2</c:v>
                </c:pt>
                <c:pt idx="1">
                  <c:v>3.5000000000000003E-2</c:v>
                </c:pt>
                <c:pt idx="2">
                  <c:v>4.9000000000000002E-2</c:v>
                </c:pt>
                <c:pt idx="3">
                  <c:v>6.6000000000000003E-2</c:v>
                </c:pt>
                <c:pt idx="4">
                  <c:v>0.183</c:v>
                </c:pt>
                <c:pt idx="5">
                  <c:v>0.251</c:v>
                </c:pt>
                <c:pt idx="6">
                  <c:v>0.26600000000000001</c:v>
                </c:pt>
                <c:pt idx="7">
                  <c:v>0.26700000000000002</c:v>
                </c:pt>
                <c:pt idx="8">
                  <c:v>0.245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C-46C0-9C46-70F0307ED76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SuppSheet5!$C$6:$C$14</c:f>
              <c:numCache>
                <c:formatCode>0.0</c:formatCode>
                <c:ptCount val="9"/>
                <c:pt idx="0">
                  <c:v>0</c:v>
                </c:pt>
                <c:pt idx="1">
                  <c:v>0.81666666670935228</c:v>
                </c:pt>
                <c:pt idx="2">
                  <c:v>2.1500000000232831</c:v>
                </c:pt>
                <c:pt idx="3">
                  <c:v>3.5833333333139308</c:v>
                </c:pt>
                <c:pt idx="4">
                  <c:v>5.1833333332906477</c:v>
                </c:pt>
                <c:pt idx="5">
                  <c:v>6.46666666661622</c:v>
                </c:pt>
                <c:pt idx="6">
                  <c:v>8.0166666666045785</c:v>
                </c:pt>
                <c:pt idx="7">
                  <c:v>9.9333333332324401</c:v>
                </c:pt>
                <c:pt idx="8">
                  <c:v>18.883333333244082</c:v>
                </c:pt>
              </c:numCache>
            </c:numRef>
          </c:xVal>
          <c:yVal>
            <c:numRef>
              <c:f>SuppSheet5!$E$6:$E$14</c:f>
              <c:numCache>
                <c:formatCode>0.000</c:formatCode>
                <c:ptCount val="9"/>
                <c:pt idx="0">
                  <c:v>2.4E-2</c:v>
                </c:pt>
                <c:pt idx="1">
                  <c:v>3.3000000000000002E-2</c:v>
                </c:pt>
                <c:pt idx="2">
                  <c:v>4.5999999999999999E-2</c:v>
                </c:pt>
                <c:pt idx="3">
                  <c:v>5.8000000000000003E-2</c:v>
                </c:pt>
                <c:pt idx="4">
                  <c:v>0.161</c:v>
                </c:pt>
                <c:pt idx="5">
                  <c:v>0.22700000000000001</c:v>
                </c:pt>
                <c:pt idx="6">
                  <c:v>0.246</c:v>
                </c:pt>
                <c:pt idx="7">
                  <c:v>0.25</c:v>
                </c:pt>
                <c:pt idx="8">
                  <c:v>0.23400000000000001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6C-46C0-9C46-70F0307ED76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SuppSheet5!$C$6:$C$14</c:f>
              <c:numCache>
                <c:formatCode>0.0</c:formatCode>
                <c:ptCount val="9"/>
                <c:pt idx="0">
                  <c:v>0</c:v>
                </c:pt>
                <c:pt idx="1">
                  <c:v>0.81666666670935228</c:v>
                </c:pt>
                <c:pt idx="2">
                  <c:v>2.1500000000232831</c:v>
                </c:pt>
                <c:pt idx="3">
                  <c:v>3.5833333333139308</c:v>
                </c:pt>
                <c:pt idx="4">
                  <c:v>5.1833333332906477</c:v>
                </c:pt>
                <c:pt idx="5">
                  <c:v>6.46666666661622</c:v>
                </c:pt>
                <c:pt idx="6">
                  <c:v>8.0166666666045785</c:v>
                </c:pt>
                <c:pt idx="7">
                  <c:v>9.9333333332324401</c:v>
                </c:pt>
                <c:pt idx="8">
                  <c:v>18.883333333244082</c:v>
                </c:pt>
              </c:numCache>
            </c:numRef>
          </c:xVal>
          <c:yVal>
            <c:numRef>
              <c:f>SuppSheet5!$F$6:$F$14</c:f>
              <c:numCache>
                <c:formatCode>0.000</c:formatCode>
                <c:ptCount val="9"/>
                <c:pt idx="0">
                  <c:v>2.3E-2</c:v>
                </c:pt>
                <c:pt idx="1">
                  <c:v>3.1E-2</c:v>
                </c:pt>
                <c:pt idx="2">
                  <c:v>4.2000000000000003E-2</c:v>
                </c:pt>
                <c:pt idx="3">
                  <c:v>5.3999999999999999E-2</c:v>
                </c:pt>
                <c:pt idx="4">
                  <c:v>0.157</c:v>
                </c:pt>
                <c:pt idx="5">
                  <c:v>0.22900000000000001</c:v>
                </c:pt>
                <c:pt idx="6">
                  <c:v>0.246</c:v>
                </c:pt>
                <c:pt idx="7">
                  <c:v>0.249</c:v>
                </c:pt>
                <c:pt idx="8">
                  <c:v>0.23100000000000001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6C-46C0-9C46-70F0307ED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942032"/>
        <c:axId val="917949104"/>
      </c:scatterChart>
      <c:valAx>
        <c:axId val="9179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49104"/>
        <c:crosses val="autoZero"/>
        <c:crossBetween val="midCat"/>
      </c:valAx>
      <c:valAx>
        <c:axId val="917949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4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SuppSheet5!$C$6:$C$14</c:f>
              <c:numCache>
                <c:formatCode>0.0</c:formatCode>
                <c:ptCount val="9"/>
                <c:pt idx="0">
                  <c:v>0</c:v>
                </c:pt>
                <c:pt idx="1">
                  <c:v>0.81666666670935228</c:v>
                </c:pt>
                <c:pt idx="2">
                  <c:v>2.1500000000232831</c:v>
                </c:pt>
                <c:pt idx="3">
                  <c:v>3.5833333333139308</c:v>
                </c:pt>
                <c:pt idx="4">
                  <c:v>5.1833333332906477</c:v>
                </c:pt>
                <c:pt idx="5">
                  <c:v>6.46666666661622</c:v>
                </c:pt>
                <c:pt idx="6">
                  <c:v>8.0166666666045785</c:v>
                </c:pt>
                <c:pt idx="7">
                  <c:v>9.9333333332324401</c:v>
                </c:pt>
                <c:pt idx="8">
                  <c:v>18.883333333244082</c:v>
                </c:pt>
              </c:numCache>
            </c:numRef>
          </c:xVal>
          <c:yVal>
            <c:numRef>
              <c:f>SuppSheet5!$J$6:$J$14</c:f>
              <c:numCache>
                <c:formatCode>0.00</c:formatCode>
                <c:ptCount val="9"/>
                <c:pt idx="0">
                  <c:v>7.5</c:v>
                </c:pt>
                <c:pt idx="1">
                  <c:v>7.41</c:v>
                </c:pt>
                <c:pt idx="2">
                  <c:v>7.24</c:v>
                </c:pt>
                <c:pt idx="3">
                  <c:v>7.17</c:v>
                </c:pt>
                <c:pt idx="4">
                  <c:v>6.81</c:v>
                </c:pt>
                <c:pt idx="5">
                  <c:v>6.55</c:v>
                </c:pt>
                <c:pt idx="6">
                  <c:v>6.11</c:v>
                </c:pt>
                <c:pt idx="7">
                  <c:v>5.42</c:v>
                </c:pt>
                <c:pt idx="8">
                  <c:v>4.6100000000000003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4-440C-8262-264B7CE43C8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SuppSheet5!$C$6:$C$14</c:f>
              <c:numCache>
                <c:formatCode>0.0</c:formatCode>
                <c:ptCount val="9"/>
                <c:pt idx="0">
                  <c:v>0</c:v>
                </c:pt>
                <c:pt idx="1">
                  <c:v>0.81666666670935228</c:v>
                </c:pt>
                <c:pt idx="2">
                  <c:v>2.1500000000232831</c:v>
                </c:pt>
                <c:pt idx="3">
                  <c:v>3.5833333333139308</c:v>
                </c:pt>
                <c:pt idx="4">
                  <c:v>5.1833333332906477</c:v>
                </c:pt>
                <c:pt idx="5">
                  <c:v>6.46666666661622</c:v>
                </c:pt>
                <c:pt idx="6">
                  <c:v>8.0166666666045785</c:v>
                </c:pt>
                <c:pt idx="7">
                  <c:v>9.9333333332324401</c:v>
                </c:pt>
                <c:pt idx="8">
                  <c:v>18.883333333244082</c:v>
                </c:pt>
              </c:numCache>
            </c:numRef>
          </c:xVal>
          <c:yVal>
            <c:numRef>
              <c:f>SuppSheet5!$K$6:$K$14</c:f>
              <c:numCache>
                <c:formatCode>0.00</c:formatCode>
                <c:ptCount val="9"/>
                <c:pt idx="0">
                  <c:v>7.51</c:v>
                </c:pt>
                <c:pt idx="1">
                  <c:v>7.41</c:v>
                </c:pt>
                <c:pt idx="2">
                  <c:v>7.26</c:v>
                </c:pt>
                <c:pt idx="3">
                  <c:v>7.19</c:v>
                </c:pt>
                <c:pt idx="4">
                  <c:v>6.9</c:v>
                </c:pt>
                <c:pt idx="5">
                  <c:v>6.62</c:v>
                </c:pt>
                <c:pt idx="6">
                  <c:v>6.14</c:v>
                </c:pt>
                <c:pt idx="7">
                  <c:v>5.57</c:v>
                </c:pt>
                <c:pt idx="8">
                  <c:v>4.57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4-440C-8262-264B7CE43C8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SuppSheet5!$C$6:$C$14</c:f>
              <c:numCache>
                <c:formatCode>0.0</c:formatCode>
                <c:ptCount val="9"/>
                <c:pt idx="0">
                  <c:v>0</c:v>
                </c:pt>
                <c:pt idx="1">
                  <c:v>0.81666666670935228</c:v>
                </c:pt>
                <c:pt idx="2">
                  <c:v>2.1500000000232831</c:v>
                </c:pt>
                <c:pt idx="3">
                  <c:v>3.5833333333139308</c:v>
                </c:pt>
                <c:pt idx="4">
                  <c:v>5.1833333332906477</c:v>
                </c:pt>
                <c:pt idx="5">
                  <c:v>6.46666666661622</c:v>
                </c:pt>
                <c:pt idx="6">
                  <c:v>8.0166666666045785</c:v>
                </c:pt>
                <c:pt idx="7">
                  <c:v>9.9333333332324401</c:v>
                </c:pt>
                <c:pt idx="8">
                  <c:v>18.883333333244082</c:v>
                </c:pt>
              </c:numCache>
            </c:numRef>
          </c:xVal>
          <c:yVal>
            <c:numRef>
              <c:f>SuppSheet5!$L$6:$L$14</c:f>
              <c:numCache>
                <c:formatCode>0.00</c:formatCode>
                <c:ptCount val="9"/>
                <c:pt idx="0">
                  <c:v>7.52</c:v>
                </c:pt>
                <c:pt idx="1">
                  <c:v>7.37</c:v>
                </c:pt>
                <c:pt idx="2">
                  <c:v>7.24</c:v>
                </c:pt>
                <c:pt idx="3">
                  <c:v>7.2</c:v>
                </c:pt>
                <c:pt idx="4">
                  <c:v>6.91</c:v>
                </c:pt>
                <c:pt idx="5">
                  <c:v>6.61</c:v>
                </c:pt>
                <c:pt idx="6">
                  <c:v>6.09</c:v>
                </c:pt>
                <c:pt idx="7">
                  <c:v>5.52</c:v>
                </c:pt>
                <c:pt idx="8">
                  <c:v>4.5199999999999996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84-440C-8262-264B7CE43C8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SuppSheet5!$C$6:$C$14</c:f>
              <c:numCache>
                <c:formatCode>0.0</c:formatCode>
                <c:ptCount val="9"/>
                <c:pt idx="0">
                  <c:v>0</c:v>
                </c:pt>
                <c:pt idx="1">
                  <c:v>0.81666666670935228</c:v>
                </c:pt>
                <c:pt idx="2">
                  <c:v>2.1500000000232831</c:v>
                </c:pt>
                <c:pt idx="3">
                  <c:v>3.5833333333139308</c:v>
                </c:pt>
                <c:pt idx="4">
                  <c:v>5.1833333332906477</c:v>
                </c:pt>
                <c:pt idx="5">
                  <c:v>6.46666666661622</c:v>
                </c:pt>
                <c:pt idx="6">
                  <c:v>8.0166666666045785</c:v>
                </c:pt>
                <c:pt idx="7">
                  <c:v>9.9333333332324401</c:v>
                </c:pt>
                <c:pt idx="8">
                  <c:v>18.883333333244082</c:v>
                </c:pt>
              </c:numCache>
            </c:numRef>
          </c:xVal>
          <c:yVal>
            <c:numRef>
              <c:f>SuppSheet5!$M$6:$M$14</c:f>
              <c:numCache>
                <c:formatCode>0.00</c:formatCode>
                <c:ptCount val="9"/>
                <c:pt idx="0">
                  <c:v>7.53</c:v>
                </c:pt>
                <c:pt idx="1">
                  <c:v>7.46</c:v>
                </c:pt>
                <c:pt idx="2">
                  <c:v>7.45</c:v>
                </c:pt>
                <c:pt idx="3">
                  <c:v>7.42</c:v>
                </c:pt>
                <c:pt idx="4">
                  <c:v>7.4</c:v>
                </c:pt>
                <c:pt idx="5">
                  <c:v>7.4</c:v>
                </c:pt>
                <c:pt idx="6">
                  <c:v>7.38</c:v>
                </c:pt>
                <c:pt idx="7">
                  <c:v>7.33</c:v>
                </c:pt>
                <c:pt idx="8">
                  <c:v>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84-440C-8262-264B7CE43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942032"/>
        <c:axId val="917949104"/>
      </c:scatterChart>
      <c:valAx>
        <c:axId val="9179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49104"/>
        <c:crosses val="autoZero"/>
        <c:crossBetween val="midCat"/>
      </c:valAx>
      <c:valAx>
        <c:axId val="9179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4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SuppSheet6!$C$6:$C$10</c:f>
              <c:numCache>
                <c:formatCode>0.0</c:formatCode>
                <c:ptCount val="5"/>
                <c:pt idx="0">
                  <c:v>0</c:v>
                </c:pt>
                <c:pt idx="1">
                  <c:v>1.9833333333372138</c:v>
                </c:pt>
                <c:pt idx="2">
                  <c:v>4.4666666667326353</c:v>
                </c:pt>
                <c:pt idx="3">
                  <c:v>7.2666666667792015</c:v>
                </c:pt>
                <c:pt idx="4">
                  <c:v>11.166666666744277</c:v>
                </c:pt>
              </c:numCache>
            </c:numRef>
          </c:xVal>
          <c:yVal>
            <c:numRef>
              <c:f>SuppSheet6!$D$6:$D$10</c:f>
              <c:numCache>
                <c:formatCode>0.000</c:formatCode>
                <c:ptCount val="5"/>
                <c:pt idx="0">
                  <c:v>2.1000000000000001E-2</c:v>
                </c:pt>
                <c:pt idx="1">
                  <c:v>2.4E-2</c:v>
                </c:pt>
                <c:pt idx="2">
                  <c:v>3.1E-2</c:v>
                </c:pt>
                <c:pt idx="3">
                  <c:v>3.1E-2</c:v>
                </c:pt>
                <c:pt idx="4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C-481F-B7C7-7BB28C6891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SuppSheet6!$C$6:$C$10</c:f>
              <c:numCache>
                <c:formatCode>0.0</c:formatCode>
                <c:ptCount val="5"/>
                <c:pt idx="0">
                  <c:v>0</c:v>
                </c:pt>
                <c:pt idx="1">
                  <c:v>1.9833333333372138</c:v>
                </c:pt>
                <c:pt idx="2">
                  <c:v>4.4666666667326353</c:v>
                </c:pt>
                <c:pt idx="3">
                  <c:v>7.2666666667792015</c:v>
                </c:pt>
                <c:pt idx="4">
                  <c:v>11.166666666744277</c:v>
                </c:pt>
              </c:numCache>
            </c:numRef>
          </c:xVal>
          <c:yVal>
            <c:numRef>
              <c:f>SuppSheet6!$E$6:$E$10</c:f>
              <c:numCache>
                <c:formatCode>0.000</c:formatCode>
                <c:ptCount val="5"/>
                <c:pt idx="0">
                  <c:v>1.7999999999999999E-2</c:v>
                </c:pt>
                <c:pt idx="1">
                  <c:v>2.1999999999999999E-2</c:v>
                </c:pt>
                <c:pt idx="2">
                  <c:v>2.9000000000000001E-2</c:v>
                </c:pt>
                <c:pt idx="3">
                  <c:v>2.9000000000000001E-2</c:v>
                </c:pt>
                <c:pt idx="4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C-481F-B7C7-7BB28C6891C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SuppSheet6!$C$6:$C$10</c:f>
              <c:numCache>
                <c:formatCode>0.0</c:formatCode>
                <c:ptCount val="5"/>
                <c:pt idx="0">
                  <c:v>0</c:v>
                </c:pt>
                <c:pt idx="1">
                  <c:v>1.9833333333372138</c:v>
                </c:pt>
                <c:pt idx="2">
                  <c:v>4.4666666667326353</c:v>
                </c:pt>
                <c:pt idx="3">
                  <c:v>7.2666666667792015</c:v>
                </c:pt>
                <c:pt idx="4">
                  <c:v>11.166666666744277</c:v>
                </c:pt>
              </c:numCache>
            </c:numRef>
          </c:xVal>
          <c:yVal>
            <c:numRef>
              <c:f>SuppSheet6!$F$6:$F$10</c:f>
              <c:numCache>
                <c:formatCode>0.000</c:formatCode>
                <c:ptCount val="5"/>
                <c:pt idx="0">
                  <c:v>2.3E-2</c:v>
                </c:pt>
                <c:pt idx="1">
                  <c:v>2.3E-2</c:v>
                </c:pt>
                <c:pt idx="2">
                  <c:v>0.03</c:v>
                </c:pt>
                <c:pt idx="3">
                  <c:v>0.03</c:v>
                </c:pt>
                <c:pt idx="4">
                  <c:v>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C-481F-B7C7-7BB28C6891C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SuppSheet6!$C$6:$C$10</c:f>
              <c:numCache>
                <c:formatCode>0.0</c:formatCode>
                <c:ptCount val="5"/>
                <c:pt idx="0">
                  <c:v>0</c:v>
                </c:pt>
                <c:pt idx="1">
                  <c:v>1.9833333333372138</c:v>
                </c:pt>
                <c:pt idx="2">
                  <c:v>4.4666666667326353</c:v>
                </c:pt>
                <c:pt idx="3">
                  <c:v>7.2666666667792015</c:v>
                </c:pt>
                <c:pt idx="4">
                  <c:v>11.166666666744277</c:v>
                </c:pt>
              </c:numCache>
            </c:numRef>
          </c:xVal>
          <c:yVal>
            <c:numRef>
              <c:f>SuppSheet6!$G$6:$G$10</c:f>
              <c:numCache>
                <c:formatCode>0.000</c:formatCode>
                <c:ptCount val="5"/>
                <c:pt idx="0">
                  <c:v>0</c:v>
                </c:pt>
                <c:pt idx="1">
                  <c:v>-1E-3</c:v>
                </c:pt>
                <c:pt idx="2">
                  <c:v>-2E-3</c:v>
                </c:pt>
                <c:pt idx="3">
                  <c:v>-1E-3</c:v>
                </c:pt>
                <c:pt idx="4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FC-481F-B7C7-7BB28C689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10000"/>
        <c:axId val="668510560"/>
      </c:scatterChart>
      <c:valAx>
        <c:axId val="66851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10560"/>
        <c:crosses val="autoZero"/>
        <c:crossBetween val="midCat"/>
      </c:valAx>
      <c:valAx>
        <c:axId val="6685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1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SuppSheet6!$C$6:$C$10</c:f>
              <c:numCache>
                <c:formatCode>0.0</c:formatCode>
                <c:ptCount val="5"/>
                <c:pt idx="0">
                  <c:v>0</c:v>
                </c:pt>
                <c:pt idx="1">
                  <c:v>1.9833333333372138</c:v>
                </c:pt>
                <c:pt idx="2">
                  <c:v>4.4666666667326353</c:v>
                </c:pt>
                <c:pt idx="3">
                  <c:v>7.2666666667792015</c:v>
                </c:pt>
                <c:pt idx="4">
                  <c:v>11.166666666744277</c:v>
                </c:pt>
              </c:numCache>
            </c:numRef>
          </c:xVal>
          <c:yVal>
            <c:numRef>
              <c:f>SuppSheet6!$D$6:$D$10</c:f>
              <c:numCache>
                <c:formatCode>0.000</c:formatCode>
                <c:ptCount val="5"/>
                <c:pt idx="0">
                  <c:v>2.1000000000000001E-2</c:v>
                </c:pt>
                <c:pt idx="1">
                  <c:v>2.4E-2</c:v>
                </c:pt>
                <c:pt idx="2">
                  <c:v>3.1E-2</c:v>
                </c:pt>
                <c:pt idx="3">
                  <c:v>3.1E-2</c:v>
                </c:pt>
                <c:pt idx="4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8-4AD8-8509-BC161E6C70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SuppSheet6!$C$6:$C$10</c:f>
              <c:numCache>
                <c:formatCode>0.0</c:formatCode>
                <c:ptCount val="5"/>
                <c:pt idx="0">
                  <c:v>0</c:v>
                </c:pt>
                <c:pt idx="1">
                  <c:v>1.9833333333372138</c:v>
                </c:pt>
                <c:pt idx="2">
                  <c:v>4.4666666667326353</c:v>
                </c:pt>
                <c:pt idx="3">
                  <c:v>7.2666666667792015</c:v>
                </c:pt>
                <c:pt idx="4">
                  <c:v>11.166666666744277</c:v>
                </c:pt>
              </c:numCache>
            </c:numRef>
          </c:xVal>
          <c:yVal>
            <c:numRef>
              <c:f>SuppSheet6!$E$6:$E$10</c:f>
              <c:numCache>
                <c:formatCode>0.000</c:formatCode>
                <c:ptCount val="5"/>
                <c:pt idx="0">
                  <c:v>1.7999999999999999E-2</c:v>
                </c:pt>
                <c:pt idx="1">
                  <c:v>2.1999999999999999E-2</c:v>
                </c:pt>
                <c:pt idx="2">
                  <c:v>2.9000000000000001E-2</c:v>
                </c:pt>
                <c:pt idx="3">
                  <c:v>2.9000000000000001E-2</c:v>
                </c:pt>
                <c:pt idx="4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8-4AD8-8509-BC161E6C70A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SuppSheet6!$C$6:$C$10</c:f>
              <c:numCache>
                <c:formatCode>0.0</c:formatCode>
                <c:ptCount val="5"/>
                <c:pt idx="0">
                  <c:v>0</c:v>
                </c:pt>
                <c:pt idx="1">
                  <c:v>1.9833333333372138</c:v>
                </c:pt>
                <c:pt idx="2">
                  <c:v>4.4666666667326353</c:v>
                </c:pt>
                <c:pt idx="3">
                  <c:v>7.2666666667792015</c:v>
                </c:pt>
                <c:pt idx="4">
                  <c:v>11.166666666744277</c:v>
                </c:pt>
              </c:numCache>
            </c:numRef>
          </c:xVal>
          <c:yVal>
            <c:numRef>
              <c:f>SuppSheet6!$F$6:$F$10</c:f>
              <c:numCache>
                <c:formatCode>0.000</c:formatCode>
                <c:ptCount val="5"/>
                <c:pt idx="0">
                  <c:v>2.3E-2</c:v>
                </c:pt>
                <c:pt idx="1">
                  <c:v>2.3E-2</c:v>
                </c:pt>
                <c:pt idx="2">
                  <c:v>0.03</c:v>
                </c:pt>
                <c:pt idx="3">
                  <c:v>0.03</c:v>
                </c:pt>
                <c:pt idx="4">
                  <c:v>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38-4AD8-8509-BC161E6C7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14480"/>
        <c:axId val="668515040"/>
      </c:scatterChart>
      <c:valAx>
        <c:axId val="66851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15040"/>
        <c:crosses val="autoZero"/>
        <c:crossBetween val="midCat"/>
      </c:valAx>
      <c:valAx>
        <c:axId val="668515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1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SuppSheet6!$C$6:$C$10</c:f>
              <c:numCache>
                <c:formatCode>0.0</c:formatCode>
                <c:ptCount val="5"/>
                <c:pt idx="0">
                  <c:v>0</c:v>
                </c:pt>
                <c:pt idx="1">
                  <c:v>1.9833333333372138</c:v>
                </c:pt>
                <c:pt idx="2">
                  <c:v>4.4666666667326353</c:v>
                </c:pt>
                <c:pt idx="3">
                  <c:v>7.2666666667792015</c:v>
                </c:pt>
                <c:pt idx="4">
                  <c:v>11.166666666744277</c:v>
                </c:pt>
              </c:numCache>
            </c:numRef>
          </c:xVal>
          <c:yVal>
            <c:numRef>
              <c:f>SuppSheet6!$J$6:$J$10</c:f>
              <c:numCache>
                <c:formatCode>0.00</c:formatCode>
                <c:ptCount val="5"/>
                <c:pt idx="0">
                  <c:v>5.96</c:v>
                </c:pt>
                <c:pt idx="1">
                  <c:v>5.64</c:v>
                </c:pt>
                <c:pt idx="2">
                  <c:v>4.55</c:v>
                </c:pt>
                <c:pt idx="3">
                  <c:v>4.34</c:v>
                </c:pt>
                <c:pt idx="4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D-44C5-981F-56C0ACBB858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SuppSheet6!$C$6:$C$10</c:f>
              <c:numCache>
                <c:formatCode>0.0</c:formatCode>
                <c:ptCount val="5"/>
                <c:pt idx="0">
                  <c:v>0</c:v>
                </c:pt>
                <c:pt idx="1">
                  <c:v>1.9833333333372138</c:v>
                </c:pt>
                <c:pt idx="2">
                  <c:v>4.4666666667326353</c:v>
                </c:pt>
                <c:pt idx="3">
                  <c:v>7.2666666667792015</c:v>
                </c:pt>
                <c:pt idx="4">
                  <c:v>11.166666666744277</c:v>
                </c:pt>
              </c:numCache>
            </c:numRef>
          </c:xVal>
          <c:yVal>
            <c:numRef>
              <c:f>SuppSheet6!$K$6:$K$10</c:f>
              <c:numCache>
                <c:formatCode>0.00</c:formatCode>
                <c:ptCount val="5"/>
                <c:pt idx="0">
                  <c:v>5.96</c:v>
                </c:pt>
                <c:pt idx="1">
                  <c:v>5.65</c:v>
                </c:pt>
                <c:pt idx="2">
                  <c:v>4.46</c:v>
                </c:pt>
                <c:pt idx="3">
                  <c:v>4.25</c:v>
                </c:pt>
                <c:pt idx="4">
                  <c:v>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D-44C5-981F-56C0ACBB858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SuppSheet6!$C$6:$C$10</c:f>
              <c:numCache>
                <c:formatCode>0.0</c:formatCode>
                <c:ptCount val="5"/>
                <c:pt idx="0">
                  <c:v>0</c:v>
                </c:pt>
                <c:pt idx="1">
                  <c:v>1.9833333333372138</c:v>
                </c:pt>
                <c:pt idx="2">
                  <c:v>4.4666666667326353</c:v>
                </c:pt>
                <c:pt idx="3">
                  <c:v>7.2666666667792015</c:v>
                </c:pt>
                <c:pt idx="4">
                  <c:v>11.166666666744277</c:v>
                </c:pt>
              </c:numCache>
            </c:numRef>
          </c:xVal>
          <c:yVal>
            <c:numRef>
              <c:f>SuppSheet6!$L$6:$L$10</c:f>
              <c:numCache>
                <c:formatCode>0.00</c:formatCode>
                <c:ptCount val="5"/>
                <c:pt idx="0">
                  <c:v>5.96</c:v>
                </c:pt>
                <c:pt idx="1">
                  <c:v>5.61</c:v>
                </c:pt>
                <c:pt idx="2">
                  <c:v>4.42</c:v>
                </c:pt>
                <c:pt idx="3">
                  <c:v>4.21</c:v>
                </c:pt>
                <c:pt idx="4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8D-44C5-981F-56C0ACBB858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SuppSheet6!$C$6:$C$10</c:f>
              <c:numCache>
                <c:formatCode>0.0</c:formatCode>
                <c:ptCount val="5"/>
                <c:pt idx="0">
                  <c:v>0</c:v>
                </c:pt>
                <c:pt idx="1">
                  <c:v>1.9833333333372138</c:v>
                </c:pt>
                <c:pt idx="2">
                  <c:v>4.4666666667326353</c:v>
                </c:pt>
                <c:pt idx="3">
                  <c:v>7.2666666667792015</c:v>
                </c:pt>
                <c:pt idx="4">
                  <c:v>11.166666666744277</c:v>
                </c:pt>
              </c:numCache>
            </c:numRef>
          </c:xVal>
          <c:yVal>
            <c:numRef>
              <c:f>SuppSheet6!$M$6:$M$10</c:f>
              <c:numCache>
                <c:formatCode>0.00</c:formatCode>
                <c:ptCount val="5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5.97</c:v>
                </c:pt>
                <c:pt idx="4">
                  <c:v>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8D-44C5-981F-56C0ACBB8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10000"/>
        <c:axId val="668510560"/>
      </c:scatterChart>
      <c:valAx>
        <c:axId val="66851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10560"/>
        <c:crosses val="autoZero"/>
        <c:crossBetween val="midCat"/>
      </c:valAx>
      <c:valAx>
        <c:axId val="6685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1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SuppSheet7!$C$6:$C$10</c:f>
              <c:numCache>
                <c:formatCode>0.0</c:formatCode>
                <c:ptCount val="5"/>
                <c:pt idx="0">
                  <c:v>0</c:v>
                </c:pt>
                <c:pt idx="1">
                  <c:v>2.9333333332906477</c:v>
                </c:pt>
                <c:pt idx="2">
                  <c:v>6.3666666666395031</c:v>
                </c:pt>
                <c:pt idx="3">
                  <c:v>8.9166666665696539</c:v>
                </c:pt>
                <c:pt idx="4">
                  <c:v>11.699999999895226</c:v>
                </c:pt>
              </c:numCache>
            </c:numRef>
          </c:xVal>
          <c:yVal>
            <c:numRef>
              <c:f>SuppSheet7!$D$6:$D$10</c:f>
              <c:numCache>
                <c:formatCode>0.000</c:formatCode>
                <c:ptCount val="5"/>
                <c:pt idx="0">
                  <c:v>1.6E-2</c:v>
                </c:pt>
                <c:pt idx="1">
                  <c:v>2.1000000000000001E-2</c:v>
                </c:pt>
                <c:pt idx="2">
                  <c:v>3.7999999999999999E-2</c:v>
                </c:pt>
                <c:pt idx="3">
                  <c:v>4.3999999999999997E-2</c:v>
                </c:pt>
                <c:pt idx="4">
                  <c:v>4.3999999999999997E-2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A-4B41-8147-50DDACFA4C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SuppSheet7!$C$6:$C$10</c:f>
              <c:numCache>
                <c:formatCode>0.0</c:formatCode>
                <c:ptCount val="5"/>
                <c:pt idx="0">
                  <c:v>0</c:v>
                </c:pt>
                <c:pt idx="1">
                  <c:v>2.9333333332906477</c:v>
                </c:pt>
                <c:pt idx="2">
                  <c:v>6.3666666666395031</c:v>
                </c:pt>
                <c:pt idx="3">
                  <c:v>8.9166666665696539</c:v>
                </c:pt>
                <c:pt idx="4">
                  <c:v>11.699999999895226</c:v>
                </c:pt>
              </c:numCache>
            </c:numRef>
          </c:xVal>
          <c:yVal>
            <c:numRef>
              <c:f>SuppSheet7!$E$6:$E$10</c:f>
              <c:numCache>
                <c:formatCode>0.000</c:formatCode>
                <c:ptCount val="5"/>
                <c:pt idx="0">
                  <c:v>1.7000000000000001E-2</c:v>
                </c:pt>
                <c:pt idx="1">
                  <c:v>2.1999999999999999E-2</c:v>
                </c:pt>
                <c:pt idx="2">
                  <c:v>3.9E-2</c:v>
                </c:pt>
                <c:pt idx="3">
                  <c:v>4.3999999999999997E-2</c:v>
                </c:pt>
                <c:pt idx="4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A-4B41-8147-50DDACFA4CB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SuppSheet7!$C$6:$C$10</c:f>
              <c:numCache>
                <c:formatCode>0.0</c:formatCode>
                <c:ptCount val="5"/>
                <c:pt idx="0">
                  <c:v>0</c:v>
                </c:pt>
                <c:pt idx="1">
                  <c:v>2.9333333332906477</c:v>
                </c:pt>
                <c:pt idx="2">
                  <c:v>6.3666666666395031</c:v>
                </c:pt>
                <c:pt idx="3">
                  <c:v>8.9166666665696539</c:v>
                </c:pt>
                <c:pt idx="4">
                  <c:v>11.699999999895226</c:v>
                </c:pt>
              </c:numCache>
            </c:numRef>
          </c:xVal>
          <c:yVal>
            <c:numRef>
              <c:f>SuppSheet7!$F$6:$F$10</c:f>
              <c:numCache>
                <c:formatCode>0.000</c:formatCode>
                <c:ptCount val="5"/>
                <c:pt idx="0">
                  <c:v>1.7999999999999999E-2</c:v>
                </c:pt>
                <c:pt idx="1">
                  <c:v>2.3E-2</c:v>
                </c:pt>
                <c:pt idx="2">
                  <c:v>4.2000000000000003E-2</c:v>
                </c:pt>
                <c:pt idx="3">
                  <c:v>4.4999999999999998E-2</c:v>
                </c:pt>
                <c:pt idx="4">
                  <c:v>4.5999999999999999E-2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3A-4B41-8147-50DDACFA4CB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SuppSheet7!$C$6:$C$10</c:f>
              <c:numCache>
                <c:formatCode>0.0</c:formatCode>
                <c:ptCount val="5"/>
                <c:pt idx="0">
                  <c:v>0</c:v>
                </c:pt>
                <c:pt idx="1">
                  <c:v>2.9333333332906477</c:v>
                </c:pt>
                <c:pt idx="2">
                  <c:v>6.3666666666395031</c:v>
                </c:pt>
                <c:pt idx="3">
                  <c:v>8.9166666665696539</c:v>
                </c:pt>
                <c:pt idx="4">
                  <c:v>11.699999999895226</c:v>
                </c:pt>
              </c:numCache>
            </c:numRef>
          </c:xVal>
          <c:yVal>
            <c:numRef>
              <c:f>SuppSheet7!$G$6:$G$10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3A-4B41-8147-50DDACFA4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31808"/>
        <c:axId val="665037168"/>
      </c:scatterChart>
      <c:valAx>
        <c:axId val="66373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37168"/>
        <c:crosses val="autoZero"/>
        <c:crossBetween val="midCat"/>
      </c:valAx>
      <c:valAx>
        <c:axId val="6650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3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SuppSheet7!$C$6:$C$10</c:f>
              <c:numCache>
                <c:formatCode>0.0</c:formatCode>
                <c:ptCount val="5"/>
                <c:pt idx="0">
                  <c:v>0</c:v>
                </c:pt>
                <c:pt idx="1">
                  <c:v>2.9333333332906477</c:v>
                </c:pt>
                <c:pt idx="2">
                  <c:v>6.3666666666395031</c:v>
                </c:pt>
                <c:pt idx="3">
                  <c:v>8.9166666665696539</c:v>
                </c:pt>
                <c:pt idx="4">
                  <c:v>11.699999999895226</c:v>
                </c:pt>
              </c:numCache>
            </c:numRef>
          </c:xVal>
          <c:yVal>
            <c:numRef>
              <c:f>SuppSheet7!$D$6:$D$10</c:f>
              <c:numCache>
                <c:formatCode>0.000</c:formatCode>
                <c:ptCount val="5"/>
                <c:pt idx="0">
                  <c:v>1.6E-2</c:v>
                </c:pt>
                <c:pt idx="1">
                  <c:v>2.1000000000000001E-2</c:v>
                </c:pt>
                <c:pt idx="2">
                  <c:v>3.7999999999999999E-2</c:v>
                </c:pt>
                <c:pt idx="3">
                  <c:v>4.3999999999999997E-2</c:v>
                </c:pt>
                <c:pt idx="4">
                  <c:v>4.3999999999999997E-2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5-457B-BC82-76BC37C95B5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SuppSheet7!$C$6:$C$10</c:f>
              <c:numCache>
                <c:formatCode>0.0</c:formatCode>
                <c:ptCount val="5"/>
                <c:pt idx="0">
                  <c:v>0</c:v>
                </c:pt>
                <c:pt idx="1">
                  <c:v>2.9333333332906477</c:v>
                </c:pt>
                <c:pt idx="2">
                  <c:v>6.3666666666395031</c:v>
                </c:pt>
                <c:pt idx="3">
                  <c:v>8.9166666665696539</c:v>
                </c:pt>
                <c:pt idx="4">
                  <c:v>11.699999999895226</c:v>
                </c:pt>
              </c:numCache>
            </c:numRef>
          </c:xVal>
          <c:yVal>
            <c:numRef>
              <c:f>SuppSheet7!$E$6:$E$10</c:f>
              <c:numCache>
                <c:formatCode>0.000</c:formatCode>
                <c:ptCount val="5"/>
                <c:pt idx="0">
                  <c:v>1.7000000000000001E-2</c:v>
                </c:pt>
                <c:pt idx="1">
                  <c:v>2.1999999999999999E-2</c:v>
                </c:pt>
                <c:pt idx="2">
                  <c:v>3.9E-2</c:v>
                </c:pt>
                <c:pt idx="3">
                  <c:v>4.3999999999999997E-2</c:v>
                </c:pt>
                <c:pt idx="4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5-457B-BC82-76BC37C95B5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SuppSheet7!$C$6:$C$10</c:f>
              <c:numCache>
                <c:formatCode>0.0</c:formatCode>
                <c:ptCount val="5"/>
                <c:pt idx="0">
                  <c:v>0</c:v>
                </c:pt>
                <c:pt idx="1">
                  <c:v>2.9333333332906477</c:v>
                </c:pt>
                <c:pt idx="2">
                  <c:v>6.3666666666395031</c:v>
                </c:pt>
                <c:pt idx="3">
                  <c:v>8.9166666665696539</c:v>
                </c:pt>
                <c:pt idx="4">
                  <c:v>11.699999999895226</c:v>
                </c:pt>
              </c:numCache>
            </c:numRef>
          </c:xVal>
          <c:yVal>
            <c:numRef>
              <c:f>SuppSheet7!$F$6:$F$10</c:f>
              <c:numCache>
                <c:formatCode>0.000</c:formatCode>
                <c:ptCount val="5"/>
                <c:pt idx="0">
                  <c:v>1.7999999999999999E-2</c:v>
                </c:pt>
                <c:pt idx="1">
                  <c:v>2.3E-2</c:v>
                </c:pt>
                <c:pt idx="2">
                  <c:v>4.2000000000000003E-2</c:v>
                </c:pt>
                <c:pt idx="3">
                  <c:v>4.4999999999999998E-2</c:v>
                </c:pt>
                <c:pt idx="4">
                  <c:v>4.5999999999999999E-2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75-457B-BC82-76BC37C9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883312"/>
        <c:axId val="665883872"/>
      </c:scatterChart>
      <c:valAx>
        <c:axId val="66588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83872"/>
        <c:crosses val="autoZero"/>
        <c:crossBetween val="midCat"/>
      </c:valAx>
      <c:valAx>
        <c:axId val="66588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8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SuppSheet7!$C$6:$C$10</c:f>
              <c:numCache>
                <c:formatCode>0.0</c:formatCode>
                <c:ptCount val="5"/>
                <c:pt idx="0">
                  <c:v>0</c:v>
                </c:pt>
                <c:pt idx="1">
                  <c:v>2.9333333332906477</c:v>
                </c:pt>
                <c:pt idx="2">
                  <c:v>6.3666666666395031</c:v>
                </c:pt>
                <c:pt idx="3">
                  <c:v>8.9166666665696539</c:v>
                </c:pt>
                <c:pt idx="4">
                  <c:v>11.699999999895226</c:v>
                </c:pt>
              </c:numCache>
            </c:numRef>
          </c:xVal>
          <c:yVal>
            <c:numRef>
              <c:f>SuppSheet7!$J$6:$J$10</c:f>
              <c:numCache>
                <c:formatCode>0.00</c:formatCode>
                <c:ptCount val="5"/>
                <c:pt idx="0">
                  <c:v>6.51</c:v>
                </c:pt>
                <c:pt idx="1">
                  <c:v>6.32</c:v>
                </c:pt>
                <c:pt idx="2">
                  <c:v>5.53</c:v>
                </c:pt>
                <c:pt idx="3">
                  <c:v>4.62</c:v>
                </c:pt>
                <c:pt idx="4">
                  <c:v>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1-4584-A04D-A45A0E45BCB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SuppSheet7!$C$6:$C$10</c:f>
              <c:numCache>
                <c:formatCode>0.0</c:formatCode>
                <c:ptCount val="5"/>
                <c:pt idx="0">
                  <c:v>0</c:v>
                </c:pt>
                <c:pt idx="1">
                  <c:v>2.9333333332906477</c:v>
                </c:pt>
                <c:pt idx="2">
                  <c:v>6.3666666666395031</c:v>
                </c:pt>
                <c:pt idx="3">
                  <c:v>8.9166666665696539</c:v>
                </c:pt>
                <c:pt idx="4">
                  <c:v>11.699999999895226</c:v>
                </c:pt>
              </c:numCache>
            </c:numRef>
          </c:xVal>
          <c:yVal>
            <c:numRef>
              <c:f>SuppSheet7!$K$6:$K$10</c:f>
              <c:numCache>
                <c:formatCode>0.00</c:formatCode>
                <c:ptCount val="5"/>
                <c:pt idx="0">
                  <c:v>6.5</c:v>
                </c:pt>
                <c:pt idx="1">
                  <c:v>6.29</c:v>
                </c:pt>
                <c:pt idx="2">
                  <c:v>5.37</c:v>
                </c:pt>
                <c:pt idx="3">
                  <c:v>4.59</c:v>
                </c:pt>
                <c:pt idx="4">
                  <c:v>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1-4584-A04D-A45A0E45BCB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SuppSheet7!$C$6:$C$10</c:f>
              <c:numCache>
                <c:formatCode>0.0</c:formatCode>
                <c:ptCount val="5"/>
                <c:pt idx="0">
                  <c:v>0</c:v>
                </c:pt>
                <c:pt idx="1">
                  <c:v>2.9333333332906477</c:v>
                </c:pt>
                <c:pt idx="2">
                  <c:v>6.3666666666395031</c:v>
                </c:pt>
                <c:pt idx="3">
                  <c:v>8.9166666665696539</c:v>
                </c:pt>
                <c:pt idx="4">
                  <c:v>11.699999999895226</c:v>
                </c:pt>
              </c:numCache>
            </c:numRef>
          </c:xVal>
          <c:yVal>
            <c:numRef>
              <c:f>SuppSheet7!$L$6:$L$10</c:f>
              <c:numCache>
                <c:formatCode>0.00</c:formatCode>
                <c:ptCount val="5"/>
                <c:pt idx="0">
                  <c:v>6.5</c:v>
                </c:pt>
                <c:pt idx="1">
                  <c:v>6.28</c:v>
                </c:pt>
                <c:pt idx="2">
                  <c:v>5.21</c:v>
                </c:pt>
                <c:pt idx="3">
                  <c:v>4.57</c:v>
                </c:pt>
                <c:pt idx="4">
                  <c:v>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F1-4584-A04D-A45A0E45BCB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SuppSheet7!$C$6:$C$10</c:f>
              <c:numCache>
                <c:formatCode>0.0</c:formatCode>
                <c:ptCount val="5"/>
                <c:pt idx="0">
                  <c:v>0</c:v>
                </c:pt>
                <c:pt idx="1">
                  <c:v>2.9333333332906477</c:v>
                </c:pt>
                <c:pt idx="2">
                  <c:v>6.3666666666395031</c:v>
                </c:pt>
                <c:pt idx="3">
                  <c:v>8.9166666665696539</c:v>
                </c:pt>
                <c:pt idx="4">
                  <c:v>11.699999999895226</c:v>
                </c:pt>
              </c:numCache>
            </c:numRef>
          </c:xVal>
          <c:yVal>
            <c:numRef>
              <c:f>SuppSheet7!$M$6:$M$10</c:f>
              <c:numCache>
                <c:formatCode>0.00</c:formatCode>
                <c:ptCount val="5"/>
                <c:pt idx="0">
                  <c:v>6.52</c:v>
                </c:pt>
                <c:pt idx="1">
                  <c:v>6.5</c:v>
                </c:pt>
                <c:pt idx="2">
                  <c:v>6.51</c:v>
                </c:pt>
                <c:pt idx="3">
                  <c:v>6.49</c:v>
                </c:pt>
                <c:pt idx="4">
                  <c:v>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F1-4584-A04D-A45A0E45B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31808"/>
        <c:axId val="665037168"/>
      </c:scatterChart>
      <c:valAx>
        <c:axId val="66373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37168"/>
        <c:crosses val="autoZero"/>
        <c:crossBetween val="midCat"/>
      </c:valAx>
      <c:valAx>
        <c:axId val="6650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3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403G100 with</a:t>
            </a:r>
            <a:r>
              <a:rPr lang="en-US" baseline="0"/>
              <a:t> 20g/L glucose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384644694459101"/>
          <c:y val="6.6611205357543599E-2"/>
          <c:w val="0.80241280429046702"/>
          <c:h val="0.72309122629489697"/>
        </c:manualLayout>
      </c:layout>
      <c:scatterChart>
        <c:scatterStyle val="lineMarker"/>
        <c:varyColors val="0"/>
        <c:ser>
          <c:idx val="0"/>
          <c:order val="0"/>
          <c:tx>
            <c:v>pH = 6.9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[1]Data!$AG$40:$AG$49</c:f>
                <c:numCache>
                  <c:formatCode>General</c:formatCode>
                  <c:ptCount val="10"/>
                  <c:pt idx="0">
                    <c:v>2.4006943440041096E-3</c:v>
                  </c:pt>
                  <c:pt idx="1">
                    <c:v>1.1313708498984691E-3</c:v>
                  </c:pt>
                  <c:pt idx="2">
                    <c:v>5.7506521369319477E-3</c:v>
                  </c:pt>
                  <c:pt idx="3">
                    <c:v>9.2376043070339562E-4</c:v>
                  </c:pt>
                  <c:pt idx="4">
                    <c:v>2.8618176042508286E-3</c:v>
                  </c:pt>
                  <c:pt idx="5">
                    <c:v>1.3076696830621949E-3</c:v>
                  </c:pt>
                  <c:pt idx="6">
                    <c:v>1.833030277982331E-3</c:v>
                  </c:pt>
                  <c:pt idx="7">
                    <c:v>9.5393920141694541E-4</c:v>
                  </c:pt>
                  <c:pt idx="8">
                    <c:v>6.1101009266077873E-4</c:v>
                  </c:pt>
                  <c:pt idx="9">
                    <c:v>1.2701705922171771E-3</c:v>
                  </c:pt>
                </c:numCache>
              </c:numRef>
            </c:plus>
            <c:minus>
              <c:numRef>
                <c:f>[1]Data!$AG$40:$AG$49</c:f>
                <c:numCache>
                  <c:formatCode>General</c:formatCode>
                  <c:ptCount val="10"/>
                  <c:pt idx="0">
                    <c:v>2.4006943440041096E-3</c:v>
                  </c:pt>
                  <c:pt idx="1">
                    <c:v>1.1313708498984691E-3</c:v>
                  </c:pt>
                  <c:pt idx="2">
                    <c:v>5.7506521369319477E-3</c:v>
                  </c:pt>
                  <c:pt idx="3">
                    <c:v>9.2376043070339562E-4</c:v>
                  </c:pt>
                  <c:pt idx="4">
                    <c:v>2.8618176042508286E-3</c:v>
                  </c:pt>
                  <c:pt idx="5">
                    <c:v>1.3076696830621949E-3</c:v>
                  </c:pt>
                  <c:pt idx="6">
                    <c:v>1.833030277982331E-3</c:v>
                  </c:pt>
                  <c:pt idx="7">
                    <c:v>9.5393920141694541E-4</c:v>
                  </c:pt>
                  <c:pt idx="8">
                    <c:v>6.1101009266077873E-4</c:v>
                  </c:pt>
                  <c:pt idx="9">
                    <c:v>1.2701705922171771E-3</c:v>
                  </c:pt>
                </c:numCache>
              </c:numRef>
            </c:minus>
          </c:errBars>
          <c:xVal>
            <c:numRef>
              <c:f>[1]Data!$AE$40:$AE$49</c:f>
              <c:numCache>
                <c:formatCode>General</c:formatCode>
                <c:ptCount val="10"/>
                <c:pt idx="0">
                  <c:v>0</c:v>
                </c:pt>
                <c:pt idx="1">
                  <c:v>7.0000000000000007E-2</c:v>
                </c:pt>
                <c:pt idx="2">
                  <c:v>0.17499999999999999</c:v>
                </c:pt>
                <c:pt idx="3">
                  <c:v>0.35</c:v>
                </c:pt>
                <c:pt idx="4">
                  <c:v>0.7</c:v>
                </c:pt>
                <c:pt idx="5">
                  <c:v>1.4</c:v>
                </c:pt>
                <c:pt idx="6">
                  <c:v>3.5</c:v>
                </c:pt>
                <c:pt idx="7">
                  <c:v>5.6</c:v>
                </c:pt>
                <c:pt idx="8">
                  <c:v>7</c:v>
                </c:pt>
                <c:pt idx="9">
                  <c:v>10.5</c:v>
                </c:pt>
              </c:numCache>
            </c:numRef>
          </c:xVal>
          <c:yVal>
            <c:numRef>
              <c:f>[1]Data!$AF$40:$AF$49</c:f>
              <c:numCache>
                <c:formatCode>General</c:formatCode>
                <c:ptCount val="10"/>
                <c:pt idx="0">
                  <c:v>8.7433333333333321E-2</c:v>
                </c:pt>
                <c:pt idx="1">
                  <c:v>9.2100000000000001E-2</c:v>
                </c:pt>
                <c:pt idx="2">
                  <c:v>0.11720000000000001</c:v>
                </c:pt>
                <c:pt idx="3">
                  <c:v>0.14546666666666666</c:v>
                </c:pt>
                <c:pt idx="4">
                  <c:v>0.17829999999999999</c:v>
                </c:pt>
                <c:pt idx="5">
                  <c:v>0.23500000000000001</c:v>
                </c:pt>
                <c:pt idx="6">
                  <c:v>0.17979999999999999</c:v>
                </c:pt>
                <c:pt idx="7">
                  <c:v>5.9799999999999999E-2</c:v>
                </c:pt>
                <c:pt idx="8">
                  <c:v>5.2066666666666671E-2</c:v>
                </c:pt>
                <c:pt idx="9">
                  <c:v>3.8866666666666667E-2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9-47D5-B65E-5DBFF3BE28B7}"/>
            </c:ext>
          </c:extLst>
        </c:ser>
        <c:ser>
          <c:idx val="1"/>
          <c:order val="1"/>
          <c:tx>
            <c:v>pH = 6.0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[1]Data!$AN$40:$AN$47</c:f>
                <c:numCache>
                  <c:formatCode>General</c:formatCode>
                  <c:ptCount val="8"/>
                  <c:pt idx="0">
                    <c:v>5.0000000000000001E-3</c:v>
                  </c:pt>
                  <c:pt idx="1">
                    <c:v>1.2999999999999999E-2</c:v>
                  </c:pt>
                  <c:pt idx="2">
                    <c:v>4.0000000000000001E-3</c:v>
                  </c:pt>
                  <c:pt idx="3">
                    <c:v>7.0000000000000001E-3</c:v>
                  </c:pt>
                  <c:pt idx="4">
                    <c:v>0</c:v>
                  </c:pt>
                  <c:pt idx="5">
                    <c:v>1E-3</c:v>
                  </c:pt>
                  <c:pt idx="6">
                    <c:v>5.0000000000000001E-3</c:v>
                  </c:pt>
                  <c:pt idx="7">
                    <c:v>1.670329308849007E-3</c:v>
                  </c:pt>
                </c:numCache>
              </c:numRef>
            </c:plus>
            <c:minus>
              <c:numRef>
                <c:f>[1]Data!$AN$40:$AN$47</c:f>
                <c:numCache>
                  <c:formatCode>General</c:formatCode>
                  <c:ptCount val="8"/>
                  <c:pt idx="0">
                    <c:v>5.0000000000000001E-3</c:v>
                  </c:pt>
                  <c:pt idx="1">
                    <c:v>1.2999999999999999E-2</c:v>
                  </c:pt>
                  <c:pt idx="2">
                    <c:v>4.0000000000000001E-3</c:v>
                  </c:pt>
                  <c:pt idx="3">
                    <c:v>7.0000000000000001E-3</c:v>
                  </c:pt>
                  <c:pt idx="4">
                    <c:v>0</c:v>
                  </c:pt>
                  <c:pt idx="5">
                    <c:v>1E-3</c:v>
                  </c:pt>
                  <c:pt idx="6">
                    <c:v>5.0000000000000001E-3</c:v>
                  </c:pt>
                  <c:pt idx="7">
                    <c:v>1.670329308849007E-3</c:v>
                  </c:pt>
                </c:numCache>
              </c:numRef>
            </c:minus>
          </c:errBars>
          <c:xVal>
            <c:numRef>
              <c:f>[1]Data!$AL$40:$AL$47</c:f>
              <c:numCache>
                <c:formatCode>General</c:formatCode>
                <c:ptCount val="8"/>
                <c:pt idx="0">
                  <c:v>0</c:v>
                </c:pt>
                <c:pt idx="1">
                  <c:v>7.0000000000000007E-2</c:v>
                </c:pt>
                <c:pt idx="2">
                  <c:v>0.17499999999999999</c:v>
                </c:pt>
                <c:pt idx="3">
                  <c:v>0.35</c:v>
                </c:pt>
                <c:pt idx="4">
                  <c:v>0.7</c:v>
                </c:pt>
                <c:pt idx="5">
                  <c:v>1.4</c:v>
                </c:pt>
                <c:pt idx="6">
                  <c:v>3.5</c:v>
                </c:pt>
                <c:pt idx="7">
                  <c:v>7</c:v>
                </c:pt>
              </c:numCache>
            </c:numRef>
          </c:xVal>
          <c:yVal>
            <c:numRef>
              <c:f>[1]Data!$AM$40:$AM$47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0.157</c:v>
                </c:pt>
                <c:pt idx="2">
                  <c:v>0.16800000000000001</c:v>
                </c:pt>
                <c:pt idx="3">
                  <c:v>0.14299999999999999</c:v>
                </c:pt>
                <c:pt idx="4">
                  <c:v>0.14199999999999999</c:v>
                </c:pt>
                <c:pt idx="5">
                  <c:v>7.5999999999999998E-2</c:v>
                </c:pt>
                <c:pt idx="6">
                  <c:v>4.4999999999999998E-2</c:v>
                </c:pt>
                <c:pt idx="7">
                  <c:v>2.2599999999999999E-2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9-47D5-B65E-5DBFF3BE28B7}"/>
            </c:ext>
          </c:extLst>
        </c:ser>
        <c:ser>
          <c:idx val="2"/>
          <c:order val="2"/>
          <c:tx>
            <c:v>pH = 5.0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00B05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[1]Data!$AU$40:$AU$46</c:f>
                <c:numCache>
                  <c:formatCode>General</c:formatCode>
                  <c:ptCount val="7"/>
                  <c:pt idx="0">
                    <c:v>1.270170592217173E-3</c:v>
                  </c:pt>
                  <c:pt idx="1">
                    <c:v>3.7161808352124044E-3</c:v>
                  </c:pt>
                  <c:pt idx="2">
                    <c:v>1.1547005383792447E-3</c:v>
                  </c:pt>
                  <c:pt idx="3">
                    <c:v>1.0392785959500923E-2</c:v>
                  </c:pt>
                  <c:pt idx="4">
                    <c:v>2.5579940057266237E-3</c:v>
                  </c:pt>
                  <c:pt idx="5">
                    <c:v>8.5105816487476386E-3</c:v>
                  </c:pt>
                  <c:pt idx="6">
                    <c:v>3.830143600441112E-3</c:v>
                  </c:pt>
                </c:numCache>
              </c:numRef>
            </c:plus>
            <c:minus>
              <c:numRef>
                <c:f>[1]Data!$AU$40:$AU$46</c:f>
                <c:numCache>
                  <c:formatCode>General</c:formatCode>
                  <c:ptCount val="7"/>
                  <c:pt idx="0">
                    <c:v>1.270170592217173E-3</c:v>
                  </c:pt>
                  <c:pt idx="1">
                    <c:v>3.7161808352124044E-3</c:v>
                  </c:pt>
                  <c:pt idx="2">
                    <c:v>1.1547005383792447E-3</c:v>
                  </c:pt>
                  <c:pt idx="3">
                    <c:v>1.0392785959500923E-2</c:v>
                  </c:pt>
                  <c:pt idx="4">
                    <c:v>2.5579940057266237E-3</c:v>
                  </c:pt>
                  <c:pt idx="5">
                    <c:v>8.5105816487476386E-3</c:v>
                  </c:pt>
                  <c:pt idx="6">
                    <c:v>3.830143600441112E-3</c:v>
                  </c:pt>
                </c:numCache>
              </c:numRef>
            </c:minus>
          </c:errBars>
          <c:xVal>
            <c:numRef>
              <c:f>[1]Data!$AS$40:$AS$46</c:f>
              <c:numCache>
                <c:formatCode>General</c:formatCode>
                <c:ptCount val="7"/>
                <c:pt idx="0">
                  <c:v>0</c:v>
                </c:pt>
                <c:pt idx="1">
                  <c:v>7.0000000000000007E-2</c:v>
                </c:pt>
                <c:pt idx="2">
                  <c:v>0.17499999999999999</c:v>
                </c:pt>
                <c:pt idx="3">
                  <c:v>0.35</c:v>
                </c:pt>
                <c:pt idx="4">
                  <c:v>0.7</c:v>
                </c:pt>
                <c:pt idx="5">
                  <c:v>1.4</c:v>
                </c:pt>
                <c:pt idx="6">
                  <c:v>3.5</c:v>
                </c:pt>
              </c:numCache>
            </c:numRef>
          </c:xVal>
          <c:yVal>
            <c:numRef>
              <c:f>[1]Data!$AT$40:$AT$46</c:f>
              <c:numCache>
                <c:formatCode>General</c:formatCode>
                <c:ptCount val="7"/>
                <c:pt idx="0">
                  <c:v>8.3333333333333329E-2</c:v>
                </c:pt>
                <c:pt idx="1">
                  <c:v>0.10780000000000001</c:v>
                </c:pt>
                <c:pt idx="2">
                  <c:v>7.4733333333333332E-2</c:v>
                </c:pt>
                <c:pt idx="3">
                  <c:v>5.7200000000000001E-2</c:v>
                </c:pt>
                <c:pt idx="4">
                  <c:v>1.8666666666666668E-2</c:v>
                </c:pt>
                <c:pt idx="5">
                  <c:v>2.58E-2</c:v>
                </c:pt>
                <c:pt idx="6">
                  <c:v>1.5100000000000002E-2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59-47D5-B65E-5DBFF3BE2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93984"/>
        <c:axId val="547194560"/>
      </c:scatterChart>
      <c:valAx>
        <c:axId val="54719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 Concentration (g/L)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194560"/>
        <c:crosses val="autoZero"/>
        <c:crossBetween val="midCat"/>
      </c:valAx>
      <c:valAx>
        <c:axId val="547194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Avg Mu (1/h)</a:t>
                </a:r>
              </a:p>
              <a:p>
                <a:pPr>
                  <a:defRPr b="1"/>
                </a:pPr>
                <a:endParaRPr lang="en-US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193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589586921427795"/>
          <c:y val="0.30751359014659402"/>
          <c:w val="9.7736131052107503E-2"/>
          <c:h val="0.248069351613380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SuppSheet8!$C$6:$C$10</c:f>
              <c:numCache>
                <c:formatCode>0.0</c:formatCode>
                <c:ptCount val="5"/>
                <c:pt idx="0">
                  <c:v>0</c:v>
                </c:pt>
                <c:pt idx="1">
                  <c:v>2.9000000000232831</c:v>
                </c:pt>
                <c:pt idx="2">
                  <c:v>6</c:v>
                </c:pt>
                <c:pt idx="3">
                  <c:v>9.7833333334419876</c:v>
                </c:pt>
                <c:pt idx="4">
                  <c:v>13.300000000046566</c:v>
                </c:pt>
              </c:numCache>
            </c:numRef>
          </c:xVal>
          <c:yVal>
            <c:numRef>
              <c:f>SuppSheet8!$D$6:$D$10</c:f>
              <c:numCache>
                <c:formatCode>0.000</c:formatCode>
                <c:ptCount val="5"/>
                <c:pt idx="0">
                  <c:v>2.3E-2</c:v>
                </c:pt>
                <c:pt idx="1">
                  <c:v>2.7E-2</c:v>
                </c:pt>
                <c:pt idx="2">
                  <c:v>4.8000000000000001E-2</c:v>
                </c:pt>
                <c:pt idx="3">
                  <c:v>6.9000000000000006E-2</c:v>
                </c:pt>
                <c:pt idx="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0-489B-8B93-E9069A47B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SuppSheet8!$C$6:$C$10</c:f>
              <c:numCache>
                <c:formatCode>0.0</c:formatCode>
                <c:ptCount val="5"/>
                <c:pt idx="0">
                  <c:v>0</c:v>
                </c:pt>
                <c:pt idx="1">
                  <c:v>2.9000000000232831</c:v>
                </c:pt>
                <c:pt idx="2">
                  <c:v>6</c:v>
                </c:pt>
                <c:pt idx="3">
                  <c:v>9.7833333334419876</c:v>
                </c:pt>
                <c:pt idx="4">
                  <c:v>13.300000000046566</c:v>
                </c:pt>
              </c:numCache>
            </c:numRef>
          </c:xVal>
          <c:yVal>
            <c:numRef>
              <c:f>SuppSheet8!$E$6:$E$10</c:f>
              <c:numCache>
                <c:formatCode>0.000</c:formatCode>
                <c:ptCount val="5"/>
                <c:pt idx="0">
                  <c:v>2.1999999999999999E-2</c:v>
                </c:pt>
                <c:pt idx="1">
                  <c:v>2.8000000000000001E-2</c:v>
                </c:pt>
                <c:pt idx="2">
                  <c:v>4.8000000000000001E-2</c:v>
                </c:pt>
                <c:pt idx="3">
                  <c:v>6.8000000000000005E-2</c:v>
                </c:pt>
                <c:pt idx="4">
                  <c:v>6.9000000000000006E-2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0-489B-8B93-E9069A47B6C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SuppSheet8!$C$6:$C$10</c:f>
              <c:numCache>
                <c:formatCode>0.0</c:formatCode>
                <c:ptCount val="5"/>
                <c:pt idx="0">
                  <c:v>0</c:v>
                </c:pt>
                <c:pt idx="1">
                  <c:v>2.9000000000232831</c:v>
                </c:pt>
                <c:pt idx="2">
                  <c:v>6</c:v>
                </c:pt>
                <c:pt idx="3">
                  <c:v>9.7833333334419876</c:v>
                </c:pt>
                <c:pt idx="4">
                  <c:v>13.300000000046566</c:v>
                </c:pt>
              </c:numCache>
            </c:numRef>
          </c:xVal>
          <c:yVal>
            <c:numRef>
              <c:f>SuppSheet8!$F$6:$F$10</c:f>
              <c:numCache>
                <c:formatCode>0.000</c:formatCode>
                <c:ptCount val="5"/>
                <c:pt idx="0">
                  <c:v>2.1000000000000001E-2</c:v>
                </c:pt>
                <c:pt idx="1">
                  <c:v>2.9000000000000001E-2</c:v>
                </c:pt>
                <c:pt idx="2">
                  <c:v>4.9000000000000002E-2</c:v>
                </c:pt>
                <c:pt idx="3">
                  <c:v>6.9000000000000006E-2</c:v>
                </c:pt>
                <c:pt idx="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20-489B-8B93-E9069A47B6C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SuppSheet8!$C$6:$C$10</c:f>
              <c:numCache>
                <c:formatCode>0.0</c:formatCode>
                <c:ptCount val="5"/>
                <c:pt idx="0">
                  <c:v>0</c:v>
                </c:pt>
                <c:pt idx="1">
                  <c:v>2.9000000000232831</c:v>
                </c:pt>
                <c:pt idx="2">
                  <c:v>6</c:v>
                </c:pt>
                <c:pt idx="3">
                  <c:v>9.7833333334419876</c:v>
                </c:pt>
                <c:pt idx="4">
                  <c:v>13.300000000046566</c:v>
                </c:pt>
              </c:numCache>
            </c:numRef>
          </c:xVal>
          <c:yVal>
            <c:numRef>
              <c:f>SuppSheet8!$G$6:$G$10</c:f>
              <c:numCache>
                <c:formatCode>0.000</c:formatCode>
                <c:ptCount val="5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20-489B-8B93-E9069A47B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12464"/>
        <c:axId val="812713024"/>
      </c:scatterChart>
      <c:valAx>
        <c:axId val="81271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13024"/>
        <c:crosses val="autoZero"/>
        <c:crossBetween val="midCat"/>
      </c:valAx>
      <c:valAx>
        <c:axId val="8127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1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SuppSheet8!$C$6:$C$10</c:f>
              <c:numCache>
                <c:formatCode>0.0</c:formatCode>
                <c:ptCount val="5"/>
                <c:pt idx="0">
                  <c:v>0</c:v>
                </c:pt>
                <c:pt idx="1">
                  <c:v>2.9000000000232831</c:v>
                </c:pt>
                <c:pt idx="2">
                  <c:v>6</c:v>
                </c:pt>
                <c:pt idx="3">
                  <c:v>9.7833333334419876</c:v>
                </c:pt>
                <c:pt idx="4">
                  <c:v>13.300000000046566</c:v>
                </c:pt>
              </c:numCache>
            </c:numRef>
          </c:xVal>
          <c:yVal>
            <c:numRef>
              <c:f>SuppSheet8!$D$6:$D$10</c:f>
              <c:numCache>
                <c:formatCode>0.000</c:formatCode>
                <c:ptCount val="5"/>
                <c:pt idx="0">
                  <c:v>2.3E-2</c:v>
                </c:pt>
                <c:pt idx="1">
                  <c:v>2.7E-2</c:v>
                </c:pt>
                <c:pt idx="2">
                  <c:v>4.8000000000000001E-2</c:v>
                </c:pt>
                <c:pt idx="3">
                  <c:v>6.9000000000000006E-2</c:v>
                </c:pt>
                <c:pt idx="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D-4443-9346-9315F64B15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SuppSheet8!$C$6:$C$10</c:f>
              <c:numCache>
                <c:formatCode>0.0</c:formatCode>
                <c:ptCount val="5"/>
                <c:pt idx="0">
                  <c:v>0</c:v>
                </c:pt>
                <c:pt idx="1">
                  <c:v>2.9000000000232831</c:v>
                </c:pt>
                <c:pt idx="2">
                  <c:v>6</c:v>
                </c:pt>
                <c:pt idx="3">
                  <c:v>9.7833333334419876</c:v>
                </c:pt>
                <c:pt idx="4">
                  <c:v>13.300000000046566</c:v>
                </c:pt>
              </c:numCache>
            </c:numRef>
          </c:xVal>
          <c:yVal>
            <c:numRef>
              <c:f>SuppSheet8!$E$6:$E$10</c:f>
              <c:numCache>
                <c:formatCode>0.000</c:formatCode>
                <c:ptCount val="5"/>
                <c:pt idx="0">
                  <c:v>2.1999999999999999E-2</c:v>
                </c:pt>
                <c:pt idx="1">
                  <c:v>2.8000000000000001E-2</c:v>
                </c:pt>
                <c:pt idx="2">
                  <c:v>4.8000000000000001E-2</c:v>
                </c:pt>
                <c:pt idx="3">
                  <c:v>6.8000000000000005E-2</c:v>
                </c:pt>
                <c:pt idx="4">
                  <c:v>6.9000000000000006E-2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0D-4443-9346-9315F64B15E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SuppSheet8!$C$6:$C$10</c:f>
              <c:numCache>
                <c:formatCode>0.0</c:formatCode>
                <c:ptCount val="5"/>
                <c:pt idx="0">
                  <c:v>0</c:v>
                </c:pt>
                <c:pt idx="1">
                  <c:v>2.9000000000232831</c:v>
                </c:pt>
                <c:pt idx="2">
                  <c:v>6</c:v>
                </c:pt>
                <c:pt idx="3">
                  <c:v>9.7833333334419876</c:v>
                </c:pt>
                <c:pt idx="4">
                  <c:v>13.300000000046566</c:v>
                </c:pt>
              </c:numCache>
            </c:numRef>
          </c:xVal>
          <c:yVal>
            <c:numRef>
              <c:f>SuppSheet8!$F$6:$F$10</c:f>
              <c:numCache>
                <c:formatCode>0.000</c:formatCode>
                <c:ptCount val="5"/>
                <c:pt idx="0">
                  <c:v>2.1000000000000001E-2</c:v>
                </c:pt>
                <c:pt idx="1">
                  <c:v>2.9000000000000001E-2</c:v>
                </c:pt>
                <c:pt idx="2">
                  <c:v>4.9000000000000002E-2</c:v>
                </c:pt>
                <c:pt idx="3">
                  <c:v>6.9000000000000006E-2</c:v>
                </c:pt>
                <c:pt idx="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0D-4443-9346-9315F64B1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12464"/>
        <c:axId val="812713024"/>
      </c:scatterChart>
      <c:valAx>
        <c:axId val="81271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13024"/>
        <c:crosses val="autoZero"/>
        <c:crossBetween val="midCat"/>
      </c:valAx>
      <c:valAx>
        <c:axId val="812713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1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SuppSheet8!$C$6:$C$10</c:f>
              <c:numCache>
                <c:formatCode>0.0</c:formatCode>
                <c:ptCount val="5"/>
                <c:pt idx="0">
                  <c:v>0</c:v>
                </c:pt>
                <c:pt idx="1">
                  <c:v>2.9000000000232831</c:v>
                </c:pt>
                <c:pt idx="2">
                  <c:v>6</c:v>
                </c:pt>
                <c:pt idx="3">
                  <c:v>9.7833333334419876</c:v>
                </c:pt>
                <c:pt idx="4">
                  <c:v>13.300000000046566</c:v>
                </c:pt>
              </c:numCache>
            </c:numRef>
          </c:xVal>
          <c:yVal>
            <c:numRef>
              <c:f>SuppSheet8!$J$6:$J$10</c:f>
              <c:numCache>
                <c:formatCode>0.00</c:formatCode>
                <c:ptCount val="5"/>
                <c:pt idx="0">
                  <c:v>7.01</c:v>
                </c:pt>
                <c:pt idx="1">
                  <c:v>6.78</c:v>
                </c:pt>
                <c:pt idx="2">
                  <c:v>6.29</c:v>
                </c:pt>
                <c:pt idx="3">
                  <c:v>4.8</c:v>
                </c:pt>
                <c:pt idx="4">
                  <c:v>4.6399999999999997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1-40C6-832A-750663A6B7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SuppSheet8!$C$6:$C$10</c:f>
              <c:numCache>
                <c:formatCode>0.0</c:formatCode>
                <c:ptCount val="5"/>
                <c:pt idx="0">
                  <c:v>0</c:v>
                </c:pt>
                <c:pt idx="1">
                  <c:v>2.9000000000232831</c:v>
                </c:pt>
                <c:pt idx="2">
                  <c:v>6</c:v>
                </c:pt>
                <c:pt idx="3">
                  <c:v>9.7833333334419876</c:v>
                </c:pt>
                <c:pt idx="4">
                  <c:v>13.300000000046566</c:v>
                </c:pt>
              </c:numCache>
            </c:numRef>
          </c:xVal>
          <c:yVal>
            <c:numRef>
              <c:f>SuppSheet8!$K$6:$K$10</c:f>
              <c:numCache>
                <c:formatCode>0.00</c:formatCode>
                <c:ptCount val="5"/>
                <c:pt idx="0">
                  <c:v>7</c:v>
                </c:pt>
                <c:pt idx="1">
                  <c:v>6.78</c:v>
                </c:pt>
                <c:pt idx="2">
                  <c:v>6.31</c:v>
                </c:pt>
                <c:pt idx="3">
                  <c:v>4.7699999999999996</c:v>
                </c:pt>
                <c:pt idx="4">
                  <c:v>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1-40C6-832A-750663A6B79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SuppSheet8!$C$6:$C$10</c:f>
              <c:numCache>
                <c:formatCode>0.0</c:formatCode>
                <c:ptCount val="5"/>
                <c:pt idx="0">
                  <c:v>0</c:v>
                </c:pt>
                <c:pt idx="1">
                  <c:v>2.9000000000232831</c:v>
                </c:pt>
                <c:pt idx="2">
                  <c:v>6</c:v>
                </c:pt>
                <c:pt idx="3">
                  <c:v>9.7833333334419876</c:v>
                </c:pt>
                <c:pt idx="4">
                  <c:v>13.300000000046566</c:v>
                </c:pt>
              </c:numCache>
            </c:numRef>
          </c:xVal>
          <c:yVal>
            <c:numRef>
              <c:f>SuppSheet8!$L$6:$L$10</c:f>
              <c:numCache>
                <c:formatCode>0.00</c:formatCode>
                <c:ptCount val="5"/>
                <c:pt idx="0">
                  <c:v>7.01</c:v>
                </c:pt>
                <c:pt idx="1">
                  <c:v>6.77</c:v>
                </c:pt>
                <c:pt idx="2">
                  <c:v>6.3</c:v>
                </c:pt>
                <c:pt idx="3">
                  <c:v>4.78</c:v>
                </c:pt>
                <c:pt idx="4">
                  <c:v>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C1-40C6-832A-750663A6B79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SuppSheet8!$C$6:$C$10</c:f>
              <c:numCache>
                <c:formatCode>0.0</c:formatCode>
                <c:ptCount val="5"/>
                <c:pt idx="0">
                  <c:v>0</c:v>
                </c:pt>
                <c:pt idx="1">
                  <c:v>2.9000000000232831</c:v>
                </c:pt>
                <c:pt idx="2">
                  <c:v>6</c:v>
                </c:pt>
                <c:pt idx="3">
                  <c:v>9.7833333334419876</c:v>
                </c:pt>
                <c:pt idx="4">
                  <c:v>13.300000000046566</c:v>
                </c:pt>
              </c:numCache>
            </c:numRef>
          </c:xVal>
          <c:yVal>
            <c:numRef>
              <c:f>SuppSheet8!$M$6:$M$10</c:f>
              <c:numCache>
                <c:formatCode>0.00</c:formatCode>
                <c:ptCount val="5"/>
                <c:pt idx="0">
                  <c:v>7.02</c:v>
                </c:pt>
                <c:pt idx="1">
                  <c:v>6.99</c:v>
                </c:pt>
                <c:pt idx="2">
                  <c:v>6.99</c:v>
                </c:pt>
                <c:pt idx="3">
                  <c:v>6.97</c:v>
                </c:pt>
                <c:pt idx="4">
                  <c:v>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C1-40C6-832A-750663A6B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12464"/>
        <c:axId val="812713024"/>
      </c:scatterChart>
      <c:valAx>
        <c:axId val="81271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13024"/>
        <c:crosses val="autoZero"/>
        <c:crossBetween val="midCat"/>
      </c:valAx>
      <c:valAx>
        <c:axId val="8127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1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SuppSheet9!$C$6:$C$12</c:f>
              <c:numCache>
                <c:formatCode>0.0</c:formatCode>
                <c:ptCount val="7"/>
                <c:pt idx="0">
                  <c:v>0</c:v>
                </c:pt>
                <c:pt idx="1">
                  <c:v>2.3500000001513399</c:v>
                </c:pt>
                <c:pt idx="2">
                  <c:v>4.5666666667093523</c:v>
                </c:pt>
                <c:pt idx="3">
                  <c:v>6.8833333334187046</c:v>
                </c:pt>
                <c:pt idx="4">
                  <c:v>9.1000000001513399</c:v>
                </c:pt>
                <c:pt idx="5">
                  <c:v>11.25</c:v>
                </c:pt>
                <c:pt idx="6">
                  <c:v>13.350000000034925</c:v>
                </c:pt>
              </c:numCache>
            </c:numRef>
          </c:xVal>
          <c:yVal>
            <c:numRef>
              <c:f>SuppSheet9!$J$6:$J$12</c:f>
              <c:numCache>
                <c:formatCode>0.00</c:formatCode>
                <c:ptCount val="7"/>
                <c:pt idx="0">
                  <c:v>7.41</c:v>
                </c:pt>
                <c:pt idx="1">
                  <c:v>7.25</c:v>
                </c:pt>
                <c:pt idx="2">
                  <c:v>7.06</c:v>
                </c:pt>
                <c:pt idx="3">
                  <c:v>6.8</c:v>
                </c:pt>
                <c:pt idx="4">
                  <c:v>6.39</c:v>
                </c:pt>
                <c:pt idx="5">
                  <c:v>5.16</c:v>
                </c:pt>
                <c:pt idx="6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C-4E63-A682-C2B7A3FFADA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SuppSheet9!$C$6:$C$12</c:f>
              <c:numCache>
                <c:formatCode>0.0</c:formatCode>
                <c:ptCount val="7"/>
                <c:pt idx="0">
                  <c:v>0</c:v>
                </c:pt>
                <c:pt idx="1">
                  <c:v>2.3500000001513399</c:v>
                </c:pt>
                <c:pt idx="2">
                  <c:v>4.5666666667093523</c:v>
                </c:pt>
                <c:pt idx="3">
                  <c:v>6.8833333334187046</c:v>
                </c:pt>
                <c:pt idx="4">
                  <c:v>9.1000000001513399</c:v>
                </c:pt>
                <c:pt idx="5">
                  <c:v>11.25</c:v>
                </c:pt>
                <c:pt idx="6">
                  <c:v>13.350000000034925</c:v>
                </c:pt>
              </c:numCache>
            </c:numRef>
          </c:xVal>
          <c:yVal>
            <c:numRef>
              <c:f>SuppSheet9!$K$6:$K$12</c:f>
              <c:numCache>
                <c:formatCode>0.00</c:formatCode>
                <c:ptCount val="7"/>
                <c:pt idx="0">
                  <c:v>7.41</c:v>
                </c:pt>
                <c:pt idx="1">
                  <c:v>7.24</c:v>
                </c:pt>
                <c:pt idx="2">
                  <c:v>7.06</c:v>
                </c:pt>
                <c:pt idx="3">
                  <c:v>6.81</c:v>
                </c:pt>
                <c:pt idx="4">
                  <c:v>6.45</c:v>
                </c:pt>
                <c:pt idx="5">
                  <c:v>5.5</c:v>
                </c:pt>
                <c:pt idx="6">
                  <c:v>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C-4E63-A682-C2B7A3FFADA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SuppSheet9!$C$6:$C$12</c:f>
              <c:numCache>
                <c:formatCode>0.0</c:formatCode>
                <c:ptCount val="7"/>
                <c:pt idx="0">
                  <c:v>0</c:v>
                </c:pt>
                <c:pt idx="1">
                  <c:v>2.3500000001513399</c:v>
                </c:pt>
                <c:pt idx="2">
                  <c:v>4.5666666667093523</c:v>
                </c:pt>
                <c:pt idx="3">
                  <c:v>6.8833333334187046</c:v>
                </c:pt>
                <c:pt idx="4">
                  <c:v>9.1000000001513399</c:v>
                </c:pt>
                <c:pt idx="5">
                  <c:v>11.25</c:v>
                </c:pt>
                <c:pt idx="6">
                  <c:v>13.350000000034925</c:v>
                </c:pt>
              </c:numCache>
            </c:numRef>
          </c:xVal>
          <c:yVal>
            <c:numRef>
              <c:f>SuppSheet9!$L$6:$L$12</c:f>
              <c:numCache>
                <c:formatCode>0.00</c:formatCode>
                <c:ptCount val="7"/>
                <c:pt idx="0">
                  <c:v>7.41</c:v>
                </c:pt>
                <c:pt idx="1">
                  <c:v>7.25</c:v>
                </c:pt>
                <c:pt idx="2">
                  <c:v>7.06</c:v>
                </c:pt>
                <c:pt idx="3">
                  <c:v>6.83</c:v>
                </c:pt>
                <c:pt idx="4">
                  <c:v>6.49</c:v>
                </c:pt>
                <c:pt idx="5">
                  <c:v>5.67</c:v>
                </c:pt>
                <c:pt idx="6">
                  <c:v>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DC-4E63-A682-C2B7A3FFADA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SuppSheet9!$C$6:$C$12</c:f>
              <c:numCache>
                <c:formatCode>0.0</c:formatCode>
                <c:ptCount val="7"/>
                <c:pt idx="0">
                  <c:v>0</c:v>
                </c:pt>
                <c:pt idx="1">
                  <c:v>2.3500000001513399</c:v>
                </c:pt>
                <c:pt idx="2">
                  <c:v>4.5666666667093523</c:v>
                </c:pt>
                <c:pt idx="3">
                  <c:v>6.8833333334187046</c:v>
                </c:pt>
                <c:pt idx="4">
                  <c:v>9.1000000001513399</c:v>
                </c:pt>
                <c:pt idx="5">
                  <c:v>11.25</c:v>
                </c:pt>
                <c:pt idx="6">
                  <c:v>13.350000000034925</c:v>
                </c:pt>
              </c:numCache>
            </c:numRef>
          </c:xVal>
          <c:yVal>
            <c:numRef>
              <c:f>SuppSheet9!$M$6:$M$12</c:f>
              <c:numCache>
                <c:formatCode>0.00</c:formatCode>
                <c:ptCount val="7"/>
                <c:pt idx="0">
                  <c:v>7.46</c:v>
                </c:pt>
                <c:pt idx="1">
                  <c:v>7.41</c:v>
                </c:pt>
                <c:pt idx="2">
                  <c:v>7.39</c:v>
                </c:pt>
                <c:pt idx="3">
                  <c:v>7.36</c:v>
                </c:pt>
                <c:pt idx="4">
                  <c:v>7.34</c:v>
                </c:pt>
                <c:pt idx="5">
                  <c:v>7.31</c:v>
                </c:pt>
                <c:pt idx="6">
                  <c:v>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DC-4E63-A682-C2B7A3FFA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65760"/>
        <c:axId val="348081984"/>
      </c:scatterChart>
      <c:valAx>
        <c:axId val="34806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81984"/>
        <c:crosses val="autoZero"/>
        <c:crossBetween val="midCat"/>
      </c:valAx>
      <c:valAx>
        <c:axId val="3480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6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SuppSheet9!$C$6:$C$13</c:f>
              <c:numCache>
                <c:formatCode>0.0</c:formatCode>
                <c:ptCount val="8"/>
                <c:pt idx="0">
                  <c:v>0</c:v>
                </c:pt>
                <c:pt idx="1">
                  <c:v>2.3500000001513399</c:v>
                </c:pt>
                <c:pt idx="2">
                  <c:v>4.5666666667093523</c:v>
                </c:pt>
                <c:pt idx="3">
                  <c:v>6.8833333334187046</c:v>
                </c:pt>
                <c:pt idx="4">
                  <c:v>9.1000000001513399</c:v>
                </c:pt>
                <c:pt idx="5">
                  <c:v>11.25</c:v>
                </c:pt>
                <c:pt idx="6">
                  <c:v>13.350000000034925</c:v>
                </c:pt>
                <c:pt idx="7">
                  <c:v>20.500000000116415</c:v>
                </c:pt>
              </c:numCache>
            </c:numRef>
          </c:xVal>
          <c:yVal>
            <c:numRef>
              <c:f>SuppSheet9!$D$6:$D$13</c:f>
              <c:numCache>
                <c:formatCode>0.000</c:formatCode>
                <c:ptCount val="8"/>
                <c:pt idx="0">
                  <c:v>1.7999999999999999E-2</c:v>
                </c:pt>
                <c:pt idx="1">
                  <c:v>2.3E-2</c:v>
                </c:pt>
                <c:pt idx="2">
                  <c:v>0.03</c:v>
                </c:pt>
                <c:pt idx="3">
                  <c:v>0.04</c:v>
                </c:pt>
                <c:pt idx="4">
                  <c:v>5.8000000000000003E-2</c:v>
                </c:pt>
                <c:pt idx="5">
                  <c:v>8.1000000000000003E-2</c:v>
                </c:pt>
                <c:pt idx="6">
                  <c:v>8.2000000000000003E-2</c:v>
                </c:pt>
                <c:pt idx="7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5-494C-B78D-E0DFB23C5A4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SuppSheet9!$C$6:$C$13</c:f>
              <c:numCache>
                <c:formatCode>0.0</c:formatCode>
                <c:ptCount val="8"/>
                <c:pt idx="0">
                  <c:v>0</c:v>
                </c:pt>
                <c:pt idx="1">
                  <c:v>2.3500000001513399</c:v>
                </c:pt>
                <c:pt idx="2">
                  <c:v>4.5666666667093523</c:v>
                </c:pt>
                <c:pt idx="3">
                  <c:v>6.8833333334187046</c:v>
                </c:pt>
                <c:pt idx="4">
                  <c:v>9.1000000001513399</c:v>
                </c:pt>
                <c:pt idx="5">
                  <c:v>11.25</c:v>
                </c:pt>
                <c:pt idx="6">
                  <c:v>13.350000000034925</c:v>
                </c:pt>
                <c:pt idx="7">
                  <c:v>20.500000000116415</c:v>
                </c:pt>
              </c:numCache>
            </c:numRef>
          </c:xVal>
          <c:yVal>
            <c:numRef>
              <c:f>SuppSheet9!$E$6:$E$13</c:f>
              <c:numCache>
                <c:formatCode>0.000</c:formatCode>
                <c:ptCount val="8"/>
                <c:pt idx="0">
                  <c:v>1.7999999999999999E-2</c:v>
                </c:pt>
                <c:pt idx="1">
                  <c:v>2.1000000000000001E-2</c:v>
                </c:pt>
                <c:pt idx="2">
                  <c:v>2.9000000000000001E-2</c:v>
                </c:pt>
                <c:pt idx="3">
                  <c:v>3.6999999999999998E-2</c:v>
                </c:pt>
                <c:pt idx="4">
                  <c:v>5.2999999999999999E-2</c:v>
                </c:pt>
                <c:pt idx="5">
                  <c:v>7.5999999999999998E-2</c:v>
                </c:pt>
                <c:pt idx="6">
                  <c:v>7.9000000000000001E-2</c:v>
                </c:pt>
                <c:pt idx="7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5-494C-B78D-E0DFB23C5A4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SuppSheet9!$C$6:$C$13</c:f>
              <c:numCache>
                <c:formatCode>0.0</c:formatCode>
                <c:ptCount val="8"/>
                <c:pt idx="0">
                  <c:v>0</c:v>
                </c:pt>
                <c:pt idx="1">
                  <c:v>2.3500000001513399</c:v>
                </c:pt>
                <c:pt idx="2">
                  <c:v>4.5666666667093523</c:v>
                </c:pt>
                <c:pt idx="3">
                  <c:v>6.8833333334187046</c:v>
                </c:pt>
                <c:pt idx="4">
                  <c:v>9.1000000001513399</c:v>
                </c:pt>
                <c:pt idx="5">
                  <c:v>11.25</c:v>
                </c:pt>
                <c:pt idx="6">
                  <c:v>13.350000000034925</c:v>
                </c:pt>
                <c:pt idx="7">
                  <c:v>20.500000000116415</c:v>
                </c:pt>
              </c:numCache>
            </c:numRef>
          </c:xVal>
          <c:yVal>
            <c:numRef>
              <c:f>SuppSheet9!$F$6:$F$13</c:f>
              <c:numCache>
                <c:formatCode>0.000</c:formatCode>
                <c:ptCount val="8"/>
                <c:pt idx="0">
                  <c:v>1.7000000000000001E-2</c:v>
                </c:pt>
                <c:pt idx="1">
                  <c:v>2.1999999999999999E-2</c:v>
                </c:pt>
                <c:pt idx="2">
                  <c:v>2.8000000000000001E-2</c:v>
                </c:pt>
                <c:pt idx="3">
                  <c:v>3.5999999999999997E-2</c:v>
                </c:pt>
                <c:pt idx="4">
                  <c:v>0.05</c:v>
                </c:pt>
                <c:pt idx="5">
                  <c:v>7.1999999999999995E-2</c:v>
                </c:pt>
                <c:pt idx="6">
                  <c:v>7.6999999999999999E-2</c:v>
                </c:pt>
                <c:pt idx="7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85-494C-B78D-E0DFB23C5A4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SuppSheet9!$C$6:$C$13</c:f>
              <c:numCache>
                <c:formatCode>0.0</c:formatCode>
                <c:ptCount val="8"/>
                <c:pt idx="0">
                  <c:v>0</c:v>
                </c:pt>
                <c:pt idx="1">
                  <c:v>2.3500000001513399</c:v>
                </c:pt>
                <c:pt idx="2">
                  <c:v>4.5666666667093523</c:v>
                </c:pt>
                <c:pt idx="3">
                  <c:v>6.8833333334187046</c:v>
                </c:pt>
                <c:pt idx="4">
                  <c:v>9.1000000001513399</c:v>
                </c:pt>
                <c:pt idx="5">
                  <c:v>11.25</c:v>
                </c:pt>
                <c:pt idx="6">
                  <c:v>13.350000000034925</c:v>
                </c:pt>
                <c:pt idx="7">
                  <c:v>20.500000000116415</c:v>
                </c:pt>
              </c:numCache>
            </c:numRef>
          </c:xVal>
          <c:yVal>
            <c:numRef>
              <c:f>SuppSheet9!$G$6:$G$13</c:f>
              <c:numCache>
                <c:formatCode>0.000</c:formatCode>
                <c:ptCount val="8"/>
                <c:pt idx="0">
                  <c:v>1E-3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85-494C-B78D-E0DFB23C5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65760"/>
        <c:axId val="348081984"/>
      </c:scatterChart>
      <c:valAx>
        <c:axId val="34806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81984"/>
        <c:crosses val="autoZero"/>
        <c:crossBetween val="midCat"/>
      </c:valAx>
      <c:valAx>
        <c:axId val="3480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6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SuppSheet9!$C$6:$C$13</c:f>
              <c:numCache>
                <c:formatCode>0.0</c:formatCode>
                <c:ptCount val="8"/>
                <c:pt idx="0">
                  <c:v>0</c:v>
                </c:pt>
                <c:pt idx="1">
                  <c:v>2.3500000001513399</c:v>
                </c:pt>
                <c:pt idx="2">
                  <c:v>4.5666666667093523</c:v>
                </c:pt>
                <c:pt idx="3">
                  <c:v>6.8833333334187046</c:v>
                </c:pt>
                <c:pt idx="4">
                  <c:v>9.1000000001513399</c:v>
                </c:pt>
                <c:pt idx="5">
                  <c:v>11.25</c:v>
                </c:pt>
                <c:pt idx="6">
                  <c:v>13.350000000034925</c:v>
                </c:pt>
                <c:pt idx="7">
                  <c:v>20.500000000116415</c:v>
                </c:pt>
              </c:numCache>
            </c:numRef>
          </c:xVal>
          <c:yVal>
            <c:numRef>
              <c:f>SuppSheet9!$D$6:$D$13</c:f>
              <c:numCache>
                <c:formatCode>0.000</c:formatCode>
                <c:ptCount val="8"/>
                <c:pt idx="0">
                  <c:v>1.7999999999999999E-2</c:v>
                </c:pt>
                <c:pt idx="1">
                  <c:v>2.3E-2</c:v>
                </c:pt>
                <c:pt idx="2">
                  <c:v>0.03</c:v>
                </c:pt>
                <c:pt idx="3">
                  <c:v>0.04</c:v>
                </c:pt>
                <c:pt idx="4">
                  <c:v>5.8000000000000003E-2</c:v>
                </c:pt>
                <c:pt idx="5">
                  <c:v>8.1000000000000003E-2</c:v>
                </c:pt>
                <c:pt idx="6">
                  <c:v>8.2000000000000003E-2</c:v>
                </c:pt>
                <c:pt idx="7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9-4343-813C-1BADFF48B6A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SuppSheet9!$C$6:$C$13</c:f>
              <c:numCache>
                <c:formatCode>0.0</c:formatCode>
                <c:ptCount val="8"/>
                <c:pt idx="0">
                  <c:v>0</c:v>
                </c:pt>
                <c:pt idx="1">
                  <c:v>2.3500000001513399</c:v>
                </c:pt>
                <c:pt idx="2">
                  <c:v>4.5666666667093523</c:v>
                </c:pt>
                <c:pt idx="3">
                  <c:v>6.8833333334187046</c:v>
                </c:pt>
                <c:pt idx="4">
                  <c:v>9.1000000001513399</c:v>
                </c:pt>
                <c:pt idx="5">
                  <c:v>11.25</c:v>
                </c:pt>
                <c:pt idx="6">
                  <c:v>13.350000000034925</c:v>
                </c:pt>
                <c:pt idx="7">
                  <c:v>20.500000000116415</c:v>
                </c:pt>
              </c:numCache>
            </c:numRef>
          </c:xVal>
          <c:yVal>
            <c:numRef>
              <c:f>SuppSheet9!$E$6:$E$13</c:f>
              <c:numCache>
                <c:formatCode>0.000</c:formatCode>
                <c:ptCount val="8"/>
                <c:pt idx="0">
                  <c:v>1.7999999999999999E-2</c:v>
                </c:pt>
                <c:pt idx="1">
                  <c:v>2.1000000000000001E-2</c:v>
                </c:pt>
                <c:pt idx="2">
                  <c:v>2.9000000000000001E-2</c:v>
                </c:pt>
                <c:pt idx="3">
                  <c:v>3.6999999999999998E-2</c:v>
                </c:pt>
                <c:pt idx="4">
                  <c:v>5.2999999999999999E-2</c:v>
                </c:pt>
                <c:pt idx="5">
                  <c:v>7.5999999999999998E-2</c:v>
                </c:pt>
                <c:pt idx="6">
                  <c:v>7.9000000000000001E-2</c:v>
                </c:pt>
                <c:pt idx="7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9-4343-813C-1BADFF48B6A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SuppSheet9!$C$6:$C$13</c:f>
              <c:numCache>
                <c:formatCode>0.0</c:formatCode>
                <c:ptCount val="8"/>
                <c:pt idx="0">
                  <c:v>0</c:v>
                </c:pt>
                <c:pt idx="1">
                  <c:v>2.3500000001513399</c:v>
                </c:pt>
                <c:pt idx="2">
                  <c:v>4.5666666667093523</c:v>
                </c:pt>
                <c:pt idx="3">
                  <c:v>6.8833333334187046</c:v>
                </c:pt>
                <c:pt idx="4">
                  <c:v>9.1000000001513399</c:v>
                </c:pt>
                <c:pt idx="5">
                  <c:v>11.25</c:v>
                </c:pt>
                <c:pt idx="6">
                  <c:v>13.350000000034925</c:v>
                </c:pt>
                <c:pt idx="7">
                  <c:v>20.500000000116415</c:v>
                </c:pt>
              </c:numCache>
            </c:numRef>
          </c:xVal>
          <c:yVal>
            <c:numRef>
              <c:f>SuppSheet9!$F$6:$F$13</c:f>
              <c:numCache>
                <c:formatCode>0.000</c:formatCode>
                <c:ptCount val="8"/>
                <c:pt idx="0">
                  <c:v>1.7000000000000001E-2</c:v>
                </c:pt>
                <c:pt idx="1">
                  <c:v>2.1999999999999999E-2</c:v>
                </c:pt>
                <c:pt idx="2">
                  <c:v>2.8000000000000001E-2</c:v>
                </c:pt>
                <c:pt idx="3">
                  <c:v>3.5999999999999997E-2</c:v>
                </c:pt>
                <c:pt idx="4">
                  <c:v>0.05</c:v>
                </c:pt>
                <c:pt idx="5">
                  <c:v>7.1999999999999995E-2</c:v>
                </c:pt>
                <c:pt idx="6">
                  <c:v>7.6999999999999999E-2</c:v>
                </c:pt>
                <c:pt idx="7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9-4343-813C-1BADFF48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65760"/>
        <c:axId val="348081984"/>
      </c:scatterChart>
      <c:valAx>
        <c:axId val="34806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81984"/>
        <c:crosses val="autoZero"/>
        <c:crossBetween val="midCat"/>
      </c:valAx>
      <c:valAx>
        <c:axId val="3480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6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SuppSheet10!$C$6:$C$13</c:f>
              <c:numCache>
                <c:formatCode>0.0</c:formatCode>
                <c:ptCount val="8"/>
                <c:pt idx="0">
                  <c:v>0</c:v>
                </c:pt>
                <c:pt idx="1">
                  <c:v>2.7500000000582077</c:v>
                </c:pt>
                <c:pt idx="2">
                  <c:v>5.3000000001629815</c:v>
                </c:pt>
                <c:pt idx="3">
                  <c:v>7.8166666668257676</c:v>
                </c:pt>
                <c:pt idx="4">
                  <c:v>10.750000000116415</c:v>
                </c:pt>
                <c:pt idx="5">
                  <c:v>13.666666666686069</c:v>
                </c:pt>
                <c:pt idx="6">
                  <c:v>20.233333333453629</c:v>
                </c:pt>
                <c:pt idx="7">
                  <c:v>28.566666666709352</c:v>
                </c:pt>
              </c:numCache>
            </c:numRef>
          </c:xVal>
          <c:yVal>
            <c:numRef>
              <c:f>SuppSheet10!$D$6:$D$13</c:f>
              <c:numCache>
                <c:formatCode>0.000</c:formatCode>
                <c:ptCount val="8"/>
                <c:pt idx="0">
                  <c:v>3.5000000000000003E-2</c:v>
                </c:pt>
                <c:pt idx="1">
                  <c:v>6.7000000000000004E-2</c:v>
                </c:pt>
                <c:pt idx="2">
                  <c:v>0.112</c:v>
                </c:pt>
                <c:pt idx="3">
                  <c:v>0.16</c:v>
                </c:pt>
                <c:pt idx="4">
                  <c:v>0.249</c:v>
                </c:pt>
                <c:pt idx="5">
                  <c:v>0.28399999999999997</c:v>
                </c:pt>
                <c:pt idx="6">
                  <c:v>0.312</c:v>
                </c:pt>
                <c:pt idx="7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E-4851-A8CC-19E3BFCE080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SuppSheet10!$C$6:$C$13</c:f>
              <c:numCache>
                <c:formatCode>0.0</c:formatCode>
                <c:ptCount val="8"/>
                <c:pt idx="0">
                  <c:v>0</c:v>
                </c:pt>
                <c:pt idx="1">
                  <c:v>2.7500000000582077</c:v>
                </c:pt>
                <c:pt idx="2">
                  <c:v>5.3000000001629815</c:v>
                </c:pt>
                <c:pt idx="3">
                  <c:v>7.8166666668257676</c:v>
                </c:pt>
                <c:pt idx="4">
                  <c:v>10.750000000116415</c:v>
                </c:pt>
                <c:pt idx="5">
                  <c:v>13.666666666686069</c:v>
                </c:pt>
                <c:pt idx="6">
                  <c:v>20.233333333453629</c:v>
                </c:pt>
                <c:pt idx="7">
                  <c:v>28.566666666709352</c:v>
                </c:pt>
              </c:numCache>
            </c:numRef>
          </c:xVal>
          <c:yVal>
            <c:numRef>
              <c:f>SuppSheet10!$E$6:$E$13</c:f>
              <c:numCache>
                <c:formatCode>0.000</c:formatCode>
                <c:ptCount val="8"/>
                <c:pt idx="0">
                  <c:v>3.6999999999999998E-2</c:v>
                </c:pt>
                <c:pt idx="1">
                  <c:v>6.9000000000000006E-2</c:v>
                </c:pt>
                <c:pt idx="2">
                  <c:v>0.114</c:v>
                </c:pt>
                <c:pt idx="3">
                  <c:v>0.16200000000000001</c:v>
                </c:pt>
                <c:pt idx="4">
                  <c:v>0.249</c:v>
                </c:pt>
                <c:pt idx="5">
                  <c:v>0.28100000000000003</c:v>
                </c:pt>
                <c:pt idx="6">
                  <c:v>0.31</c:v>
                </c:pt>
                <c:pt idx="7">
                  <c:v>0.312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E-4851-A8CC-19E3BFCE080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SuppSheet10!$C$6:$C$13</c:f>
              <c:numCache>
                <c:formatCode>0.0</c:formatCode>
                <c:ptCount val="8"/>
                <c:pt idx="0">
                  <c:v>0</c:v>
                </c:pt>
                <c:pt idx="1">
                  <c:v>2.7500000000582077</c:v>
                </c:pt>
                <c:pt idx="2">
                  <c:v>5.3000000001629815</c:v>
                </c:pt>
                <c:pt idx="3">
                  <c:v>7.8166666668257676</c:v>
                </c:pt>
                <c:pt idx="4">
                  <c:v>10.750000000116415</c:v>
                </c:pt>
                <c:pt idx="5">
                  <c:v>13.666666666686069</c:v>
                </c:pt>
                <c:pt idx="6">
                  <c:v>20.233333333453629</c:v>
                </c:pt>
                <c:pt idx="7">
                  <c:v>28.566666666709352</c:v>
                </c:pt>
              </c:numCache>
            </c:numRef>
          </c:xVal>
          <c:yVal>
            <c:numRef>
              <c:f>SuppSheet10!$F$6:$F$13</c:f>
              <c:numCache>
                <c:formatCode>0.000</c:formatCode>
                <c:ptCount val="8"/>
                <c:pt idx="0">
                  <c:v>3.9E-2</c:v>
                </c:pt>
                <c:pt idx="1">
                  <c:v>7.8E-2</c:v>
                </c:pt>
                <c:pt idx="2">
                  <c:v>0.14099999999999999</c:v>
                </c:pt>
                <c:pt idx="3">
                  <c:v>0.219</c:v>
                </c:pt>
                <c:pt idx="4">
                  <c:v>0.27</c:v>
                </c:pt>
                <c:pt idx="5">
                  <c:v>0.28599999999999998</c:v>
                </c:pt>
                <c:pt idx="6">
                  <c:v>0.28999999999999998</c:v>
                </c:pt>
                <c:pt idx="7">
                  <c:v>0.28499999999999998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6E-4851-A8CC-19E3BFCE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68432"/>
        <c:axId val="863168992"/>
      </c:scatterChart>
      <c:valAx>
        <c:axId val="8631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68992"/>
        <c:crosses val="autoZero"/>
        <c:crossBetween val="midCat"/>
      </c:valAx>
      <c:valAx>
        <c:axId val="86316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6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SuppSheet10!$C$6:$C$13</c:f>
              <c:numCache>
                <c:formatCode>0.0</c:formatCode>
                <c:ptCount val="8"/>
                <c:pt idx="0">
                  <c:v>0</c:v>
                </c:pt>
                <c:pt idx="1">
                  <c:v>2.7500000000582077</c:v>
                </c:pt>
                <c:pt idx="2">
                  <c:v>5.3000000001629815</c:v>
                </c:pt>
                <c:pt idx="3">
                  <c:v>7.8166666668257676</c:v>
                </c:pt>
                <c:pt idx="4">
                  <c:v>10.750000000116415</c:v>
                </c:pt>
                <c:pt idx="5">
                  <c:v>13.666666666686069</c:v>
                </c:pt>
                <c:pt idx="6">
                  <c:v>20.233333333453629</c:v>
                </c:pt>
                <c:pt idx="7">
                  <c:v>28.566666666709352</c:v>
                </c:pt>
              </c:numCache>
            </c:numRef>
          </c:xVal>
          <c:yVal>
            <c:numRef>
              <c:f>SuppSheet10!$J$6:$J$13</c:f>
              <c:numCache>
                <c:formatCode>0.00</c:formatCode>
                <c:ptCount val="8"/>
                <c:pt idx="0">
                  <c:v>6</c:v>
                </c:pt>
                <c:pt idx="1">
                  <c:v>5.61</c:v>
                </c:pt>
                <c:pt idx="2">
                  <c:v>4.7</c:v>
                </c:pt>
                <c:pt idx="3">
                  <c:v>4.49</c:v>
                </c:pt>
                <c:pt idx="4">
                  <c:v>4.3600000000000003</c:v>
                </c:pt>
                <c:pt idx="5">
                  <c:v>4.07</c:v>
                </c:pt>
                <c:pt idx="6">
                  <c:v>4.03</c:v>
                </c:pt>
                <c:pt idx="7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A-42BC-810D-37C86FC736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SuppSheet10!$C$6:$C$13</c:f>
              <c:numCache>
                <c:formatCode>0.0</c:formatCode>
                <c:ptCount val="8"/>
                <c:pt idx="0">
                  <c:v>0</c:v>
                </c:pt>
                <c:pt idx="1">
                  <c:v>2.7500000000582077</c:v>
                </c:pt>
                <c:pt idx="2">
                  <c:v>5.3000000001629815</c:v>
                </c:pt>
                <c:pt idx="3">
                  <c:v>7.8166666668257676</c:v>
                </c:pt>
                <c:pt idx="4">
                  <c:v>10.750000000116415</c:v>
                </c:pt>
                <c:pt idx="5">
                  <c:v>13.666666666686069</c:v>
                </c:pt>
                <c:pt idx="6">
                  <c:v>20.233333333453629</c:v>
                </c:pt>
                <c:pt idx="7">
                  <c:v>28.566666666709352</c:v>
                </c:pt>
              </c:numCache>
            </c:numRef>
          </c:xVal>
          <c:yVal>
            <c:numRef>
              <c:f>SuppSheet10!$K$6:$K$13</c:f>
              <c:numCache>
                <c:formatCode>0.00</c:formatCode>
                <c:ptCount val="8"/>
                <c:pt idx="0">
                  <c:v>5.99</c:v>
                </c:pt>
                <c:pt idx="1">
                  <c:v>5.53</c:v>
                </c:pt>
                <c:pt idx="2">
                  <c:v>4.5199999999999996</c:v>
                </c:pt>
                <c:pt idx="3">
                  <c:v>4.32</c:v>
                </c:pt>
                <c:pt idx="4">
                  <c:v>4.16</c:v>
                </c:pt>
                <c:pt idx="5">
                  <c:v>4.03</c:v>
                </c:pt>
                <c:pt idx="6">
                  <c:v>3.95</c:v>
                </c:pt>
                <c:pt idx="7">
                  <c:v>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A-42BC-810D-37C86FC736D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SuppSheet10!$C$6:$C$13</c:f>
              <c:numCache>
                <c:formatCode>0.0</c:formatCode>
                <c:ptCount val="8"/>
                <c:pt idx="0">
                  <c:v>0</c:v>
                </c:pt>
                <c:pt idx="1">
                  <c:v>2.7500000000582077</c:v>
                </c:pt>
                <c:pt idx="2">
                  <c:v>5.3000000001629815</c:v>
                </c:pt>
                <c:pt idx="3">
                  <c:v>7.8166666668257676</c:v>
                </c:pt>
                <c:pt idx="4">
                  <c:v>10.750000000116415</c:v>
                </c:pt>
                <c:pt idx="5">
                  <c:v>13.666666666686069</c:v>
                </c:pt>
                <c:pt idx="6">
                  <c:v>20.233333333453629</c:v>
                </c:pt>
                <c:pt idx="7">
                  <c:v>28.566666666709352</c:v>
                </c:pt>
              </c:numCache>
            </c:numRef>
          </c:xVal>
          <c:yVal>
            <c:numRef>
              <c:f>SuppSheet10!$L$6:$L$13</c:f>
              <c:numCache>
                <c:formatCode>0.00</c:formatCode>
                <c:ptCount val="8"/>
                <c:pt idx="0">
                  <c:v>5.99</c:v>
                </c:pt>
                <c:pt idx="1">
                  <c:v>5.61</c:v>
                </c:pt>
                <c:pt idx="2">
                  <c:v>4.6100000000000003</c:v>
                </c:pt>
                <c:pt idx="3">
                  <c:v>4.22</c:v>
                </c:pt>
                <c:pt idx="4">
                  <c:v>4.05</c:v>
                </c:pt>
                <c:pt idx="5">
                  <c:v>3.96</c:v>
                </c:pt>
                <c:pt idx="6">
                  <c:v>3.93</c:v>
                </c:pt>
                <c:pt idx="7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5A-42BC-810D-37C86FC736D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SuppSheet10!$C$6:$C$13</c:f>
              <c:numCache>
                <c:formatCode>0.0</c:formatCode>
                <c:ptCount val="8"/>
                <c:pt idx="0">
                  <c:v>0</c:v>
                </c:pt>
                <c:pt idx="1">
                  <c:v>2.7500000000582077</c:v>
                </c:pt>
                <c:pt idx="2">
                  <c:v>5.3000000001629815</c:v>
                </c:pt>
                <c:pt idx="3">
                  <c:v>7.8166666668257676</c:v>
                </c:pt>
                <c:pt idx="4">
                  <c:v>10.750000000116415</c:v>
                </c:pt>
                <c:pt idx="5">
                  <c:v>13.666666666686069</c:v>
                </c:pt>
                <c:pt idx="6">
                  <c:v>20.233333333453629</c:v>
                </c:pt>
                <c:pt idx="7">
                  <c:v>28.566666666709352</c:v>
                </c:pt>
              </c:numCache>
            </c:numRef>
          </c:xVal>
          <c:yVal>
            <c:numRef>
              <c:f>SuppSheet10!$M$6:$M$13</c:f>
              <c:numCache>
                <c:formatCode>0.00</c:formatCode>
                <c:ptCount val="8"/>
                <c:pt idx="0">
                  <c:v>6.01</c:v>
                </c:pt>
                <c:pt idx="1">
                  <c:v>6.03</c:v>
                </c:pt>
                <c:pt idx="2">
                  <c:v>6.04</c:v>
                </c:pt>
                <c:pt idx="3">
                  <c:v>6.03</c:v>
                </c:pt>
                <c:pt idx="4">
                  <c:v>6.02</c:v>
                </c:pt>
                <c:pt idx="5">
                  <c:v>6.01</c:v>
                </c:pt>
                <c:pt idx="6">
                  <c:v>6.01</c:v>
                </c:pt>
                <c:pt idx="7">
                  <c:v>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5A-42BC-810D-37C86FC7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63952"/>
        <c:axId val="863164512"/>
      </c:scatterChart>
      <c:valAx>
        <c:axId val="8631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64512"/>
        <c:crosses val="autoZero"/>
        <c:crossBetween val="midCat"/>
      </c:valAx>
      <c:valAx>
        <c:axId val="8631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6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ECOM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SuppSheet10!$AP$6:$AP$12</c:f>
                <c:numCache>
                  <c:formatCode>General</c:formatCode>
                  <c:ptCount val="7"/>
                  <c:pt idx="0">
                    <c:v>9.4863131967619814E-3</c:v>
                  </c:pt>
                  <c:pt idx="1">
                    <c:v>8.6477982461629063E-2</c:v>
                  </c:pt>
                  <c:pt idx="2">
                    <c:v>1.5195007914271969E-2</c:v>
                  </c:pt>
                  <c:pt idx="3">
                    <c:v>7.5795541788399576E-2</c:v>
                  </c:pt>
                  <c:pt idx="4">
                    <c:v>0.11223109655708796</c:v>
                  </c:pt>
                  <c:pt idx="5">
                    <c:v>0.12538373808715228</c:v>
                  </c:pt>
                  <c:pt idx="6">
                    <c:v>0.12918845800661283</c:v>
                  </c:pt>
                </c:numCache>
              </c:numRef>
            </c:plus>
            <c:minus>
              <c:numRef>
                <c:f>SuppSheet10!$AP$6:$AP$12</c:f>
                <c:numCache>
                  <c:formatCode>General</c:formatCode>
                  <c:ptCount val="7"/>
                  <c:pt idx="0">
                    <c:v>9.4863131967619814E-3</c:v>
                  </c:pt>
                  <c:pt idx="1">
                    <c:v>8.6477982461629063E-2</c:v>
                  </c:pt>
                  <c:pt idx="2">
                    <c:v>1.5195007914271969E-2</c:v>
                  </c:pt>
                  <c:pt idx="3">
                    <c:v>7.5795541788399576E-2</c:v>
                  </c:pt>
                  <c:pt idx="4">
                    <c:v>0.11223109655708796</c:v>
                  </c:pt>
                  <c:pt idx="5">
                    <c:v>0.12538373808715228</c:v>
                  </c:pt>
                  <c:pt idx="6">
                    <c:v>0.12918845800661283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SuppSheet10!$C$6:$C$12</c:f>
              <c:numCache>
                <c:formatCode>0.0</c:formatCode>
                <c:ptCount val="7"/>
                <c:pt idx="0">
                  <c:v>0</c:v>
                </c:pt>
                <c:pt idx="1">
                  <c:v>2.7500000000582077</c:v>
                </c:pt>
                <c:pt idx="2">
                  <c:v>5.3000000001629815</c:v>
                </c:pt>
                <c:pt idx="3">
                  <c:v>7.8166666668257676</c:v>
                </c:pt>
                <c:pt idx="4">
                  <c:v>10.750000000116415</c:v>
                </c:pt>
                <c:pt idx="5">
                  <c:v>13.666666666686069</c:v>
                </c:pt>
                <c:pt idx="6">
                  <c:v>20.233333333453629</c:v>
                </c:pt>
              </c:numCache>
            </c:numRef>
          </c:xVal>
          <c:yVal>
            <c:numRef>
              <c:f>SuppSheet10!$AO$6:$AO$12</c:f>
              <c:numCache>
                <c:formatCode>0.00</c:formatCode>
                <c:ptCount val="7"/>
                <c:pt idx="0">
                  <c:v>0.55448717948717952</c:v>
                </c:pt>
                <c:pt idx="1">
                  <c:v>0.28579726637979069</c:v>
                </c:pt>
                <c:pt idx="2">
                  <c:v>0.2609303471645244</c:v>
                </c:pt>
                <c:pt idx="3">
                  <c:v>0.18999170763876647</c:v>
                </c:pt>
                <c:pt idx="4">
                  <c:v>0.40228072581013757</c:v>
                </c:pt>
                <c:pt idx="5">
                  <c:v>0.23136196144864604</c:v>
                </c:pt>
                <c:pt idx="6">
                  <c:v>7.0835573402967505E-2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0-4B27-8628-A1A7D3C7F1B5}"/>
            </c:ext>
          </c:extLst>
        </c:ser>
        <c:ser>
          <c:idx val="1"/>
          <c:order val="1"/>
          <c:tx>
            <c:v>403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SuppSheet10!$AU$6:$AU$12</c:f>
                <c:numCache>
                  <c:formatCode>General</c:formatCode>
                  <c:ptCount val="7"/>
                  <c:pt idx="0">
                    <c:v>9.4863131967620126E-3</c:v>
                  </c:pt>
                  <c:pt idx="1">
                    <c:v>8.6477982461629119E-2</c:v>
                  </c:pt>
                  <c:pt idx="2">
                    <c:v>1.5195007914271955E-2</c:v>
                  </c:pt>
                  <c:pt idx="3">
                    <c:v>7.5795541788399562E-2</c:v>
                  </c:pt>
                  <c:pt idx="4">
                    <c:v>0.11223109655708809</c:v>
                  </c:pt>
                  <c:pt idx="5">
                    <c:v>0.12538373808715234</c:v>
                  </c:pt>
                  <c:pt idx="6">
                    <c:v>0.12918845800661244</c:v>
                  </c:pt>
                </c:numCache>
              </c:numRef>
            </c:plus>
            <c:minus>
              <c:numRef>
                <c:f>SuppSheet10!$AU$6:$AU$12</c:f>
                <c:numCache>
                  <c:formatCode>General</c:formatCode>
                  <c:ptCount val="7"/>
                  <c:pt idx="0">
                    <c:v>9.4863131967620126E-3</c:v>
                  </c:pt>
                  <c:pt idx="1">
                    <c:v>8.6477982461629119E-2</c:v>
                  </c:pt>
                  <c:pt idx="2">
                    <c:v>1.5195007914271955E-2</c:v>
                  </c:pt>
                  <c:pt idx="3">
                    <c:v>7.5795541788399562E-2</c:v>
                  </c:pt>
                  <c:pt idx="4">
                    <c:v>0.11223109655708809</c:v>
                  </c:pt>
                  <c:pt idx="5">
                    <c:v>0.12538373808715234</c:v>
                  </c:pt>
                  <c:pt idx="6">
                    <c:v>0.12918845800661244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SuppSheet10!$C$6:$C$12</c:f>
              <c:numCache>
                <c:formatCode>0.0</c:formatCode>
                <c:ptCount val="7"/>
                <c:pt idx="0">
                  <c:v>0</c:v>
                </c:pt>
                <c:pt idx="1">
                  <c:v>2.7500000000582077</c:v>
                </c:pt>
                <c:pt idx="2">
                  <c:v>5.3000000001629815</c:v>
                </c:pt>
                <c:pt idx="3">
                  <c:v>7.8166666668257676</c:v>
                </c:pt>
                <c:pt idx="4">
                  <c:v>10.750000000116415</c:v>
                </c:pt>
                <c:pt idx="5">
                  <c:v>13.666666666686069</c:v>
                </c:pt>
                <c:pt idx="6">
                  <c:v>20.233333333453629</c:v>
                </c:pt>
              </c:numCache>
            </c:numRef>
          </c:xVal>
          <c:yVal>
            <c:numRef>
              <c:f>SuppSheet10!$AT$6:$AT$12</c:f>
              <c:numCache>
                <c:formatCode>0.00</c:formatCode>
                <c:ptCount val="7"/>
                <c:pt idx="0">
                  <c:v>0.44551282051282048</c:v>
                </c:pt>
                <c:pt idx="1">
                  <c:v>0.71420273362020936</c:v>
                </c:pt>
                <c:pt idx="2">
                  <c:v>0.73906965283547565</c:v>
                </c:pt>
                <c:pt idx="3">
                  <c:v>0.81000829236123362</c:v>
                </c:pt>
                <c:pt idx="4">
                  <c:v>0.59771927418986237</c:v>
                </c:pt>
                <c:pt idx="5">
                  <c:v>0.76863803855135393</c:v>
                </c:pt>
                <c:pt idx="6">
                  <c:v>0.92916442659703247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0-4B27-8628-A1A7D3C7F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49304"/>
        <c:axId val="519154224"/>
      </c:scatterChart>
      <c:valAx>
        <c:axId val="51914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4224"/>
        <c:crosses val="autoZero"/>
        <c:crossBetween val="midCat"/>
      </c:valAx>
      <c:valAx>
        <c:axId val="5191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4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SuppSheet10!$C$6:$C$13</c:f>
              <c:numCache>
                <c:formatCode>0.0</c:formatCode>
                <c:ptCount val="8"/>
                <c:pt idx="0">
                  <c:v>0</c:v>
                </c:pt>
                <c:pt idx="1">
                  <c:v>2.7500000000582077</c:v>
                </c:pt>
                <c:pt idx="2">
                  <c:v>5.3000000001629815</c:v>
                </c:pt>
                <c:pt idx="3">
                  <c:v>7.8166666668257676</c:v>
                </c:pt>
                <c:pt idx="4">
                  <c:v>10.750000000116415</c:v>
                </c:pt>
                <c:pt idx="5">
                  <c:v>13.666666666686069</c:v>
                </c:pt>
                <c:pt idx="6">
                  <c:v>20.233333333453629</c:v>
                </c:pt>
                <c:pt idx="7">
                  <c:v>28.566666666709352</c:v>
                </c:pt>
              </c:numCache>
            </c:numRef>
          </c:xVal>
          <c:yVal>
            <c:numRef>
              <c:f>SuppSheet10!$D$6:$D$13</c:f>
              <c:numCache>
                <c:formatCode>0.000</c:formatCode>
                <c:ptCount val="8"/>
                <c:pt idx="0">
                  <c:v>3.5000000000000003E-2</c:v>
                </c:pt>
                <c:pt idx="1">
                  <c:v>6.7000000000000004E-2</c:v>
                </c:pt>
                <c:pt idx="2">
                  <c:v>0.112</c:v>
                </c:pt>
                <c:pt idx="3">
                  <c:v>0.16</c:v>
                </c:pt>
                <c:pt idx="4">
                  <c:v>0.249</c:v>
                </c:pt>
                <c:pt idx="5">
                  <c:v>0.28399999999999997</c:v>
                </c:pt>
                <c:pt idx="6">
                  <c:v>0.312</c:v>
                </c:pt>
                <c:pt idx="7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8-48D2-B8BF-CC6442A1F8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SuppSheet10!$C$6:$C$13</c:f>
              <c:numCache>
                <c:formatCode>0.0</c:formatCode>
                <c:ptCount val="8"/>
                <c:pt idx="0">
                  <c:v>0</c:v>
                </c:pt>
                <c:pt idx="1">
                  <c:v>2.7500000000582077</c:v>
                </c:pt>
                <c:pt idx="2">
                  <c:v>5.3000000001629815</c:v>
                </c:pt>
                <c:pt idx="3">
                  <c:v>7.8166666668257676</c:v>
                </c:pt>
                <c:pt idx="4">
                  <c:v>10.750000000116415</c:v>
                </c:pt>
                <c:pt idx="5">
                  <c:v>13.666666666686069</c:v>
                </c:pt>
                <c:pt idx="6">
                  <c:v>20.233333333453629</c:v>
                </c:pt>
                <c:pt idx="7">
                  <c:v>28.566666666709352</c:v>
                </c:pt>
              </c:numCache>
            </c:numRef>
          </c:xVal>
          <c:yVal>
            <c:numRef>
              <c:f>SuppSheet10!$E$6:$E$13</c:f>
              <c:numCache>
                <c:formatCode>0.000</c:formatCode>
                <c:ptCount val="8"/>
                <c:pt idx="0">
                  <c:v>3.6999999999999998E-2</c:v>
                </c:pt>
                <c:pt idx="1">
                  <c:v>6.9000000000000006E-2</c:v>
                </c:pt>
                <c:pt idx="2">
                  <c:v>0.114</c:v>
                </c:pt>
                <c:pt idx="3">
                  <c:v>0.16200000000000001</c:v>
                </c:pt>
                <c:pt idx="4">
                  <c:v>0.249</c:v>
                </c:pt>
                <c:pt idx="5">
                  <c:v>0.28100000000000003</c:v>
                </c:pt>
                <c:pt idx="6">
                  <c:v>0.31</c:v>
                </c:pt>
                <c:pt idx="7">
                  <c:v>0.312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8-48D2-B8BF-CC6442A1F85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SuppSheet10!$C$6:$C$13</c:f>
              <c:numCache>
                <c:formatCode>0.0</c:formatCode>
                <c:ptCount val="8"/>
                <c:pt idx="0">
                  <c:v>0</c:v>
                </c:pt>
                <c:pt idx="1">
                  <c:v>2.7500000000582077</c:v>
                </c:pt>
                <c:pt idx="2">
                  <c:v>5.3000000001629815</c:v>
                </c:pt>
                <c:pt idx="3">
                  <c:v>7.8166666668257676</c:v>
                </c:pt>
                <c:pt idx="4">
                  <c:v>10.750000000116415</c:v>
                </c:pt>
                <c:pt idx="5">
                  <c:v>13.666666666686069</c:v>
                </c:pt>
                <c:pt idx="6">
                  <c:v>20.233333333453629</c:v>
                </c:pt>
                <c:pt idx="7">
                  <c:v>28.566666666709352</c:v>
                </c:pt>
              </c:numCache>
            </c:numRef>
          </c:xVal>
          <c:yVal>
            <c:numRef>
              <c:f>SuppSheet10!$F$6:$F$13</c:f>
              <c:numCache>
                <c:formatCode>0.000</c:formatCode>
                <c:ptCount val="8"/>
                <c:pt idx="0">
                  <c:v>3.9E-2</c:v>
                </c:pt>
                <c:pt idx="1">
                  <c:v>7.8E-2</c:v>
                </c:pt>
                <c:pt idx="2">
                  <c:v>0.14099999999999999</c:v>
                </c:pt>
                <c:pt idx="3">
                  <c:v>0.219</c:v>
                </c:pt>
                <c:pt idx="4">
                  <c:v>0.27</c:v>
                </c:pt>
                <c:pt idx="5">
                  <c:v>0.28599999999999998</c:v>
                </c:pt>
                <c:pt idx="6">
                  <c:v>0.28999999999999998</c:v>
                </c:pt>
                <c:pt idx="7">
                  <c:v>0.28499999999999998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48-48D2-B8BF-CC6442A1F85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SuppSheet10!$C$6:$C$13</c:f>
              <c:numCache>
                <c:formatCode>0.0</c:formatCode>
                <c:ptCount val="8"/>
                <c:pt idx="0">
                  <c:v>0</c:v>
                </c:pt>
                <c:pt idx="1">
                  <c:v>2.7500000000582077</c:v>
                </c:pt>
                <c:pt idx="2">
                  <c:v>5.3000000001629815</c:v>
                </c:pt>
                <c:pt idx="3">
                  <c:v>7.8166666668257676</c:v>
                </c:pt>
                <c:pt idx="4">
                  <c:v>10.750000000116415</c:v>
                </c:pt>
                <c:pt idx="5">
                  <c:v>13.666666666686069</c:v>
                </c:pt>
                <c:pt idx="6">
                  <c:v>20.233333333453629</c:v>
                </c:pt>
                <c:pt idx="7">
                  <c:v>28.566666666709352</c:v>
                </c:pt>
              </c:numCache>
            </c:numRef>
          </c:xVal>
          <c:yVal>
            <c:numRef>
              <c:f>SuppSheet10!$G$6:$G$13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48-48D2-B8BF-CC6442A1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63952"/>
        <c:axId val="863164512"/>
      </c:scatterChart>
      <c:valAx>
        <c:axId val="8631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64512"/>
        <c:crosses val="autoZero"/>
        <c:crossBetween val="midCat"/>
      </c:valAx>
      <c:valAx>
        <c:axId val="8631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6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inhibition at pH6.9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384644694459101"/>
          <c:y val="6.6611205357543599E-2"/>
          <c:w val="0.80241280429046702"/>
          <c:h val="0.72309122629489697"/>
        </c:manualLayout>
      </c:layout>
      <c:scatterChart>
        <c:scatterStyle val="lineMarker"/>
        <c:varyColors val="0"/>
        <c:ser>
          <c:idx val="1"/>
          <c:order val="0"/>
          <c:tx>
            <c:v>307G100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[1]Data!$AG$28:$AG$37</c:f>
                <c:numCache>
                  <c:formatCode>General</c:formatCode>
                  <c:ptCount val="10"/>
                  <c:pt idx="0">
                    <c:v>4.0000000000000001E-3</c:v>
                  </c:pt>
                  <c:pt idx="1">
                    <c:v>0</c:v>
                  </c:pt>
                  <c:pt idx="2">
                    <c:v>8.9999999999999993E-3</c:v>
                  </c:pt>
                  <c:pt idx="3">
                    <c:v>8.0000000000000002E-3</c:v>
                  </c:pt>
                  <c:pt idx="4">
                    <c:v>5.0000000000000001E-3</c:v>
                  </c:pt>
                  <c:pt idx="5">
                    <c:v>3.0000000000000001E-3</c:v>
                  </c:pt>
                  <c:pt idx="6">
                    <c:v>0.01</c:v>
                  </c:pt>
                  <c:pt idx="7">
                    <c:v>2E-3</c:v>
                  </c:pt>
                  <c:pt idx="8">
                    <c:v>2E-3</c:v>
                  </c:pt>
                  <c:pt idx="9">
                    <c:v>1E-3</c:v>
                  </c:pt>
                </c:numCache>
              </c:numRef>
            </c:plus>
            <c:minus>
              <c:numRef>
                <c:f>[1]Data!$AG$28:$AG$37</c:f>
                <c:numCache>
                  <c:formatCode>General</c:formatCode>
                  <c:ptCount val="10"/>
                  <c:pt idx="0">
                    <c:v>4.0000000000000001E-3</c:v>
                  </c:pt>
                  <c:pt idx="1">
                    <c:v>0</c:v>
                  </c:pt>
                  <c:pt idx="2">
                    <c:v>8.9999999999999993E-3</c:v>
                  </c:pt>
                  <c:pt idx="3">
                    <c:v>8.0000000000000002E-3</c:v>
                  </c:pt>
                  <c:pt idx="4">
                    <c:v>5.0000000000000001E-3</c:v>
                  </c:pt>
                  <c:pt idx="5">
                    <c:v>3.0000000000000001E-3</c:v>
                  </c:pt>
                  <c:pt idx="6">
                    <c:v>0.01</c:v>
                  </c:pt>
                  <c:pt idx="7">
                    <c:v>2E-3</c:v>
                  </c:pt>
                  <c:pt idx="8">
                    <c:v>2E-3</c:v>
                  </c:pt>
                  <c:pt idx="9">
                    <c:v>1E-3</c:v>
                  </c:pt>
                </c:numCache>
              </c:numRef>
            </c:minus>
          </c:errBars>
          <c:xVal>
            <c:numRef>
              <c:f>[1]Data!$AE$28:$AE$37</c:f>
              <c:numCache>
                <c:formatCode>General</c:formatCode>
                <c:ptCount val="10"/>
                <c:pt idx="0">
                  <c:v>0</c:v>
                </c:pt>
                <c:pt idx="1">
                  <c:v>7.0000000000000007E-2</c:v>
                </c:pt>
                <c:pt idx="2">
                  <c:v>0.17499999999999999</c:v>
                </c:pt>
                <c:pt idx="3">
                  <c:v>0.35</c:v>
                </c:pt>
                <c:pt idx="4">
                  <c:v>0.7</c:v>
                </c:pt>
                <c:pt idx="5">
                  <c:v>1.4</c:v>
                </c:pt>
                <c:pt idx="6">
                  <c:v>3.5</c:v>
                </c:pt>
                <c:pt idx="7">
                  <c:v>5.6</c:v>
                </c:pt>
                <c:pt idx="8">
                  <c:v>7</c:v>
                </c:pt>
                <c:pt idx="9">
                  <c:v>10.5</c:v>
                </c:pt>
              </c:numCache>
            </c:numRef>
          </c:xVal>
          <c:yVal>
            <c:numRef>
              <c:f>[1]Data!$AF$28:$AF$37</c:f>
              <c:numCache>
                <c:formatCode>General</c:formatCode>
                <c:ptCount val="10"/>
                <c:pt idx="0">
                  <c:v>0.74099999999999999</c:v>
                </c:pt>
                <c:pt idx="1">
                  <c:v>0.73599999999999999</c:v>
                </c:pt>
                <c:pt idx="2">
                  <c:v>0.71099999999999997</c:v>
                </c:pt>
                <c:pt idx="3">
                  <c:v>0.59499999999999997</c:v>
                </c:pt>
                <c:pt idx="4">
                  <c:v>0.55200000000000005</c:v>
                </c:pt>
                <c:pt idx="5">
                  <c:v>0.59</c:v>
                </c:pt>
                <c:pt idx="6">
                  <c:v>0.35799999999999998</c:v>
                </c:pt>
                <c:pt idx="7">
                  <c:v>0.13600000000000001</c:v>
                </c:pt>
                <c:pt idx="8">
                  <c:v>9.6000000000000002E-2</c:v>
                </c:pt>
                <c:pt idx="9">
                  <c:v>7.2999999999999995E-2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8-4724-A0FE-C73498C4FA92}"/>
            </c:ext>
          </c:extLst>
        </c:ser>
        <c:ser>
          <c:idx val="2"/>
          <c:order val="1"/>
          <c:tx>
            <c:v>WT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00B05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[1]Data!$AG$17:$AG$24</c:f>
                <c:numCache>
                  <c:formatCode>General</c:formatCode>
                  <c:ptCount val="8"/>
                  <c:pt idx="0">
                    <c:v>4.1867847647886914E-3</c:v>
                  </c:pt>
                  <c:pt idx="1">
                    <c:v>9.3541434669348715E-3</c:v>
                  </c:pt>
                  <c:pt idx="2">
                    <c:v>7.6216249361055911E-3</c:v>
                  </c:pt>
                  <c:pt idx="3">
                    <c:v>1.6881745565353514E-2</c:v>
                  </c:pt>
                  <c:pt idx="4">
                    <c:v>1.4719601443879758E-3</c:v>
                  </c:pt>
                  <c:pt idx="5">
                    <c:v>1.9362764954072909E-3</c:v>
                  </c:pt>
                  <c:pt idx="6">
                    <c:v>1.4885675440951022E-3</c:v>
                  </c:pt>
                  <c:pt idx="7">
                    <c:v>9.3364429343657483E-3</c:v>
                  </c:pt>
                </c:numCache>
              </c:numRef>
            </c:plus>
            <c:minus>
              <c:numRef>
                <c:f>[1]Data!$AG$17:$AG$24</c:f>
                <c:numCache>
                  <c:formatCode>General</c:formatCode>
                  <c:ptCount val="8"/>
                  <c:pt idx="0">
                    <c:v>4.1867847647886914E-3</c:v>
                  </c:pt>
                  <c:pt idx="1">
                    <c:v>9.3541434669348715E-3</c:v>
                  </c:pt>
                  <c:pt idx="2">
                    <c:v>7.6216249361055911E-3</c:v>
                  </c:pt>
                  <c:pt idx="3">
                    <c:v>1.6881745565353514E-2</c:v>
                  </c:pt>
                  <c:pt idx="4">
                    <c:v>1.4719601443879758E-3</c:v>
                  </c:pt>
                  <c:pt idx="5">
                    <c:v>1.9362764954072909E-3</c:v>
                  </c:pt>
                  <c:pt idx="6">
                    <c:v>1.4885675440951022E-3</c:v>
                  </c:pt>
                  <c:pt idx="7">
                    <c:v>9.3364429343657483E-3</c:v>
                  </c:pt>
                </c:numCache>
              </c:numRef>
            </c:minus>
          </c:errBars>
          <c:xVal>
            <c:numRef>
              <c:f>[1]Data!$AE$17:$AE$24</c:f>
              <c:numCache>
                <c:formatCode>General</c:formatCode>
                <c:ptCount val="8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0.35</c:v>
                </c:pt>
                <c:pt idx="4">
                  <c:v>0.7</c:v>
                </c:pt>
                <c:pt idx="5">
                  <c:v>1.4</c:v>
                </c:pt>
                <c:pt idx="6">
                  <c:v>3.5</c:v>
                </c:pt>
                <c:pt idx="7">
                  <c:v>7</c:v>
                </c:pt>
              </c:numCache>
            </c:numRef>
          </c:xVal>
          <c:yVal>
            <c:numRef>
              <c:f>[1]Data!$AF$17:$AF$24</c:f>
              <c:numCache>
                <c:formatCode>General</c:formatCode>
                <c:ptCount val="8"/>
                <c:pt idx="0">
                  <c:v>0.549925</c:v>
                </c:pt>
                <c:pt idx="1">
                  <c:v>0.52580000000000005</c:v>
                </c:pt>
                <c:pt idx="2">
                  <c:v>0.55317500000000008</c:v>
                </c:pt>
                <c:pt idx="3">
                  <c:v>0.5554</c:v>
                </c:pt>
                <c:pt idx="4">
                  <c:v>0.45129999999999998</c:v>
                </c:pt>
                <c:pt idx="5">
                  <c:v>0.41197499999999998</c:v>
                </c:pt>
                <c:pt idx="6">
                  <c:v>0.22867499999999999</c:v>
                </c:pt>
                <c:pt idx="7">
                  <c:v>8.0074999999999993E-2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8-4724-A0FE-C73498C4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99744"/>
        <c:axId val="547200320"/>
      </c:scatterChart>
      <c:valAx>
        <c:axId val="54719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 Concentration (g/L)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200320"/>
        <c:crosses val="autoZero"/>
        <c:crossBetween val="midCat"/>
      </c:valAx>
      <c:valAx>
        <c:axId val="547200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Avg Mu (1/h)</a:t>
                </a:r>
              </a:p>
              <a:p>
                <a:pPr>
                  <a:defRPr b="1"/>
                </a:pPr>
                <a:endParaRPr lang="en-US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199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589586921427795"/>
          <c:y val="0.30751359014659402"/>
          <c:w val="0.23288998253973101"/>
          <c:h val="0.308479394683584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SuppSheet11!$C$6:$C$13</c:f>
              <c:numCache>
                <c:formatCode>0.0</c:formatCode>
                <c:ptCount val="8"/>
                <c:pt idx="0">
                  <c:v>0</c:v>
                </c:pt>
                <c:pt idx="1">
                  <c:v>2.7333333333372138</c:v>
                </c:pt>
                <c:pt idx="2">
                  <c:v>5.53333333338378</c:v>
                </c:pt>
                <c:pt idx="3">
                  <c:v>8.4499999999534339</c:v>
                </c:pt>
                <c:pt idx="4">
                  <c:v>11.25</c:v>
                </c:pt>
                <c:pt idx="5">
                  <c:v>14.066666666592937</c:v>
                </c:pt>
                <c:pt idx="6">
                  <c:v>21.133333333244082</c:v>
                </c:pt>
                <c:pt idx="7">
                  <c:v>27.916666666686069</c:v>
                </c:pt>
              </c:numCache>
            </c:numRef>
          </c:xVal>
          <c:yVal>
            <c:numRef>
              <c:f>SuppSheet11!$D$6:$D$13</c:f>
              <c:numCache>
                <c:formatCode>0.000</c:formatCode>
                <c:ptCount val="8"/>
                <c:pt idx="0">
                  <c:v>4.1000000000000002E-2</c:v>
                </c:pt>
                <c:pt idx="1">
                  <c:v>0.08</c:v>
                </c:pt>
                <c:pt idx="2">
                  <c:v>0.156</c:v>
                </c:pt>
                <c:pt idx="3">
                  <c:v>0.32400000000000001</c:v>
                </c:pt>
                <c:pt idx="4">
                  <c:v>0.5</c:v>
                </c:pt>
                <c:pt idx="5">
                  <c:v>0.52800000000000002</c:v>
                </c:pt>
                <c:pt idx="6">
                  <c:v>0.54400000000000004</c:v>
                </c:pt>
                <c:pt idx="7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B-4DEF-B171-A85759360F9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SuppSheet11!$C$6:$C$13</c:f>
              <c:numCache>
                <c:formatCode>0.0</c:formatCode>
                <c:ptCount val="8"/>
                <c:pt idx="0">
                  <c:v>0</c:v>
                </c:pt>
                <c:pt idx="1">
                  <c:v>2.7333333333372138</c:v>
                </c:pt>
                <c:pt idx="2">
                  <c:v>5.53333333338378</c:v>
                </c:pt>
                <c:pt idx="3">
                  <c:v>8.4499999999534339</c:v>
                </c:pt>
                <c:pt idx="4">
                  <c:v>11.25</c:v>
                </c:pt>
                <c:pt idx="5">
                  <c:v>14.066666666592937</c:v>
                </c:pt>
                <c:pt idx="6">
                  <c:v>21.133333333244082</c:v>
                </c:pt>
                <c:pt idx="7">
                  <c:v>27.916666666686069</c:v>
                </c:pt>
              </c:numCache>
            </c:numRef>
          </c:xVal>
          <c:yVal>
            <c:numRef>
              <c:f>SuppSheet11!$E$6:$E$13</c:f>
              <c:numCache>
                <c:formatCode>0.000</c:formatCode>
                <c:ptCount val="8"/>
                <c:pt idx="0">
                  <c:v>4.1000000000000002E-2</c:v>
                </c:pt>
                <c:pt idx="1">
                  <c:v>0.08</c:v>
                </c:pt>
                <c:pt idx="2">
                  <c:v>0.156</c:v>
                </c:pt>
                <c:pt idx="3">
                  <c:v>0.27200000000000002</c:v>
                </c:pt>
                <c:pt idx="4">
                  <c:v>0.48599999999999999</c:v>
                </c:pt>
                <c:pt idx="5">
                  <c:v>0.53699999999999992</c:v>
                </c:pt>
                <c:pt idx="6">
                  <c:v>0.58499999999999996</c:v>
                </c:pt>
                <c:pt idx="7">
                  <c:v>0.58499999999999996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B-4DEF-B171-A85759360F9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SuppSheet11!$C$6:$C$13</c:f>
              <c:numCache>
                <c:formatCode>0.0</c:formatCode>
                <c:ptCount val="8"/>
                <c:pt idx="0">
                  <c:v>0</c:v>
                </c:pt>
                <c:pt idx="1">
                  <c:v>2.7333333333372138</c:v>
                </c:pt>
                <c:pt idx="2">
                  <c:v>5.53333333338378</c:v>
                </c:pt>
                <c:pt idx="3">
                  <c:v>8.4499999999534339</c:v>
                </c:pt>
                <c:pt idx="4">
                  <c:v>11.25</c:v>
                </c:pt>
                <c:pt idx="5">
                  <c:v>14.066666666592937</c:v>
                </c:pt>
                <c:pt idx="6">
                  <c:v>21.133333333244082</c:v>
                </c:pt>
                <c:pt idx="7">
                  <c:v>27.916666666686069</c:v>
                </c:pt>
              </c:numCache>
            </c:numRef>
          </c:xVal>
          <c:yVal>
            <c:numRef>
              <c:f>SuppSheet11!$F$6:$F$13</c:f>
              <c:numCache>
                <c:formatCode>0.000</c:formatCode>
                <c:ptCount val="8"/>
                <c:pt idx="0">
                  <c:v>4.2000000000000003E-2</c:v>
                </c:pt>
                <c:pt idx="1">
                  <c:v>8.1000000000000003E-2</c:v>
                </c:pt>
                <c:pt idx="2">
                  <c:v>0.158</c:v>
                </c:pt>
                <c:pt idx="3">
                  <c:v>0.27600000000000002</c:v>
                </c:pt>
                <c:pt idx="4">
                  <c:v>0.49199999999999999</c:v>
                </c:pt>
                <c:pt idx="5">
                  <c:v>0.55200000000000005</c:v>
                </c:pt>
                <c:pt idx="6">
                  <c:v>0.58200000000000007</c:v>
                </c:pt>
                <c:pt idx="7">
                  <c:v>0.57899999999999996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0B-4DEF-B171-A8575936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852912"/>
        <c:axId val="862853472"/>
      </c:scatterChart>
      <c:valAx>
        <c:axId val="86285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853472"/>
        <c:crosses val="autoZero"/>
        <c:crossBetween val="midCat"/>
      </c:valAx>
      <c:valAx>
        <c:axId val="862853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85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SuppSheet11!$C$6:$C$13</c:f>
              <c:numCache>
                <c:formatCode>0.0</c:formatCode>
                <c:ptCount val="8"/>
                <c:pt idx="0">
                  <c:v>0</c:v>
                </c:pt>
                <c:pt idx="1">
                  <c:v>2.7333333333372138</c:v>
                </c:pt>
                <c:pt idx="2">
                  <c:v>5.53333333338378</c:v>
                </c:pt>
                <c:pt idx="3">
                  <c:v>8.4499999999534339</c:v>
                </c:pt>
                <c:pt idx="4">
                  <c:v>11.25</c:v>
                </c:pt>
                <c:pt idx="5">
                  <c:v>14.066666666592937</c:v>
                </c:pt>
                <c:pt idx="6">
                  <c:v>21.133333333244082</c:v>
                </c:pt>
                <c:pt idx="7">
                  <c:v>27.916666666686069</c:v>
                </c:pt>
              </c:numCache>
            </c:numRef>
          </c:xVal>
          <c:yVal>
            <c:numRef>
              <c:f>SuppSheet11!$J$6:$J$13</c:f>
              <c:numCache>
                <c:formatCode>0.00</c:formatCode>
                <c:ptCount val="8"/>
                <c:pt idx="0">
                  <c:v>6.48</c:v>
                </c:pt>
                <c:pt idx="1">
                  <c:v>6.23</c:v>
                </c:pt>
                <c:pt idx="2">
                  <c:v>5.62</c:v>
                </c:pt>
                <c:pt idx="3">
                  <c:v>4.53</c:v>
                </c:pt>
                <c:pt idx="4">
                  <c:v>4.1500000000000004</c:v>
                </c:pt>
                <c:pt idx="5">
                  <c:v>4.0599999999999996</c:v>
                </c:pt>
                <c:pt idx="6">
                  <c:v>4.03</c:v>
                </c:pt>
                <c:pt idx="7">
                  <c:v>4.0199999999999996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4-4A73-A44C-88CE9165EC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SuppSheet11!$C$6:$C$13</c:f>
              <c:numCache>
                <c:formatCode>0.0</c:formatCode>
                <c:ptCount val="8"/>
                <c:pt idx="0">
                  <c:v>0</c:v>
                </c:pt>
                <c:pt idx="1">
                  <c:v>2.7333333333372138</c:v>
                </c:pt>
                <c:pt idx="2">
                  <c:v>5.53333333338378</c:v>
                </c:pt>
                <c:pt idx="3">
                  <c:v>8.4499999999534339</c:v>
                </c:pt>
                <c:pt idx="4">
                  <c:v>11.25</c:v>
                </c:pt>
                <c:pt idx="5">
                  <c:v>14.066666666592937</c:v>
                </c:pt>
                <c:pt idx="6">
                  <c:v>21.133333333244082</c:v>
                </c:pt>
                <c:pt idx="7">
                  <c:v>27.916666666686069</c:v>
                </c:pt>
              </c:numCache>
            </c:numRef>
          </c:xVal>
          <c:yVal>
            <c:numRef>
              <c:f>SuppSheet11!$K$6:$K$13</c:f>
              <c:numCache>
                <c:formatCode>0.00</c:formatCode>
                <c:ptCount val="8"/>
                <c:pt idx="0">
                  <c:v>6.48</c:v>
                </c:pt>
                <c:pt idx="1">
                  <c:v>6.21</c:v>
                </c:pt>
                <c:pt idx="2">
                  <c:v>5.48</c:v>
                </c:pt>
                <c:pt idx="3">
                  <c:v>4.46</c:v>
                </c:pt>
                <c:pt idx="4">
                  <c:v>4.1500000000000004</c:v>
                </c:pt>
                <c:pt idx="5">
                  <c:v>4.03</c:v>
                </c:pt>
                <c:pt idx="6">
                  <c:v>3.99</c:v>
                </c:pt>
                <c:pt idx="7">
                  <c:v>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24-4A73-A44C-88CE9165EC1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SuppSheet11!$C$6:$C$13</c:f>
              <c:numCache>
                <c:formatCode>0.0</c:formatCode>
                <c:ptCount val="8"/>
                <c:pt idx="0">
                  <c:v>0</c:v>
                </c:pt>
                <c:pt idx="1">
                  <c:v>2.7333333333372138</c:v>
                </c:pt>
                <c:pt idx="2">
                  <c:v>5.53333333338378</c:v>
                </c:pt>
                <c:pt idx="3">
                  <c:v>8.4499999999534339</c:v>
                </c:pt>
                <c:pt idx="4">
                  <c:v>11.25</c:v>
                </c:pt>
                <c:pt idx="5">
                  <c:v>14.066666666592937</c:v>
                </c:pt>
                <c:pt idx="6">
                  <c:v>21.133333333244082</c:v>
                </c:pt>
                <c:pt idx="7">
                  <c:v>27.916666666686069</c:v>
                </c:pt>
              </c:numCache>
            </c:numRef>
          </c:xVal>
          <c:yVal>
            <c:numRef>
              <c:f>SuppSheet11!$L$6:$L$13</c:f>
              <c:numCache>
                <c:formatCode>0.00</c:formatCode>
                <c:ptCount val="8"/>
                <c:pt idx="0">
                  <c:v>6.48</c:v>
                </c:pt>
                <c:pt idx="1">
                  <c:v>6.21</c:v>
                </c:pt>
                <c:pt idx="2">
                  <c:v>5.46</c:v>
                </c:pt>
                <c:pt idx="3">
                  <c:v>4.45</c:v>
                </c:pt>
                <c:pt idx="4">
                  <c:v>4.13</c:v>
                </c:pt>
                <c:pt idx="5">
                  <c:v>4</c:v>
                </c:pt>
                <c:pt idx="6">
                  <c:v>3.96</c:v>
                </c:pt>
                <c:pt idx="7">
                  <c:v>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24-4A73-A44C-88CE9165EC1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SuppSheet11!$C$6:$C$13</c:f>
              <c:numCache>
                <c:formatCode>0.0</c:formatCode>
                <c:ptCount val="8"/>
                <c:pt idx="0">
                  <c:v>0</c:v>
                </c:pt>
                <c:pt idx="1">
                  <c:v>2.7333333333372138</c:v>
                </c:pt>
                <c:pt idx="2">
                  <c:v>5.53333333338378</c:v>
                </c:pt>
                <c:pt idx="3">
                  <c:v>8.4499999999534339</c:v>
                </c:pt>
                <c:pt idx="4">
                  <c:v>11.25</c:v>
                </c:pt>
                <c:pt idx="5">
                  <c:v>14.066666666592937</c:v>
                </c:pt>
                <c:pt idx="6">
                  <c:v>21.133333333244082</c:v>
                </c:pt>
                <c:pt idx="7">
                  <c:v>27.916666666686069</c:v>
                </c:pt>
              </c:numCache>
            </c:numRef>
          </c:xVal>
          <c:yVal>
            <c:numRef>
              <c:f>SuppSheet11!$M$6:$M$13</c:f>
              <c:numCache>
                <c:formatCode>0.00</c:formatCode>
                <c:ptCount val="8"/>
                <c:pt idx="0">
                  <c:v>6.51</c:v>
                </c:pt>
                <c:pt idx="1">
                  <c:v>6.5</c:v>
                </c:pt>
                <c:pt idx="2">
                  <c:v>6.49</c:v>
                </c:pt>
                <c:pt idx="3">
                  <c:v>6.5</c:v>
                </c:pt>
                <c:pt idx="4">
                  <c:v>6.48</c:v>
                </c:pt>
                <c:pt idx="5">
                  <c:v>6.48</c:v>
                </c:pt>
                <c:pt idx="6">
                  <c:v>6.48</c:v>
                </c:pt>
                <c:pt idx="7">
                  <c:v>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24-4A73-A44C-88CE9165E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848432"/>
        <c:axId val="862848992"/>
      </c:scatterChart>
      <c:valAx>
        <c:axId val="86284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848992"/>
        <c:crosses val="autoZero"/>
        <c:crossBetween val="midCat"/>
      </c:valAx>
      <c:valAx>
        <c:axId val="8628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84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ECOM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SuppSheet11!$AP$6:$AP$11</c:f>
                <c:numCache>
                  <c:formatCode>General</c:formatCode>
                  <c:ptCount val="6"/>
                  <c:pt idx="0">
                    <c:v>0.32576106940171634</c:v>
                  </c:pt>
                  <c:pt idx="1">
                    <c:v>0.17402753933915002</c:v>
                  </c:pt>
                  <c:pt idx="2">
                    <c:v>2.1201792166975649E-2</c:v>
                  </c:pt>
                  <c:pt idx="3">
                    <c:v>0.22184499019874232</c:v>
                  </c:pt>
                  <c:pt idx="4">
                    <c:v>0.11626921550955183</c:v>
                  </c:pt>
                  <c:pt idx="5">
                    <c:v>2.7058526083402774E-2</c:v>
                  </c:pt>
                </c:numCache>
              </c:numRef>
            </c:plus>
            <c:minus>
              <c:numRef>
                <c:f>SuppSheet11!$AP$6:$AP$11</c:f>
                <c:numCache>
                  <c:formatCode>General</c:formatCode>
                  <c:ptCount val="6"/>
                  <c:pt idx="0">
                    <c:v>0.32576106940171634</c:v>
                  </c:pt>
                  <c:pt idx="1">
                    <c:v>0.17402753933915002</c:v>
                  </c:pt>
                  <c:pt idx="2">
                    <c:v>2.1201792166975649E-2</c:v>
                  </c:pt>
                  <c:pt idx="3">
                    <c:v>0.22184499019874232</c:v>
                  </c:pt>
                  <c:pt idx="4">
                    <c:v>0.11626921550955183</c:v>
                  </c:pt>
                  <c:pt idx="5">
                    <c:v>2.7058526083402774E-2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SuppSheet11!$C$6:$C$11</c:f>
              <c:numCache>
                <c:formatCode>0.0</c:formatCode>
                <c:ptCount val="6"/>
                <c:pt idx="0">
                  <c:v>0</c:v>
                </c:pt>
                <c:pt idx="1">
                  <c:v>2.7333333333372138</c:v>
                </c:pt>
                <c:pt idx="2">
                  <c:v>5.53333333338378</c:v>
                </c:pt>
                <c:pt idx="3">
                  <c:v>8.4499999999534339</c:v>
                </c:pt>
                <c:pt idx="4">
                  <c:v>11.25</c:v>
                </c:pt>
                <c:pt idx="5">
                  <c:v>14.066666666592937</c:v>
                </c:pt>
              </c:numCache>
            </c:numRef>
          </c:xVal>
          <c:yVal>
            <c:numRef>
              <c:f>SuppSheet11!$AO$6:$AO$11</c:f>
              <c:numCache>
                <c:formatCode>0.00</c:formatCode>
                <c:ptCount val="6"/>
                <c:pt idx="0">
                  <c:v>0.10051114462879168</c:v>
                </c:pt>
                <c:pt idx="1">
                  <c:v>0.13800131430815007</c:v>
                </c:pt>
                <c:pt idx="2">
                  <c:v>0.15643435173446288</c:v>
                </c:pt>
                <c:pt idx="3">
                  <c:v>-0.25189325948339231</c:v>
                </c:pt>
                <c:pt idx="4">
                  <c:v>-0.12784090909090909</c:v>
                </c:pt>
                <c:pt idx="5">
                  <c:v>4.0488026330722959E-2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9-4519-A31B-4E629988A025}"/>
            </c:ext>
          </c:extLst>
        </c:ser>
        <c:ser>
          <c:idx val="1"/>
          <c:order val="1"/>
          <c:tx>
            <c:v>403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SuppSheet11!$AU$6:$AU$11</c:f>
                <c:numCache>
                  <c:formatCode>General</c:formatCode>
                  <c:ptCount val="6"/>
                  <c:pt idx="0">
                    <c:v>0.32576106940171634</c:v>
                  </c:pt>
                  <c:pt idx="1">
                    <c:v>0.17402753933914977</c:v>
                  </c:pt>
                  <c:pt idx="2">
                    <c:v>2.1201792166975271E-2</c:v>
                  </c:pt>
                  <c:pt idx="3">
                    <c:v>0.22184499019874257</c:v>
                  </c:pt>
                  <c:pt idx="4">
                    <c:v>0.11626921550955185</c:v>
                  </c:pt>
                  <c:pt idx="5">
                    <c:v>2.7058526083402749E-2</c:v>
                  </c:pt>
                </c:numCache>
              </c:numRef>
            </c:plus>
            <c:minus>
              <c:numRef>
                <c:f>SuppSheet11!$AU$6:$AU$11</c:f>
                <c:numCache>
                  <c:formatCode>General</c:formatCode>
                  <c:ptCount val="6"/>
                  <c:pt idx="0">
                    <c:v>0.32576106940171634</c:v>
                  </c:pt>
                  <c:pt idx="1">
                    <c:v>0.17402753933914977</c:v>
                  </c:pt>
                  <c:pt idx="2">
                    <c:v>2.1201792166975271E-2</c:v>
                  </c:pt>
                  <c:pt idx="3">
                    <c:v>0.22184499019874257</c:v>
                  </c:pt>
                  <c:pt idx="4">
                    <c:v>0.11626921550955185</c:v>
                  </c:pt>
                  <c:pt idx="5">
                    <c:v>2.7058526083402749E-2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SuppSheet11!$C$6:$C$11</c:f>
              <c:numCache>
                <c:formatCode>0.0</c:formatCode>
                <c:ptCount val="6"/>
                <c:pt idx="0">
                  <c:v>0</c:v>
                </c:pt>
                <c:pt idx="1">
                  <c:v>2.7333333333372138</c:v>
                </c:pt>
                <c:pt idx="2">
                  <c:v>5.53333333338378</c:v>
                </c:pt>
                <c:pt idx="3">
                  <c:v>8.4499999999534339</c:v>
                </c:pt>
                <c:pt idx="4">
                  <c:v>11.25</c:v>
                </c:pt>
                <c:pt idx="5">
                  <c:v>14.066666666592937</c:v>
                </c:pt>
              </c:numCache>
            </c:numRef>
          </c:xVal>
          <c:yVal>
            <c:numRef>
              <c:f>SuppSheet11!$AT$6:$AT$11</c:f>
              <c:numCache>
                <c:formatCode>0.00</c:formatCode>
                <c:ptCount val="6"/>
                <c:pt idx="0">
                  <c:v>0.89948885537120826</c:v>
                </c:pt>
                <c:pt idx="1">
                  <c:v>0.8619986856918499</c:v>
                </c:pt>
                <c:pt idx="2">
                  <c:v>0.84356564826553715</c:v>
                </c:pt>
                <c:pt idx="3">
                  <c:v>1.2518932594833923</c:v>
                </c:pt>
                <c:pt idx="4">
                  <c:v>1.1278409090909092</c:v>
                </c:pt>
                <c:pt idx="5">
                  <c:v>0.9595119736692771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49-4519-A31B-4E629988A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43784"/>
        <c:axId val="499442800"/>
      </c:scatterChart>
      <c:valAx>
        <c:axId val="49944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42800"/>
        <c:crosses val="autoZero"/>
        <c:crossBetween val="midCat"/>
      </c:valAx>
      <c:valAx>
        <c:axId val="4994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4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SuppSheet11!$C$6:$C$13</c:f>
              <c:numCache>
                <c:formatCode>0.0</c:formatCode>
                <c:ptCount val="8"/>
                <c:pt idx="0">
                  <c:v>0</c:v>
                </c:pt>
                <c:pt idx="1">
                  <c:v>2.7333333333372138</c:v>
                </c:pt>
                <c:pt idx="2">
                  <c:v>5.53333333338378</c:v>
                </c:pt>
                <c:pt idx="3">
                  <c:v>8.4499999999534339</c:v>
                </c:pt>
                <c:pt idx="4">
                  <c:v>11.25</c:v>
                </c:pt>
                <c:pt idx="5">
                  <c:v>14.066666666592937</c:v>
                </c:pt>
                <c:pt idx="6">
                  <c:v>21.133333333244082</c:v>
                </c:pt>
                <c:pt idx="7">
                  <c:v>27.916666666686069</c:v>
                </c:pt>
              </c:numCache>
            </c:numRef>
          </c:xVal>
          <c:yVal>
            <c:numRef>
              <c:f>SuppSheet11!$D$6:$D$13</c:f>
              <c:numCache>
                <c:formatCode>0.000</c:formatCode>
                <c:ptCount val="8"/>
                <c:pt idx="0">
                  <c:v>4.1000000000000002E-2</c:v>
                </c:pt>
                <c:pt idx="1">
                  <c:v>0.08</c:v>
                </c:pt>
                <c:pt idx="2">
                  <c:v>0.156</c:v>
                </c:pt>
                <c:pt idx="3">
                  <c:v>0.32400000000000001</c:v>
                </c:pt>
                <c:pt idx="4">
                  <c:v>0.5</c:v>
                </c:pt>
                <c:pt idx="5">
                  <c:v>0.52800000000000002</c:v>
                </c:pt>
                <c:pt idx="6">
                  <c:v>0.54400000000000004</c:v>
                </c:pt>
                <c:pt idx="7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E-4ACC-986F-32FF2557C37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SuppSheet11!$C$6:$C$13</c:f>
              <c:numCache>
                <c:formatCode>0.0</c:formatCode>
                <c:ptCount val="8"/>
                <c:pt idx="0">
                  <c:v>0</c:v>
                </c:pt>
                <c:pt idx="1">
                  <c:v>2.7333333333372138</c:v>
                </c:pt>
                <c:pt idx="2">
                  <c:v>5.53333333338378</c:v>
                </c:pt>
                <c:pt idx="3">
                  <c:v>8.4499999999534339</c:v>
                </c:pt>
                <c:pt idx="4">
                  <c:v>11.25</c:v>
                </c:pt>
                <c:pt idx="5">
                  <c:v>14.066666666592937</c:v>
                </c:pt>
                <c:pt idx="6">
                  <c:v>21.133333333244082</c:v>
                </c:pt>
                <c:pt idx="7">
                  <c:v>27.916666666686069</c:v>
                </c:pt>
              </c:numCache>
            </c:numRef>
          </c:xVal>
          <c:yVal>
            <c:numRef>
              <c:f>SuppSheet11!$E$6:$E$13</c:f>
              <c:numCache>
                <c:formatCode>0.000</c:formatCode>
                <c:ptCount val="8"/>
                <c:pt idx="0">
                  <c:v>4.1000000000000002E-2</c:v>
                </c:pt>
                <c:pt idx="1">
                  <c:v>0.08</c:v>
                </c:pt>
                <c:pt idx="2">
                  <c:v>0.156</c:v>
                </c:pt>
                <c:pt idx="3">
                  <c:v>0.27200000000000002</c:v>
                </c:pt>
                <c:pt idx="4">
                  <c:v>0.48599999999999999</c:v>
                </c:pt>
                <c:pt idx="5">
                  <c:v>0.53699999999999992</c:v>
                </c:pt>
                <c:pt idx="6">
                  <c:v>0.58499999999999996</c:v>
                </c:pt>
                <c:pt idx="7">
                  <c:v>0.58499999999999996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E-4ACC-986F-32FF2557C37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SuppSheet11!$C$6:$C$13</c:f>
              <c:numCache>
                <c:formatCode>0.0</c:formatCode>
                <c:ptCount val="8"/>
                <c:pt idx="0">
                  <c:v>0</c:v>
                </c:pt>
                <c:pt idx="1">
                  <c:v>2.7333333333372138</c:v>
                </c:pt>
                <c:pt idx="2">
                  <c:v>5.53333333338378</c:v>
                </c:pt>
                <c:pt idx="3">
                  <c:v>8.4499999999534339</c:v>
                </c:pt>
                <c:pt idx="4">
                  <c:v>11.25</c:v>
                </c:pt>
                <c:pt idx="5">
                  <c:v>14.066666666592937</c:v>
                </c:pt>
                <c:pt idx="6">
                  <c:v>21.133333333244082</c:v>
                </c:pt>
                <c:pt idx="7">
                  <c:v>27.916666666686069</c:v>
                </c:pt>
              </c:numCache>
            </c:numRef>
          </c:xVal>
          <c:yVal>
            <c:numRef>
              <c:f>SuppSheet11!$F$6:$F$13</c:f>
              <c:numCache>
                <c:formatCode>0.000</c:formatCode>
                <c:ptCount val="8"/>
                <c:pt idx="0">
                  <c:v>4.2000000000000003E-2</c:v>
                </c:pt>
                <c:pt idx="1">
                  <c:v>8.1000000000000003E-2</c:v>
                </c:pt>
                <c:pt idx="2">
                  <c:v>0.158</c:v>
                </c:pt>
                <c:pt idx="3">
                  <c:v>0.27600000000000002</c:v>
                </c:pt>
                <c:pt idx="4">
                  <c:v>0.49199999999999999</c:v>
                </c:pt>
                <c:pt idx="5">
                  <c:v>0.55200000000000005</c:v>
                </c:pt>
                <c:pt idx="6">
                  <c:v>0.58200000000000007</c:v>
                </c:pt>
                <c:pt idx="7">
                  <c:v>0.57899999999999996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E-4ACC-986F-32FF2557C37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SuppSheet11!$C$6:$C$13</c:f>
              <c:numCache>
                <c:formatCode>0.0</c:formatCode>
                <c:ptCount val="8"/>
                <c:pt idx="0">
                  <c:v>0</c:v>
                </c:pt>
                <c:pt idx="1">
                  <c:v>2.7333333333372138</c:v>
                </c:pt>
                <c:pt idx="2">
                  <c:v>5.53333333338378</c:v>
                </c:pt>
                <c:pt idx="3">
                  <c:v>8.4499999999534339</c:v>
                </c:pt>
                <c:pt idx="4">
                  <c:v>11.25</c:v>
                </c:pt>
                <c:pt idx="5">
                  <c:v>14.066666666592937</c:v>
                </c:pt>
                <c:pt idx="6">
                  <c:v>21.133333333244082</c:v>
                </c:pt>
                <c:pt idx="7">
                  <c:v>27.916666666686069</c:v>
                </c:pt>
              </c:numCache>
            </c:numRef>
          </c:xVal>
          <c:yVal>
            <c:numRef>
              <c:f>SuppSheet11!$G$6:$G$13</c:f>
              <c:numCache>
                <c:formatCode>0.000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BE-4ACC-986F-32FF2557C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848432"/>
        <c:axId val="862848992"/>
      </c:scatterChart>
      <c:valAx>
        <c:axId val="86284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848992"/>
        <c:crosses val="autoZero"/>
        <c:crossBetween val="midCat"/>
      </c:valAx>
      <c:valAx>
        <c:axId val="8628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84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SuppSheet12!$C$6:$C$14</c:f>
              <c:numCache>
                <c:formatCode>0.0</c:formatCode>
                <c:ptCount val="9"/>
                <c:pt idx="0">
                  <c:v>0</c:v>
                </c:pt>
                <c:pt idx="1">
                  <c:v>2.7333333333372138</c:v>
                </c:pt>
                <c:pt idx="2">
                  <c:v>5.3333333332557231</c:v>
                </c:pt>
                <c:pt idx="3">
                  <c:v>7.8833333333604969</c:v>
                </c:pt>
                <c:pt idx="4">
                  <c:v>10.766666666662786</c:v>
                </c:pt>
                <c:pt idx="5">
                  <c:v>13.5</c:v>
                </c:pt>
                <c:pt idx="6">
                  <c:v>16.400000000023283</c:v>
                </c:pt>
                <c:pt idx="7">
                  <c:v>21.299999999930151</c:v>
                </c:pt>
                <c:pt idx="8">
                  <c:v>26.499999999941792</c:v>
                </c:pt>
              </c:numCache>
            </c:numRef>
          </c:xVal>
          <c:yVal>
            <c:numRef>
              <c:f>SuppSheet12!$D$6:$D$14</c:f>
              <c:numCache>
                <c:formatCode>0.000</c:formatCode>
                <c:ptCount val="9"/>
                <c:pt idx="0">
                  <c:v>4.1000000000000002E-2</c:v>
                </c:pt>
                <c:pt idx="1">
                  <c:v>8.1000000000000003E-2</c:v>
                </c:pt>
                <c:pt idx="2">
                  <c:v>0.14299999999999999</c:v>
                </c:pt>
                <c:pt idx="3">
                  <c:v>0.25800000000000001</c:v>
                </c:pt>
                <c:pt idx="4">
                  <c:v>0.55400000000000005</c:v>
                </c:pt>
                <c:pt idx="5">
                  <c:v>0.753</c:v>
                </c:pt>
                <c:pt idx="6">
                  <c:v>0.92400000000000004</c:v>
                </c:pt>
                <c:pt idx="7">
                  <c:v>0.98799999999999999</c:v>
                </c:pt>
                <c:pt idx="8">
                  <c:v>0.98799999999999999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5-4D74-A640-031FD370E38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SuppSheet12!$C$6:$C$14</c:f>
              <c:numCache>
                <c:formatCode>0.0</c:formatCode>
                <c:ptCount val="9"/>
                <c:pt idx="0">
                  <c:v>0</c:v>
                </c:pt>
                <c:pt idx="1">
                  <c:v>2.7333333333372138</c:v>
                </c:pt>
                <c:pt idx="2">
                  <c:v>5.3333333332557231</c:v>
                </c:pt>
                <c:pt idx="3">
                  <c:v>7.8833333333604969</c:v>
                </c:pt>
                <c:pt idx="4">
                  <c:v>10.766666666662786</c:v>
                </c:pt>
                <c:pt idx="5">
                  <c:v>13.5</c:v>
                </c:pt>
                <c:pt idx="6">
                  <c:v>16.400000000023283</c:v>
                </c:pt>
                <c:pt idx="7">
                  <c:v>21.299999999930151</c:v>
                </c:pt>
                <c:pt idx="8">
                  <c:v>26.499999999941792</c:v>
                </c:pt>
              </c:numCache>
            </c:numRef>
          </c:xVal>
          <c:yVal>
            <c:numRef>
              <c:f>SuppSheet12!$E$6:$E$14</c:f>
              <c:numCache>
                <c:formatCode>0.000</c:formatCode>
                <c:ptCount val="9"/>
                <c:pt idx="0">
                  <c:v>4.1000000000000002E-2</c:v>
                </c:pt>
                <c:pt idx="1">
                  <c:v>7.5999999999999998E-2</c:v>
                </c:pt>
                <c:pt idx="2">
                  <c:v>0.13600000000000001</c:v>
                </c:pt>
                <c:pt idx="3">
                  <c:v>0.24399999999999999</c:v>
                </c:pt>
                <c:pt idx="4">
                  <c:v>0.53600000000000003</c:v>
                </c:pt>
                <c:pt idx="5">
                  <c:v>0.80700000000000005</c:v>
                </c:pt>
                <c:pt idx="6">
                  <c:v>0.96399999999999997</c:v>
                </c:pt>
                <c:pt idx="7">
                  <c:v>1.008</c:v>
                </c:pt>
                <c:pt idx="8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5-4D74-A640-031FD370E38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SuppSheet12!$C$6:$C$14</c:f>
              <c:numCache>
                <c:formatCode>0.0</c:formatCode>
                <c:ptCount val="9"/>
                <c:pt idx="0">
                  <c:v>0</c:v>
                </c:pt>
                <c:pt idx="1">
                  <c:v>2.7333333333372138</c:v>
                </c:pt>
                <c:pt idx="2">
                  <c:v>5.3333333332557231</c:v>
                </c:pt>
                <c:pt idx="3">
                  <c:v>7.8833333333604969</c:v>
                </c:pt>
                <c:pt idx="4">
                  <c:v>10.766666666662786</c:v>
                </c:pt>
                <c:pt idx="5">
                  <c:v>13.5</c:v>
                </c:pt>
                <c:pt idx="6">
                  <c:v>16.400000000023283</c:v>
                </c:pt>
                <c:pt idx="7">
                  <c:v>21.299999999930151</c:v>
                </c:pt>
                <c:pt idx="8">
                  <c:v>26.499999999941792</c:v>
                </c:pt>
              </c:numCache>
            </c:numRef>
          </c:xVal>
          <c:yVal>
            <c:numRef>
              <c:f>SuppSheet12!$F$6:$F$14</c:f>
              <c:numCache>
                <c:formatCode>0.000</c:formatCode>
                <c:ptCount val="9"/>
                <c:pt idx="0">
                  <c:v>4.1000000000000002E-2</c:v>
                </c:pt>
                <c:pt idx="1">
                  <c:v>7.6999999999999999E-2</c:v>
                </c:pt>
                <c:pt idx="2">
                  <c:v>0.14199999999999999</c:v>
                </c:pt>
                <c:pt idx="3">
                  <c:v>0.25800000000000001</c:v>
                </c:pt>
                <c:pt idx="4">
                  <c:v>0.56999999999999995</c:v>
                </c:pt>
                <c:pt idx="5">
                  <c:v>0.82800000000000007</c:v>
                </c:pt>
                <c:pt idx="6">
                  <c:v>0.95599999999999996</c:v>
                </c:pt>
                <c:pt idx="7">
                  <c:v>1.056</c:v>
                </c:pt>
                <c:pt idx="8">
                  <c:v>1.0920000000000001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5-4D74-A640-031FD370E38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SuppSheet12!$C$6:$C$14</c:f>
              <c:numCache>
                <c:formatCode>0.0</c:formatCode>
                <c:ptCount val="9"/>
                <c:pt idx="0">
                  <c:v>0</c:v>
                </c:pt>
                <c:pt idx="1">
                  <c:v>2.7333333333372138</c:v>
                </c:pt>
                <c:pt idx="2">
                  <c:v>5.3333333332557231</c:v>
                </c:pt>
                <c:pt idx="3">
                  <c:v>7.8833333333604969</c:v>
                </c:pt>
                <c:pt idx="4">
                  <c:v>10.766666666662786</c:v>
                </c:pt>
                <c:pt idx="5">
                  <c:v>13.5</c:v>
                </c:pt>
                <c:pt idx="6">
                  <c:v>16.400000000023283</c:v>
                </c:pt>
                <c:pt idx="7">
                  <c:v>21.299999999930151</c:v>
                </c:pt>
                <c:pt idx="8">
                  <c:v>26.499999999941792</c:v>
                </c:pt>
              </c:numCache>
            </c:numRef>
          </c:xVal>
          <c:yVal>
            <c:numRef>
              <c:f>SuppSheet12!$G$6:$G$14</c:f>
              <c:numCache>
                <c:formatCode>0.000</c:formatCode>
                <c:ptCount val="9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-1E-3</c:v>
                </c:pt>
                <c:pt idx="8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5-4D74-A640-031FD370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314976"/>
        <c:axId val="818319456"/>
      </c:scatterChart>
      <c:valAx>
        <c:axId val="8183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19456"/>
        <c:crosses val="autoZero"/>
        <c:crossBetween val="midCat"/>
      </c:valAx>
      <c:valAx>
        <c:axId val="8183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1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SuppSheet12!$C$6:$C$14</c:f>
              <c:numCache>
                <c:formatCode>0.0</c:formatCode>
                <c:ptCount val="9"/>
                <c:pt idx="0">
                  <c:v>0</c:v>
                </c:pt>
                <c:pt idx="1">
                  <c:v>2.7333333333372138</c:v>
                </c:pt>
                <c:pt idx="2">
                  <c:v>5.3333333332557231</c:v>
                </c:pt>
                <c:pt idx="3">
                  <c:v>7.8833333333604969</c:v>
                </c:pt>
                <c:pt idx="4">
                  <c:v>10.766666666662786</c:v>
                </c:pt>
                <c:pt idx="5">
                  <c:v>13.5</c:v>
                </c:pt>
                <c:pt idx="6">
                  <c:v>16.400000000023283</c:v>
                </c:pt>
                <c:pt idx="7">
                  <c:v>21.299999999930151</c:v>
                </c:pt>
                <c:pt idx="8">
                  <c:v>26.499999999941792</c:v>
                </c:pt>
              </c:numCache>
            </c:numRef>
          </c:xVal>
          <c:yVal>
            <c:numRef>
              <c:f>SuppSheet12!$D$6:$D$14</c:f>
              <c:numCache>
                <c:formatCode>0.000</c:formatCode>
                <c:ptCount val="9"/>
                <c:pt idx="0">
                  <c:v>4.1000000000000002E-2</c:v>
                </c:pt>
                <c:pt idx="1">
                  <c:v>8.1000000000000003E-2</c:v>
                </c:pt>
                <c:pt idx="2">
                  <c:v>0.14299999999999999</c:v>
                </c:pt>
                <c:pt idx="3">
                  <c:v>0.25800000000000001</c:v>
                </c:pt>
                <c:pt idx="4">
                  <c:v>0.55400000000000005</c:v>
                </c:pt>
                <c:pt idx="5">
                  <c:v>0.753</c:v>
                </c:pt>
                <c:pt idx="6">
                  <c:v>0.92400000000000004</c:v>
                </c:pt>
                <c:pt idx="7">
                  <c:v>0.98799999999999999</c:v>
                </c:pt>
                <c:pt idx="8">
                  <c:v>0.98799999999999999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9-45E1-A74E-EB2F1FEFC60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SuppSheet12!$C$6:$C$14</c:f>
              <c:numCache>
                <c:formatCode>0.0</c:formatCode>
                <c:ptCount val="9"/>
                <c:pt idx="0">
                  <c:v>0</c:v>
                </c:pt>
                <c:pt idx="1">
                  <c:v>2.7333333333372138</c:v>
                </c:pt>
                <c:pt idx="2">
                  <c:v>5.3333333332557231</c:v>
                </c:pt>
                <c:pt idx="3">
                  <c:v>7.8833333333604969</c:v>
                </c:pt>
                <c:pt idx="4">
                  <c:v>10.766666666662786</c:v>
                </c:pt>
                <c:pt idx="5">
                  <c:v>13.5</c:v>
                </c:pt>
                <c:pt idx="6">
                  <c:v>16.400000000023283</c:v>
                </c:pt>
                <c:pt idx="7">
                  <c:v>21.299999999930151</c:v>
                </c:pt>
                <c:pt idx="8">
                  <c:v>26.499999999941792</c:v>
                </c:pt>
              </c:numCache>
            </c:numRef>
          </c:xVal>
          <c:yVal>
            <c:numRef>
              <c:f>SuppSheet12!$E$6:$E$14</c:f>
              <c:numCache>
                <c:formatCode>0.000</c:formatCode>
                <c:ptCount val="9"/>
                <c:pt idx="0">
                  <c:v>4.1000000000000002E-2</c:v>
                </c:pt>
                <c:pt idx="1">
                  <c:v>7.5999999999999998E-2</c:v>
                </c:pt>
                <c:pt idx="2">
                  <c:v>0.13600000000000001</c:v>
                </c:pt>
                <c:pt idx="3">
                  <c:v>0.24399999999999999</c:v>
                </c:pt>
                <c:pt idx="4">
                  <c:v>0.53600000000000003</c:v>
                </c:pt>
                <c:pt idx="5">
                  <c:v>0.80700000000000005</c:v>
                </c:pt>
                <c:pt idx="6">
                  <c:v>0.96399999999999997</c:v>
                </c:pt>
                <c:pt idx="7">
                  <c:v>1.008</c:v>
                </c:pt>
                <c:pt idx="8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9-45E1-A74E-EB2F1FEFC60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SuppSheet12!$C$6:$C$14</c:f>
              <c:numCache>
                <c:formatCode>0.0</c:formatCode>
                <c:ptCount val="9"/>
                <c:pt idx="0">
                  <c:v>0</c:v>
                </c:pt>
                <c:pt idx="1">
                  <c:v>2.7333333333372138</c:v>
                </c:pt>
                <c:pt idx="2">
                  <c:v>5.3333333332557231</c:v>
                </c:pt>
                <c:pt idx="3">
                  <c:v>7.8833333333604969</c:v>
                </c:pt>
                <c:pt idx="4">
                  <c:v>10.766666666662786</c:v>
                </c:pt>
                <c:pt idx="5">
                  <c:v>13.5</c:v>
                </c:pt>
                <c:pt idx="6">
                  <c:v>16.400000000023283</c:v>
                </c:pt>
                <c:pt idx="7">
                  <c:v>21.299999999930151</c:v>
                </c:pt>
                <c:pt idx="8">
                  <c:v>26.499999999941792</c:v>
                </c:pt>
              </c:numCache>
            </c:numRef>
          </c:xVal>
          <c:yVal>
            <c:numRef>
              <c:f>SuppSheet12!$F$6:$F$14</c:f>
              <c:numCache>
                <c:formatCode>0.000</c:formatCode>
                <c:ptCount val="9"/>
                <c:pt idx="0">
                  <c:v>4.1000000000000002E-2</c:v>
                </c:pt>
                <c:pt idx="1">
                  <c:v>7.6999999999999999E-2</c:v>
                </c:pt>
                <c:pt idx="2">
                  <c:v>0.14199999999999999</c:v>
                </c:pt>
                <c:pt idx="3">
                  <c:v>0.25800000000000001</c:v>
                </c:pt>
                <c:pt idx="4">
                  <c:v>0.56999999999999995</c:v>
                </c:pt>
                <c:pt idx="5">
                  <c:v>0.82800000000000007</c:v>
                </c:pt>
                <c:pt idx="6">
                  <c:v>0.95599999999999996</c:v>
                </c:pt>
                <c:pt idx="7">
                  <c:v>1.056</c:v>
                </c:pt>
                <c:pt idx="8">
                  <c:v>1.0920000000000001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9-45E1-A74E-EB2F1FEFC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26208"/>
        <c:axId val="818112208"/>
      </c:scatterChart>
      <c:valAx>
        <c:axId val="8181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12208"/>
        <c:crosses val="autoZero"/>
        <c:crossBetween val="midCat"/>
      </c:valAx>
      <c:valAx>
        <c:axId val="818112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SuppSheet12!$C$6:$C$14</c:f>
              <c:numCache>
                <c:formatCode>0.0</c:formatCode>
                <c:ptCount val="9"/>
                <c:pt idx="0">
                  <c:v>0</c:v>
                </c:pt>
                <c:pt idx="1">
                  <c:v>2.7333333333372138</c:v>
                </c:pt>
                <c:pt idx="2">
                  <c:v>5.3333333332557231</c:v>
                </c:pt>
                <c:pt idx="3">
                  <c:v>7.8833333333604969</c:v>
                </c:pt>
                <c:pt idx="4">
                  <c:v>10.766666666662786</c:v>
                </c:pt>
                <c:pt idx="5">
                  <c:v>13.5</c:v>
                </c:pt>
                <c:pt idx="6">
                  <c:v>16.400000000023283</c:v>
                </c:pt>
                <c:pt idx="7">
                  <c:v>21.299999999930151</c:v>
                </c:pt>
                <c:pt idx="8">
                  <c:v>26.499999999941792</c:v>
                </c:pt>
              </c:numCache>
            </c:numRef>
          </c:xVal>
          <c:yVal>
            <c:numRef>
              <c:f>SuppSheet12!$J$6:$J$14</c:f>
              <c:numCache>
                <c:formatCode>0.00</c:formatCode>
                <c:ptCount val="9"/>
                <c:pt idx="0">
                  <c:v>7.01</c:v>
                </c:pt>
                <c:pt idx="1">
                  <c:v>6.86</c:v>
                </c:pt>
                <c:pt idx="2">
                  <c:v>6.54</c:v>
                </c:pt>
                <c:pt idx="3">
                  <c:v>6.08</c:v>
                </c:pt>
                <c:pt idx="4">
                  <c:v>5.81</c:v>
                </c:pt>
                <c:pt idx="5">
                  <c:v>5.42</c:v>
                </c:pt>
                <c:pt idx="6">
                  <c:v>4.59</c:v>
                </c:pt>
                <c:pt idx="7">
                  <c:v>4.34</c:v>
                </c:pt>
                <c:pt idx="8">
                  <c:v>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3-49A3-939A-6A7D60E3CD3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SuppSheet12!$C$6:$C$14</c:f>
              <c:numCache>
                <c:formatCode>0.0</c:formatCode>
                <c:ptCount val="9"/>
                <c:pt idx="0">
                  <c:v>0</c:v>
                </c:pt>
                <c:pt idx="1">
                  <c:v>2.7333333333372138</c:v>
                </c:pt>
                <c:pt idx="2">
                  <c:v>5.3333333332557231</c:v>
                </c:pt>
                <c:pt idx="3">
                  <c:v>7.8833333333604969</c:v>
                </c:pt>
                <c:pt idx="4">
                  <c:v>10.766666666662786</c:v>
                </c:pt>
                <c:pt idx="5">
                  <c:v>13.5</c:v>
                </c:pt>
                <c:pt idx="6">
                  <c:v>16.400000000023283</c:v>
                </c:pt>
                <c:pt idx="7">
                  <c:v>21.299999999930151</c:v>
                </c:pt>
                <c:pt idx="8">
                  <c:v>26.499999999941792</c:v>
                </c:pt>
              </c:numCache>
            </c:numRef>
          </c:xVal>
          <c:yVal>
            <c:numRef>
              <c:f>SuppSheet12!$K$6:$K$14</c:f>
              <c:numCache>
                <c:formatCode>0.00</c:formatCode>
                <c:ptCount val="9"/>
                <c:pt idx="0">
                  <c:v>7.04</c:v>
                </c:pt>
                <c:pt idx="1">
                  <c:v>6.87</c:v>
                </c:pt>
                <c:pt idx="2">
                  <c:v>6.51</c:v>
                </c:pt>
                <c:pt idx="3">
                  <c:v>5.96</c:v>
                </c:pt>
                <c:pt idx="4">
                  <c:v>5.33</c:v>
                </c:pt>
                <c:pt idx="5">
                  <c:v>5.31</c:v>
                </c:pt>
                <c:pt idx="6">
                  <c:v>4.4000000000000004</c:v>
                </c:pt>
                <c:pt idx="7">
                  <c:v>4.1900000000000004</c:v>
                </c:pt>
                <c:pt idx="8">
                  <c:v>4.16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83-49A3-939A-6A7D60E3CD3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SuppSheet12!$C$6:$C$14</c:f>
              <c:numCache>
                <c:formatCode>0.0</c:formatCode>
                <c:ptCount val="9"/>
                <c:pt idx="0">
                  <c:v>0</c:v>
                </c:pt>
                <c:pt idx="1">
                  <c:v>2.7333333333372138</c:v>
                </c:pt>
                <c:pt idx="2">
                  <c:v>5.3333333332557231</c:v>
                </c:pt>
                <c:pt idx="3">
                  <c:v>7.8833333333604969</c:v>
                </c:pt>
                <c:pt idx="4">
                  <c:v>10.766666666662786</c:v>
                </c:pt>
                <c:pt idx="5">
                  <c:v>13.5</c:v>
                </c:pt>
                <c:pt idx="6">
                  <c:v>16.400000000023283</c:v>
                </c:pt>
                <c:pt idx="7">
                  <c:v>21.299999999930151</c:v>
                </c:pt>
                <c:pt idx="8">
                  <c:v>26.499999999941792</c:v>
                </c:pt>
              </c:numCache>
            </c:numRef>
          </c:xVal>
          <c:yVal>
            <c:numRef>
              <c:f>SuppSheet12!$L$6:$L$14</c:f>
              <c:numCache>
                <c:formatCode>0.00</c:formatCode>
                <c:ptCount val="9"/>
                <c:pt idx="0">
                  <c:v>7.03</c:v>
                </c:pt>
                <c:pt idx="1">
                  <c:v>6.86</c:v>
                </c:pt>
                <c:pt idx="2">
                  <c:v>6.55</c:v>
                </c:pt>
                <c:pt idx="3">
                  <c:v>6.05</c:v>
                </c:pt>
                <c:pt idx="4">
                  <c:v>5.58</c:v>
                </c:pt>
                <c:pt idx="5">
                  <c:v>5.28</c:v>
                </c:pt>
                <c:pt idx="6">
                  <c:v>4.53</c:v>
                </c:pt>
                <c:pt idx="7">
                  <c:v>4.16</c:v>
                </c:pt>
                <c:pt idx="8">
                  <c:v>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3-49A3-939A-6A7D60E3CD3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SuppSheet12!$C$6:$C$14</c:f>
              <c:numCache>
                <c:formatCode>0.0</c:formatCode>
                <c:ptCount val="9"/>
                <c:pt idx="0">
                  <c:v>0</c:v>
                </c:pt>
                <c:pt idx="1">
                  <c:v>2.7333333333372138</c:v>
                </c:pt>
                <c:pt idx="2">
                  <c:v>5.3333333332557231</c:v>
                </c:pt>
                <c:pt idx="3">
                  <c:v>7.8833333333604969</c:v>
                </c:pt>
                <c:pt idx="4">
                  <c:v>10.766666666662786</c:v>
                </c:pt>
                <c:pt idx="5">
                  <c:v>13.5</c:v>
                </c:pt>
                <c:pt idx="6">
                  <c:v>16.400000000023283</c:v>
                </c:pt>
                <c:pt idx="7">
                  <c:v>21.299999999930151</c:v>
                </c:pt>
                <c:pt idx="8">
                  <c:v>26.499999999941792</c:v>
                </c:pt>
              </c:numCache>
            </c:numRef>
          </c:xVal>
          <c:yVal>
            <c:numRef>
              <c:f>SuppSheet12!$M$6:$M$14</c:f>
              <c:numCache>
                <c:formatCode>0.00</c:formatCode>
                <c:ptCount val="9"/>
                <c:pt idx="0">
                  <c:v>7.03</c:v>
                </c:pt>
                <c:pt idx="1">
                  <c:v>7.04</c:v>
                </c:pt>
                <c:pt idx="2">
                  <c:v>7.05</c:v>
                </c:pt>
                <c:pt idx="3">
                  <c:v>7.05</c:v>
                </c:pt>
                <c:pt idx="4">
                  <c:v>7.02</c:v>
                </c:pt>
                <c:pt idx="5">
                  <c:v>7.03</c:v>
                </c:pt>
                <c:pt idx="6">
                  <c:v>7</c:v>
                </c:pt>
                <c:pt idx="7">
                  <c:v>6.98</c:v>
                </c:pt>
                <c:pt idx="8">
                  <c:v>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83-49A3-939A-6A7D60E3C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314976"/>
        <c:axId val="818319456"/>
      </c:scatterChart>
      <c:valAx>
        <c:axId val="8183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19456"/>
        <c:crosses val="autoZero"/>
        <c:crossBetween val="midCat"/>
      </c:valAx>
      <c:valAx>
        <c:axId val="8183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1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ECOM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SuppSheet12!$AV$6:$AV$11</c:f>
                <c:numCache>
                  <c:formatCode>General</c:formatCode>
                  <c:ptCount val="6"/>
                  <c:pt idx="0">
                    <c:v>6.5003365274269198E-2</c:v>
                  </c:pt>
                  <c:pt idx="1">
                    <c:v>5.583266657500309E-2</c:v>
                  </c:pt>
                  <c:pt idx="2">
                    <c:v>7.3015608937660334E-2</c:v>
                  </c:pt>
                  <c:pt idx="3">
                    <c:v>0.19243353495971374</c:v>
                  </c:pt>
                  <c:pt idx="4">
                    <c:v>0.15856333881152884</c:v>
                  </c:pt>
                  <c:pt idx="5">
                    <c:v>0.10985385552628958</c:v>
                  </c:pt>
                </c:numCache>
              </c:numRef>
            </c:plus>
            <c:minus>
              <c:numRef>
                <c:f>SuppSheet12!$AV$6:$AV$11</c:f>
                <c:numCache>
                  <c:formatCode>General</c:formatCode>
                  <c:ptCount val="6"/>
                  <c:pt idx="0">
                    <c:v>6.5003365274269198E-2</c:v>
                  </c:pt>
                  <c:pt idx="1">
                    <c:v>5.583266657500309E-2</c:v>
                  </c:pt>
                  <c:pt idx="2">
                    <c:v>7.3015608937660334E-2</c:v>
                  </c:pt>
                  <c:pt idx="3">
                    <c:v>0.19243353495971374</c:v>
                  </c:pt>
                  <c:pt idx="4">
                    <c:v>0.15856333881152884</c:v>
                  </c:pt>
                  <c:pt idx="5">
                    <c:v>0.10985385552628958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SuppSheet12!$C$6:$C$11</c:f>
              <c:numCache>
                <c:formatCode>0.0</c:formatCode>
                <c:ptCount val="6"/>
                <c:pt idx="0">
                  <c:v>0</c:v>
                </c:pt>
                <c:pt idx="1">
                  <c:v>2.7333333333372138</c:v>
                </c:pt>
                <c:pt idx="2">
                  <c:v>5.3333333332557231</c:v>
                </c:pt>
                <c:pt idx="3">
                  <c:v>7.8833333333604969</c:v>
                </c:pt>
                <c:pt idx="4">
                  <c:v>10.766666666662786</c:v>
                </c:pt>
                <c:pt idx="5">
                  <c:v>13.5</c:v>
                </c:pt>
              </c:numCache>
            </c:numRef>
          </c:xVal>
          <c:yVal>
            <c:numRef>
              <c:f>SuppSheet12!$AU$6:$AU$11</c:f>
              <c:numCache>
                <c:formatCode>0.00</c:formatCode>
                <c:ptCount val="6"/>
                <c:pt idx="0">
                  <c:v>0.47365059865059872</c:v>
                </c:pt>
                <c:pt idx="1">
                  <c:v>0.39296455424274973</c:v>
                </c:pt>
                <c:pt idx="2">
                  <c:v>0.3287382659472245</c:v>
                </c:pt>
                <c:pt idx="3">
                  <c:v>6.2091857635123739E-2</c:v>
                </c:pt>
                <c:pt idx="4">
                  <c:v>-2.121212121212121E-2</c:v>
                </c:pt>
                <c:pt idx="5">
                  <c:v>-1.7963658152932167E-2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C-4D28-B068-58463B931722}"/>
            </c:ext>
          </c:extLst>
        </c:ser>
        <c:ser>
          <c:idx val="1"/>
          <c:order val="1"/>
          <c:tx>
            <c:v>403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SuppSheet12!$BA$6:$BA$11</c:f>
                <c:numCache>
                  <c:formatCode>General</c:formatCode>
                  <c:ptCount val="6"/>
                  <c:pt idx="0">
                    <c:v>6.5003365274270475E-2</c:v>
                  </c:pt>
                  <c:pt idx="1">
                    <c:v>5.5832666575002701E-2</c:v>
                  </c:pt>
                  <c:pt idx="2">
                    <c:v>7.3015608937660362E-2</c:v>
                  </c:pt>
                  <c:pt idx="3">
                    <c:v>0.1924335349597136</c:v>
                  </c:pt>
                  <c:pt idx="4">
                    <c:v>0.15856333881152887</c:v>
                  </c:pt>
                  <c:pt idx="5">
                    <c:v>0.10985385552628961</c:v>
                  </c:pt>
                </c:numCache>
              </c:numRef>
            </c:plus>
            <c:minus>
              <c:numRef>
                <c:f>SuppSheet12!$BA$6:$BA$11</c:f>
                <c:numCache>
                  <c:formatCode>General</c:formatCode>
                  <c:ptCount val="6"/>
                  <c:pt idx="0">
                    <c:v>6.5003365274270475E-2</c:v>
                  </c:pt>
                  <c:pt idx="1">
                    <c:v>5.5832666575002701E-2</c:v>
                  </c:pt>
                  <c:pt idx="2">
                    <c:v>7.3015608937660362E-2</c:v>
                  </c:pt>
                  <c:pt idx="3">
                    <c:v>0.1924335349597136</c:v>
                  </c:pt>
                  <c:pt idx="4">
                    <c:v>0.15856333881152887</c:v>
                  </c:pt>
                  <c:pt idx="5">
                    <c:v>0.10985385552628961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SuppSheet12!$C$6:$C$11</c:f>
              <c:numCache>
                <c:formatCode>0.0</c:formatCode>
                <c:ptCount val="6"/>
                <c:pt idx="0">
                  <c:v>0</c:v>
                </c:pt>
                <c:pt idx="1">
                  <c:v>2.7333333333372138</c:v>
                </c:pt>
                <c:pt idx="2">
                  <c:v>5.3333333332557231</c:v>
                </c:pt>
                <c:pt idx="3">
                  <c:v>7.8833333333604969</c:v>
                </c:pt>
                <c:pt idx="4">
                  <c:v>10.766666666662786</c:v>
                </c:pt>
                <c:pt idx="5">
                  <c:v>13.5</c:v>
                </c:pt>
              </c:numCache>
            </c:numRef>
          </c:xVal>
          <c:yVal>
            <c:numRef>
              <c:f>SuppSheet12!$AZ$6:$AZ$11</c:f>
              <c:numCache>
                <c:formatCode>0.00</c:formatCode>
                <c:ptCount val="6"/>
                <c:pt idx="0">
                  <c:v>0.52634940134940134</c:v>
                </c:pt>
                <c:pt idx="1">
                  <c:v>0.60703544575725032</c:v>
                </c:pt>
                <c:pt idx="2">
                  <c:v>0.67126173405277556</c:v>
                </c:pt>
                <c:pt idx="3">
                  <c:v>0.93790814236487619</c:v>
                </c:pt>
                <c:pt idx="4">
                  <c:v>1.0212121212121212</c:v>
                </c:pt>
                <c:pt idx="5">
                  <c:v>1.0179636581529321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C-4D28-B068-58463B931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76880"/>
        <c:axId val="493173928"/>
      </c:scatterChart>
      <c:valAx>
        <c:axId val="4931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73928"/>
        <c:crosses val="autoZero"/>
        <c:crossBetween val="midCat"/>
      </c:valAx>
      <c:valAx>
        <c:axId val="49317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7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ECOM + 403 pH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SuppSheet12!$O$6:$O$14</c:f>
                <c:numCache>
                  <c:formatCode>General</c:formatCode>
                  <c:ptCount val="9"/>
                  <c:pt idx="0">
                    <c:v>1.5275252316519626E-2</c:v>
                  </c:pt>
                  <c:pt idx="1">
                    <c:v>5.7735026918961348E-3</c:v>
                  </c:pt>
                  <c:pt idx="2">
                    <c:v>2.0816659994661379E-2</c:v>
                  </c:pt>
                  <c:pt idx="3">
                    <c:v>6.2449979983984001E-2</c:v>
                  </c:pt>
                  <c:pt idx="4">
                    <c:v>0.24006943440041095</c:v>
                  </c:pt>
                  <c:pt idx="5">
                    <c:v>7.3711147958319873E-2</c:v>
                  </c:pt>
                  <c:pt idx="6">
                    <c:v>9.7125348562222866E-2</c:v>
                  </c:pt>
                  <c:pt idx="7">
                    <c:v>9.6436507609929334E-2</c:v>
                  </c:pt>
                  <c:pt idx="8">
                    <c:v>0.10583005244258371</c:v>
                  </c:pt>
                </c:numCache>
              </c:numRef>
            </c:plus>
            <c:minus>
              <c:numRef>
                <c:f>SuppSheet12!$O$6:$O$14</c:f>
                <c:numCache>
                  <c:formatCode>General</c:formatCode>
                  <c:ptCount val="9"/>
                  <c:pt idx="0">
                    <c:v>1.5275252316519626E-2</c:v>
                  </c:pt>
                  <c:pt idx="1">
                    <c:v>5.7735026918961348E-3</c:v>
                  </c:pt>
                  <c:pt idx="2">
                    <c:v>2.0816659994661379E-2</c:v>
                  </c:pt>
                  <c:pt idx="3">
                    <c:v>6.2449979983984001E-2</c:v>
                  </c:pt>
                  <c:pt idx="4">
                    <c:v>0.24006943440041095</c:v>
                  </c:pt>
                  <c:pt idx="5">
                    <c:v>7.3711147958319873E-2</c:v>
                  </c:pt>
                  <c:pt idx="6">
                    <c:v>9.7125348562222866E-2</c:v>
                  </c:pt>
                  <c:pt idx="7">
                    <c:v>9.6436507609929334E-2</c:v>
                  </c:pt>
                  <c:pt idx="8">
                    <c:v>0.10583005244258371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SuppSheet12!$C$6:$C$14</c:f>
              <c:numCache>
                <c:formatCode>0.0</c:formatCode>
                <c:ptCount val="9"/>
                <c:pt idx="0">
                  <c:v>0</c:v>
                </c:pt>
                <c:pt idx="1">
                  <c:v>2.7333333333372138</c:v>
                </c:pt>
                <c:pt idx="2">
                  <c:v>5.3333333332557231</c:v>
                </c:pt>
                <c:pt idx="3">
                  <c:v>7.8833333333604969</c:v>
                </c:pt>
                <c:pt idx="4">
                  <c:v>10.766666666662786</c:v>
                </c:pt>
                <c:pt idx="5">
                  <c:v>13.5</c:v>
                </c:pt>
                <c:pt idx="6">
                  <c:v>16.400000000023283</c:v>
                </c:pt>
                <c:pt idx="7">
                  <c:v>21.299999999930151</c:v>
                </c:pt>
                <c:pt idx="8">
                  <c:v>26.499999999941792</c:v>
                </c:pt>
              </c:numCache>
            </c:numRef>
          </c:xVal>
          <c:yVal>
            <c:numRef>
              <c:f>SuppSheet12!$N$6:$N$14</c:f>
              <c:numCache>
                <c:formatCode>0.00</c:formatCode>
                <c:ptCount val="9"/>
                <c:pt idx="0">
                  <c:v>7.0266666666666673</c:v>
                </c:pt>
                <c:pt idx="1">
                  <c:v>6.8633333333333333</c:v>
                </c:pt>
                <c:pt idx="2">
                  <c:v>6.5333333333333341</c:v>
                </c:pt>
                <c:pt idx="3">
                  <c:v>6.03</c:v>
                </c:pt>
                <c:pt idx="4">
                  <c:v>5.5733333333333333</c:v>
                </c:pt>
                <c:pt idx="5">
                  <c:v>5.3366666666666669</c:v>
                </c:pt>
                <c:pt idx="6">
                  <c:v>4.5066666666666668</c:v>
                </c:pt>
                <c:pt idx="7">
                  <c:v>4.2300000000000004</c:v>
                </c:pt>
                <c:pt idx="8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7-4D29-9EEB-A617C04FC554}"/>
            </c:ext>
          </c:extLst>
        </c:ser>
        <c:ser>
          <c:idx val="2"/>
          <c:order val="2"/>
          <c:tx>
            <c:v>glucose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SuppSheet12!$U$6:$U$14</c:f>
                <c:numCache>
                  <c:formatCode>General</c:formatCode>
                  <c:ptCount val="9"/>
                  <c:pt idx="0">
                    <c:v>0.57841581390223717</c:v>
                  </c:pt>
                  <c:pt idx="1">
                    <c:v>0.95350194720508974</c:v>
                  </c:pt>
                  <c:pt idx="5">
                    <c:v>0.18907582017727145</c:v>
                  </c:pt>
                  <c:pt idx="7">
                    <c:v>0.60814088117081089</c:v>
                  </c:pt>
                  <c:pt idx="8">
                    <c:v>0.71881020607469714</c:v>
                  </c:pt>
                </c:numCache>
              </c:numRef>
            </c:plus>
            <c:minus>
              <c:numRef>
                <c:f>SuppSheet12!$U$6:$U$14</c:f>
                <c:numCache>
                  <c:formatCode>General</c:formatCode>
                  <c:ptCount val="9"/>
                  <c:pt idx="0">
                    <c:v>0.57841581390223717</c:v>
                  </c:pt>
                  <c:pt idx="1">
                    <c:v>0.95350194720508974</c:v>
                  </c:pt>
                  <c:pt idx="5">
                    <c:v>0.18907582017727145</c:v>
                  </c:pt>
                  <c:pt idx="7">
                    <c:v>0.60814088117081089</c:v>
                  </c:pt>
                  <c:pt idx="8">
                    <c:v>0.71881020607469714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SuppSheet12!$C$6:$C$14</c:f>
              <c:numCache>
                <c:formatCode>0.0</c:formatCode>
                <c:ptCount val="9"/>
                <c:pt idx="0">
                  <c:v>0</c:v>
                </c:pt>
                <c:pt idx="1">
                  <c:v>2.7333333333372138</c:v>
                </c:pt>
                <c:pt idx="2">
                  <c:v>5.3333333332557231</c:v>
                </c:pt>
                <c:pt idx="3">
                  <c:v>7.8833333333604969</c:v>
                </c:pt>
                <c:pt idx="4">
                  <c:v>10.766666666662786</c:v>
                </c:pt>
                <c:pt idx="5">
                  <c:v>13.5</c:v>
                </c:pt>
                <c:pt idx="6">
                  <c:v>16.400000000023283</c:v>
                </c:pt>
                <c:pt idx="7">
                  <c:v>21.299999999930151</c:v>
                </c:pt>
                <c:pt idx="8">
                  <c:v>26.499999999941792</c:v>
                </c:pt>
              </c:numCache>
            </c:numRef>
          </c:xVal>
          <c:yVal>
            <c:numRef>
              <c:f>SuppSheet12!$T$6:$T$14</c:f>
              <c:numCache>
                <c:formatCode>0.00</c:formatCode>
                <c:ptCount val="9"/>
                <c:pt idx="0">
                  <c:v>29.183153282934352</c:v>
                </c:pt>
                <c:pt idx="1">
                  <c:v>29.018094934851661</c:v>
                </c:pt>
                <c:pt idx="5">
                  <c:v>23.641089527488983</c:v>
                </c:pt>
                <c:pt idx="7">
                  <c:v>21.678046599485658</c:v>
                </c:pt>
                <c:pt idx="8">
                  <c:v>21.276651944420788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7-4D29-9EEB-A617C04FC554}"/>
            </c:ext>
          </c:extLst>
        </c:ser>
        <c:ser>
          <c:idx val="3"/>
          <c:order val="3"/>
          <c:tx>
            <c:v>lactate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SuppSheet12!$AA$6:$AA$14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2.9174182154638025E-2</c:v>
                  </c:pt>
                  <c:pt idx="5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SuppSheet12!$AA$6:$AA$14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2.9174182154638025E-2</c:v>
                  </c:pt>
                  <c:pt idx="5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SuppSheet12!$C$6:$C$14</c:f>
              <c:numCache>
                <c:formatCode>0.0</c:formatCode>
                <c:ptCount val="9"/>
                <c:pt idx="0">
                  <c:v>0</c:v>
                </c:pt>
                <c:pt idx="1">
                  <c:v>2.7333333333372138</c:v>
                </c:pt>
                <c:pt idx="2">
                  <c:v>5.3333333332557231</c:v>
                </c:pt>
                <c:pt idx="3">
                  <c:v>7.8833333333604969</c:v>
                </c:pt>
                <c:pt idx="4">
                  <c:v>10.766666666662786</c:v>
                </c:pt>
                <c:pt idx="5">
                  <c:v>13.5</c:v>
                </c:pt>
                <c:pt idx="6">
                  <c:v>16.400000000023283</c:v>
                </c:pt>
                <c:pt idx="7">
                  <c:v>21.299999999930151</c:v>
                </c:pt>
                <c:pt idx="8">
                  <c:v>26.499999999941792</c:v>
                </c:pt>
              </c:numCache>
            </c:numRef>
          </c:xVal>
          <c:yVal>
            <c:numRef>
              <c:f>SuppSheet12!$Z$6:$Z$14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0.55107224967175539</c:v>
                </c:pt>
                <c:pt idx="5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77-4D29-9EEB-A617C04FC554}"/>
            </c:ext>
          </c:extLst>
        </c:ser>
        <c:ser>
          <c:idx val="4"/>
          <c:order val="4"/>
          <c:tx>
            <c:v>acetate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SuppSheet12!$AG$6:$AG$14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2.8250424392867061E-2</c:v>
                  </c:pt>
                  <c:pt idx="5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SuppSheet12!$AG$6:$AG$14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2.8250424392867061E-2</c:v>
                  </c:pt>
                  <c:pt idx="5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SuppSheet12!$C$6:$C$14</c:f>
              <c:numCache>
                <c:formatCode>0.0</c:formatCode>
                <c:ptCount val="9"/>
                <c:pt idx="0">
                  <c:v>0</c:v>
                </c:pt>
                <c:pt idx="1">
                  <c:v>2.7333333333372138</c:v>
                </c:pt>
                <c:pt idx="2">
                  <c:v>5.3333333332557231</c:v>
                </c:pt>
                <c:pt idx="3">
                  <c:v>7.8833333333604969</c:v>
                </c:pt>
                <c:pt idx="4">
                  <c:v>10.766666666662786</c:v>
                </c:pt>
                <c:pt idx="5">
                  <c:v>13.5</c:v>
                </c:pt>
                <c:pt idx="6">
                  <c:v>16.400000000023283</c:v>
                </c:pt>
                <c:pt idx="7">
                  <c:v>21.299999999930151</c:v>
                </c:pt>
                <c:pt idx="8">
                  <c:v>26.499999999941792</c:v>
                </c:pt>
              </c:numCache>
            </c:numRef>
          </c:xVal>
          <c:yVal>
            <c:numRef>
              <c:f>SuppSheet12!$AF$6:$AF$14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0.11669886216164144</c:v>
                </c:pt>
                <c:pt idx="5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77-4D29-9EEB-A617C04FC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912600"/>
        <c:axId val="752854872"/>
      </c:scatterChart>
      <c:scatterChart>
        <c:scatterStyle val="lineMarker"/>
        <c:varyColors val="0"/>
        <c:ser>
          <c:idx val="0"/>
          <c:order val="0"/>
          <c:tx>
            <c:v>OD600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SuppSheet12!$I$6:$I$14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2.6457513110645929E-3</c:v>
                  </c:pt>
                  <c:pt idx="2">
                    <c:v>3.7859388972001696E-3</c:v>
                  </c:pt>
                  <c:pt idx="3">
                    <c:v>8.0829037686547672E-3</c:v>
                  </c:pt>
                  <c:pt idx="4">
                    <c:v>1.7009801096230726E-2</c:v>
                  </c:pt>
                  <c:pt idx="5">
                    <c:v>3.8691084244306242E-2</c:v>
                  </c:pt>
                  <c:pt idx="6">
                    <c:v>2.1166010488516681E-2</c:v>
                  </c:pt>
                  <c:pt idx="7">
                    <c:v>3.4947579792216452E-2</c:v>
                  </c:pt>
                  <c:pt idx="8">
                    <c:v>5.3266624947835191E-2</c:v>
                  </c:pt>
                </c:numCache>
              </c:numRef>
            </c:plus>
            <c:minus>
              <c:numRef>
                <c:f>SuppSheet12!$I$6:$I$14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2.6457513110645929E-3</c:v>
                  </c:pt>
                  <c:pt idx="2">
                    <c:v>3.7859388972001696E-3</c:v>
                  </c:pt>
                  <c:pt idx="3">
                    <c:v>8.0829037686547672E-3</c:v>
                  </c:pt>
                  <c:pt idx="4">
                    <c:v>1.7009801096230726E-2</c:v>
                  </c:pt>
                  <c:pt idx="5">
                    <c:v>3.8691084244306242E-2</c:v>
                  </c:pt>
                  <c:pt idx="6">
                    <c:v>2.1166010488516681E-2</c:v>
                  </c:pt>
                  <c:pt idx="7">
                    <c:v>3.4947579792216452E-2</c:v>
                  </c:pt>
                  <c:pt idx="8">
                    <c:v>5.3266624947835191E-2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SuppSheet12!$C$6:$C$14</c:f>
              <c:numCache>
                <c:formatCode>0.0</c:formatCode>
                <c:ptCount val="9"/>
                <c:pt idx="0">
                  <c:v>0</c:v>
                </c:pt>
                <c:pt idx="1">
                  <c:v>2.7333333333372138</c:v>
                </c:pt>
                <c:pt idx="2">
                  <c:v>5.3333333332557231</c:v>
                </c:pt>
                <c:pt idx="3">
                  <c:v>7.8833333333604969</c:v>
                </c:pt>
                <c:pt idx="4">
                  <c:v>10.766666666662786</c:v>
                </c:pt>
                <c:pt idx="5">
                  <c:v>13.5</c:v>
                </c:pt>
                <c:pt idx="6">
                  <c:v>16.400000000023283</c:v>
                </c:pt>
                <c:pt idx="7">
                  <c:v>21.299999999930151</c:v>
                </c:pt>
                <c:pt idx="8">
                  <c:v>26.499999999941792</c:v>
                </c:pt>
              </c:numCache>
            </c:numRef>
          </c:xVal>
          <c:yVal>
            <c:numRef>
              <c:f>SuppSheet12!$H$6:$H$14</c:f>
              <c:numCache>
                <c:formatCode>0.000</c:formatCode>
                <c:ptCount val="9"/>
                <c:pt idx="0">
                  <c:v>4.1000000000000002E-2</c:v>
                </c:pt>
                <c:pt idx="1">
                  <c:v>7.8E-2</c:v>
                </c:pt>
                <c:pt idx="2">
                  <c:v>0.14033333333333334</c:v>
                </c:pt>
                <c:pt idx="3">
                  <c:v>0.25333333333333335</c:v>
                </c:pt>
                <c:pt idx="4">
                  <c:v>0.55333333333333334</c:v>
                </c:pt>
                <c:pt idx="5">
                  <c:v>0.79599999999999993</c:v>
                </c:pt>
                <c:pt idx="6">
                  <c:v>0.94799999999999995</c:v>
                </c:pt>
                <c:pt idx="7">
                  <c:v>1.0173333333333334</c:v>
                </c:pt>
                <c:pt idx="8">
                  <c:v>1.0333333333333334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77-4D29-9EEB-A617C04FC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677064"/>
        <c:axId val="784680016"/>
      </c:scatterChart>
      <c:valAx>
        <c:axId val="75291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54872"/>
        <c:crosses val="autoZero"/>
        <c:crossBetween val="midCat"/>
      </c:valAx>
      <c:valAx>
        <c:axId val="75285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Metabolites (mM) or 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12600"/>
        <c:crosses val="autoZero"/>
        <c:crossBetween val="midCat"/>
      </c:valAx>
      <c:valAx>
        <c:axId val="784680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77064"/>
        <c:crosses val="max"/>
        <c:crossBetween val="midCat"/>
      </c:valAx>
      <c:valAx>
        <c:axId val="7846770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78468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SuppSheet13!$C$6:$C$23</c:f>
              <c:numCache>
                <c:formatCode>0.0</c:formatCode>
                <c:ptCount val="18"/>
                <c:pt idx="0">
                  <c:v>0</c:v>
                </c:pt>
                <c:pt idx="1">
                  <c:v>2.7333333333372138</c:v>
                </c:pt>
                <c:pt idx="2">
                  <c:v>5.3333333334303461</c:v>
                </c:pt>
                <c:pt idx="3">
                  <c:v>8.1333333334769122</c:v>
                </c:pt>
                <c:pt idx="4">
                  <c:v>10.933333333348855</c:v>
                </c:pt>
                <c:pt idx="5">
                  <c:v>14.183333333465271</c:v>
                </c:pt>
                <c:pt idx="6">
                  <c:v>19.133333333360497</c:v>
                </c:pt>
                <c:pt idx="7">
                  <c:v>22.766666666662786</c:v>
                </c:pt>
                <c:pt idx="8">
                  <c:v>26.450000000128057</c:v>
                </c:pt>
                <c:pt idx="9">
                  <c:v>32.300000000162981</c:v>
                </c:pt>
                <c:pt idx="10">
                  <c:v>35.800000000046566</c:v>
                </c:pt>
                <c:pt idx="11">
                  <c:v>42.900000000139698</c:v>
                </c:pt>
                <c:pt idx="12">
                  <c:v>55.633333333418705</c:v>
                </c:pt>
                <c:pt idx="13">
                  <c:v>70.400000000023283</c:v>
                </c:pt>
                <c:pt idx="14">
                  <c:v>83.06666666676756</c:v>
                </c:pt>
                <c:pt idx="15">
                  <c:v>98.483333333395422</c:v>
                </c:pt>
                <c:pt idx="16">
                  <c:v>116.95000000001164</c:v>
                </c:pt>
                <c:pt idx="17">
                  <c:v>129.98333333339542</c:v>
                </c:pt>
              </c:numCache>
            </c:numRef>
          </c:xVal>
          <c:yVal>
            <c:numRef>
              <c:f>SuppSheet13!$D$6:$D$23</c:f>
              <c:numCache>
                <c:formatCode>0.000</c:formatCode>
                <c:ptCount val="18"/>
                <c:pt idx="0">
                  <c:v>4.2000000000000003E-2</c:v>
                </c:pt>
                <c:pt idx="1">
                  <c:v>6.9000000000000006E-2</c:v>
                </c:pt>
                <c:pt idx="2">
                  <c:v>0.104</c:v>
                </c:pt>
                <c:pt idx="3">
                  <c:v>0.14699999999999999</c:v>
                </c:pt>
                <c:pt idx="4">
                  <c:v>0.17299999999999999</c:v>
                </c:pt>
                <c:pt idx="5">
                  <c:v>0.188</c:v>
                </c:pt>
                <c:pt idx="6">
                  <c:v>0.21099999999999999</c:v>
                </c:pt>
                <c:pt idx="7">
                  <c:v>0.22500000000000001</c:v>
                </c:pt>
                <c:pt idx="8">
                  <c:v>0.23899999999999999</c:v>
                </c:pt>
                <c:pt idx="9">
                  <c:v>0.26700000000000002</c:v>
                </c:pt>
                <c:pt idx="10">
                  <c:v>0.27900000000000003</c:v>
                </c:pt>
                <c:pt idx="11">
                  <c:v>0.29399999999999998</c:v>
                </c:pt>
                <c:pt idx="12">
                  <c:v>0.32600000000000001</c:v>
                </c:pt>
                <c:pt idx="13">
                  <c:v>0.35599999999999998</c:v>
                </c:pt>
                <c:pt idx="14">
                  <c:v>0.378</c:v>
                </c:pt>
                <c:pt idx="15">
                  <c:v>0.40400000000000003</c:v>
                </c:pt>
                <c:pt idx="16">
                  <c:v>0.44800000000000001</c:v>
                </c:pt>
                <c:pt idx="17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0-47CC-8EF9-D7602CC9326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SuppSheet13!$C$6:$C$23</c:f>
              <c:numCache>
                <c:formatCode>0.0</c:formatCode>
                <c:ptCount val="18"/>
                <c:pt idx="0">
                  <c:v>0</c:v>
                </c:pt>
                <c:pt idx="1">
                  <c:v>2.7333333333372138</c:v>
                </c:pt>
                <c:pt idx="2">
                  <c:v>5.3333333334303461</c:v>
                </c:pt>
                <c:pt idx="3">
                  <c:v>8.1333333334769122</c:v>
                </c:pt>
                <c:pt idx="4">
                  <c:v>10.933333333348855</c:v>
                </c:pt>
                <c:pt idx="5">
                  <c:v>14.183333333465271</c:v>
                </c:pt>
                <c:pt idx="6">
                  <c:v>19.133333333360497</c:v>
                </c:pt>
                <c:pt idx="7">
                  <c:v>22.766666666662786</c:v>
                </c:pt>
                <c:pt idx="8">
                  <c:v>26.450000000128057</c:v>
                </c:pt>
                <c:pt idx="9">
                  <c:v>32.300000000162981</c:v>
                </c:pt>
                <c:pt idx="10">
                  <c:v>35.800000000046566</c:v>
                </c:pt>
                <c:pt idx="11">
                  <c:v>42.900000000139698</c:v>
                </c:pt>
                <c:pt idx="12">
                  <c:v>55.633333333418705</c:v>
                </c:pt>
                <c:pt idx="13">
                  <c:v>70.400000000023283</c:v>
                </c:pt>
                <c:pt idx="14">
                  <c:v>83.06666666676756</c:v>
                </c:pt>
                <c:pt idx="15">
                  <c:v>98.483333333395422</c:v>
                </c:pt>
                <c:pt idx="16">
                  <c:v>116.95000000001164</c:v>
                </c:pt>
                <c:pt idx="17">
                  <c:v>129.98333333339542</c:v>
                </c:pt>
              </c:numCache>
            </c:numRef>
          </c:xVal>
          <c:yVal>
            <c:numRef>
              <c:f>SuppSheet13!$E$6:$E$23</c:f>
              <c:numCache>
                <c:formatCode>0.000</c:formatCode>
                <c:ptCount val="18"/>
                <c:pt idx="0">
                  <c:v>4.2999999999999997E-2</c:v>
                </c:pt>
                <c:pt idx="1">
                  <c:v>7.0999999999999994E-2</c:v>
                </c:pt>
                <c:pt idx="2">
                  <c:v>0.107</c:v>
                </c:pt>
                <c:pt idx="3">
                  <c:v>0.156</c:v>
                </c:pt>
                <c:pt idx="4">
                  <c:v>0.183</c:v>
                </c:pt>
                <c:pt idx="5">
                  <c:v>0.20499999999999999</c:v>
                </c:pt>
                <c:pt idx="6">
                  <c:v>0.23100000000000001</c:v>
                </c:pt>
                <c:pt idx="7">
                  <c:v>0.246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0.314</c:v>
                </c:pt>
                <c:pt idx="11">
                  <c:v>0.33400000000000002</c:v>
                </c:pt>
                <c:pt idx="12">
                  <c:v>0.37</c:v>
                </c:pt>
                <c:pt idx="13">
                  <c:v>0.39600000000000002</c:v>
                </c:pt>
                <c:pt idx="14">
                  <c:v>0.42</c:v>
                </c:pt>
                <c:pt idx="15">
                  <c:v>0.45200000000000001</c:v>
                </c:pt>
                <c:pt idx="16">
                  <c:v>0.49199999999999999</c:v>
                </c:pt>
                <c:pt idx="17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0-47CC-8EF9-D7602CC9326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SuppSheet13!$C$6:$C$23</c:f>
              <c:numCache>
                <c:formatCode>0.0</c:formatCode>
                <c:ptCount val="18"/>
                <c:pt idx="0">
                  <c:v>0</c:v>
                </c:pt>
                <c:pt idx="1">
                  <c:v>2.7333333333372138</c:v>
                </c:pt>
                <c:pt idx="2">
                  <c:v>5.3333333334303461</c:v>
                </c:pt>
                <c:pt idx="3">
                  <c:v>8.1333333334769122</c:v>
                </c:pt>
                <c:pt idx="4">
                  <c:v>10.933333333348855</c:v>
                </c:pt>
                <c:pt idx="5">
                  <c:v>14.183333333465271</c:v>
                </c:pt>
                <c:pt idx="6">
                  <c:v>19.133333333360497</c:v>
                </c:pt>
                <c:pt idx="7">
                  <c:v>22.766666666662786</c:v>
                </c:pt>
                <c:pt idx="8">
                  <c:v>26.450000000128057</c:v>
                </c:pt>
                <c:pt idx="9">
                  <c:v>32.300000000162981</c:v>
                </c:pt>
                <c:pt idx="10">
                  <c:v>35.800000000046566</c:v>
                </c:pt>
                <c:pt idx="11">
                  <c:v>42.900000000139698</c:v>
                </c:pt>
                <c:pt idx="12">
                  <c:v>55.633333333418705</c:v>
                </c:pt>
                <c:pt idx="13">
                  <c:v>70.400000000023283</c:v>
                </c:pt>
                <c:pt idx="14">
                  <c:v>83.06666666676756</c:v>
                </c:pt>
                <c:pt idx="15">
                  <c:v>98.483333333395422</c:v>
                </c:pt>
                <c:pt idx="16">
                  <c:v>116.95000000001164</c:v>
                </c:pt>
                <c:pt idx="17">
                  <c:v>129.98333333339542</c:v>
                </c:pt>
              </c:numCache>
            </c:numRef>
          </c:xVal>
          <c:yVal>
            <c:numRef>
              <c:f>SuppSheet13!$F$6:$F$23</c:f>
              <c:numCache>
                <c:formatCode>0.000</c:formatCode>
                <c:ptCount val="18"/>
                <c:pt idx="0">
                  <c:v>4.2000000000000003E-2</c:v>
                </c:pt>
                <c:pt idx="1">
                  <c:v>6.7000000000000004E-2</c:v>
                </c:pt>
                <c:pt idx="2">
                  <c:v>9.8000000000000004E-2</c:v>
                </c:pt>
                <c:pt idx="3">
                  <c:v>0.13900000000000001</c:v>
                </c:pt>
                <c:pt idx="4">
                  <c:v>0.16</c:v>
                </c:pt>
                <c:pt idx="5">
                  <c:v>0.17299999999999999</c:v>
                </c:pt>
                <c:pt idx="6">
                  <c:v>0.19800000000000001</c:v>
                </c:pt>
                <c:pt idx="7">
                  <c:v>0.21</c:v>
                </c:pt>
                <c:pt idx="8">
                  <c:v>0.22500000000000001</c:v>
                </c:pt>
                <c:pt idx="9">
                  <c:v>0.248</c:v>
                </c:pt>
                <c:pt idx="10">
                  <c:v>0.26200000000000001</c:v>
                </c:pt>
                <c:pt idx="11">
                  <c:v>0.28000000000000003</c:v>
                </c:pt>
                <c:pt idx="12">
                  <c:v>0.312</c:v>
                </c:pt>
                <c:pt idx="13">
                  <c:v>0.34</c:v>
                </c:pt>
                <c:pt idx="14">
                  <c:v>0.36</c:v>
                </c:pt>
                <c:pt idx="15">
                  <c:v>0.38400000000000001</c:v>
                </c:pt>
                <c:pt idx="16">
                  <c:v>0.42599999999999999</c:v>
                </c:pt>
                <c:pt idx="17">
                  <c:v>0.45400000000000001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90-47CC-8EF9-D7602CC93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33776"/>
        <c:axId val="509614224"/>
      </c:scatterChart>
      <c:valAx>
        <c:axId val="50963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14224"/>
        <c:crosses val="autoZero"/>
        <c:crossBetween val="midCat"/>
      </c:valAx>
      <c:valAx>
        <c:axId val="509614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3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inhibition at</a:t>
            </a:r>
            <a:r>
              <a:rPr lang="en-US" baseline="0"/>
              <a:t> </a:t>
            </a:r>
            <a:r>
              <a:rPr lang="en-US"/>
              <a:t>pH6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384644694459101"/>
          <c:y val="6.6611205357543599E-2"/>
          <c:w val="0.80241280429046702"/>
          <c:h val="0.72309122629489697"/>
        </c:manualLayout>
      </c:layout>
      <c:scatterChart>
        <c:scatterStyle val="lineMarker"/>
        <c:varyColors val="0"/>
        <c:ser>
          <c:idx val="1"/>
          <c:order val="0"/>
          <c:tx>
            <c:v>307G100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[1]Data!$AN$28:$AN$34</c:f>
                <c:numCache>
                  <c:formatCode>General</c:formatCode>
                  <c:ptCount val="7"/>
                  <c:pt idx="0">
                    <c:v>1.2E-2</c:v>
                  </c:pt>
                  <c:pt idx="1">
                    <c:v>2E-3</c:v>
                  </c:pt>
                  <c:pt idx="2">
                    <c:v>1.4999999999999999E-2</c:v>
                  </c:pt>
                  <c:pt idx="3">
                    <c:v>0.01</c:v>
                  </c:pt>
                  <c:pt idx="4">
                    <c:v>6.0000000000000001E-3</c:v>
                  </c:pt>
                  <c:pt idx="5">
                    <c:v>8.9999999999999993E-3</c:v>
                  </c:pt>
                  <c:pt idx="6">
                    <c:v>5.0000000000000001E-3</c:v>
                  </c:pt>
                </c:numCache>
              </c:numRef>
            </c:plus>
            <c:minus>
              <c:numRef>
                <c:f>[1]Data!$AN$28:$AN$34</c:f>
                <c:numCache>
                  <c:formatCode>General</c:formatCode>
                  <c:ptCount val="7"/>
                  <c:pt idx="0">
                    <c:v>1.2E-2</c:v>
                  </c:pt>
                  <c:pt idx="1">
                    <c:v>2E-3</c:v>
                  </c:pt>
                  <c:pt idx="2">
                    <c:v>1.4999999999999999E-2</c:v>
                  </c:pt>
                  <c:pt idx="3">
                    <c:v>0.01</c:v>
                  </c:pt>
                  <c:pt idx="4">
                    <c:v>6.0000000000000001E-3</c:v>
                  </c:pt>
                  <c:pt idx="5">
                    <c:v>8.9999999999999993E-3</c:v>
                  </c:pt>
                  <c:pt idx="6">
                    <c:v>5.0000000000000001E-3</c:v>
                  </c:pt>
                </c:numCache>
              </c:numRef>
            </c:minus>
          </c:errBars>
          <c:xVal>
            <c:numRef>
              <c:f>[1]Data!$AL$28:$AL$34</c:f>
              <c:numCache>
                <c:formatCode>General</c:formatCode>
                <c:ptCount val="7"/>
                <c:pt idx="0">
                  <c:v>0</c:v>
                </c:pt>
                <c:pt idx="1">
                  <c:v>7.0000000000000007E-2</c:v>
                </c:pt>
                <c:pt idx="2">
                  <c:v>0.17499999999999999</c:v>
                </c:pt>
                <c:pt idx="3">
                  <c:v>0.35</c:v>
                </c:pt>
                <c:pt idx="4">
                  <c:v>0.7</c:v>
                </c:pt>
                <c:pt idx="5">
                  <c:v>1.4</c:v>
                </c:pt>
                <c:pt idx="6">
                  <c:v>3.5</c:v>
                </c:pt>
              </c:numCache>
            </c:numRef>
          </c:xVal>
          <c:yVal>
            <c:numRef>
              <c:f>[1]Data!$AM$28:$AM$34</c:f>
              <c:numCache>
                <c:formatCode>General</c:formatCode>
                <c:ptCount val="7"/>
                <c:pt idx="0">
                  <c:v>0.42</c:v>
                </c:pt>
                <c:pt idx="1">
                  <c:v>0.42699999999999999</c:v>
                </c:pt>
                <c:pt idx="2">
                  <c:v>0.52600000000000002</c:v>
                </c:pt>
                <c:pt idx="3">
                  <c:v>0.47699999999999998</c:v>
                </c:pt>
                <c:pt idx="4">
                  <c:v>0.22700000000000001</c:v>
                </c:pt>
                <c:pt idx="5">
                  <c:v>7.2999999999999995E-2</c:v>
                </c:pt>
                <c:pt idx="6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7-41AA-ACC9-9FA97CA4821D}"/>
            </c:ext>
          </c:extLst>
        </c:ser>
        <c:ser>
          <c:idx val="2"/>
          <c:order val="1"/>
          <c:tx>
            <c:v>WT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00B05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[1]Data!$AG$17:$AG$24</c:f>
                <c:numCache>
                  <c:formatCode>General</c:formatCode>
                  <c:ptCount val="8"/>
                  <c:pt idx="0">
                    <c:v>4.1867847647886914E-3</c:v>
                  </c:pt>
                  <c:pt idx="1">
                    <c:v>9.3541434669348715E-3</c:v>
                  </c:pt>
                  <c:pt idx="2">
                    <c:v>7.6216249361055911E-3</c:v>
                  </c:pt>
                  <c:pt idx="3">
                    <c:v>1.6881745565353514E-2</c:v>
                  </c:pt>
                  <c:pt idx="4">
                    <c:v>1.4719601443879758E-3</c:v>
                  </c:pt>
                  <c:pt idx="5">
                    <c:v>1.9362764954072909E-3</c:v>
                  </c:pt>
                  <c:pt idx="6">
                    <c:v>1.4885675440951022E-3</c:v>
                  </c:pt>
                  <c:pt idx="7">
                    <c:v>9.3364429343657483E-3</c:v>
                  </c:pt>
                </c:numCache>
              </c:numRef>
            </c:plus>
            <c:minus>
              <c:numRef>
                <c:f>[1]Data!$AG$17:$AG$24</c:f>
                <c:numCache>
                  <c:formatCode>General</c:formatCode>
                  <c:ptCount val="8"/>
                  <c:pt idx="0">
                    <c:v>4.1867847647886914E-3</c:v>
                  </c:pt>
                  <c:pt idx="1">
                    <c:v>9.3541434669348715E-3</c:v>
                  </c:pt>
                  <c:pt idx="2">
                    <c:v>7.6216249361055911E-3</c:v>
                  </c:pt>
                  <c:pt idx="3">
                    <c:v>1.6881745565353514E-2</c:v>
                  </c:pt>
                  <c:pt idx="4">
                    <c:v>1.4719601443879758E-3</c:v>
                  </c:pt>
                  <c:pt idx="5">
                    <c:v>1.9362764954072909E-3</c:v>
                  </c:pt>
                  <c:pt idx="6">
                    <c:v>1.4885675440951022E-3</c:v>
                  </c:pt>
                  <c:pt idx="7">
                    <c:v>9.3364429343657483E-3</c:v>
                  </c:pt>
                </c:numCache>
              </c:numRef>
            </c:minus>
          </c:errBars>
          <c:xVal>
            <c:numRef>
              <c:f>[1]Data!$AL$17:$AL$25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0.35</c:v>
                </c:pt>
                <c:pt idx="3">
                  <c:v>0.7</c:v>
                </c:pt>
                <c:pt idx="4">
                  <c:v>1.4</c:v>
                </c:pt>
                <c:pt idx="5">
                  <c:v>3.5</c:v>
                </c:pt>
                <c:pt idx="6">
                  <c:v>5.6</c:v>
                </c:pt>
                <c:pt idx="7">
                  <c:v>7</c:v>
                </c:pt>
                <c:pt idx="8">
                  <c:v>10.5</c:v>
                </c:pt>
              </c:numCache>
            </c:numRef>
          </c:xVal>
          <c:yVal>
            <c:numRef>
              <c:f>[1]Data!$AM$17:$AM$25</c:f>
              <c:numCache>
                <c:formatCode>General</c:formatCode>
                <c:ptCount val="9"/>
                <c:pt idx="0">
                  <c:v>0.35699999999999998</c:v>
                </c:pt>
                <c:pt idx="1">
                  <c:v>0.316</c:v>
                </c:pt>
                <c:pt idx="2">
                  <c:v>0.18</c:v>
                </c:pt>
                <c:pt idx="3">
                  <c:v>8.5999999999999993E-2</c:v>
                </c:pt>
                <c:pt idx="4">
                  <c:v>6.6000000000000003E-2</c:v>
                </c:pt>
                <c:pt idx="5">
                  <c:v>2.9000000000000001E-2</c:v>
                </c:pt>
                <c:pt idx="6">
                  <c:v>1.9E-2</c:v>
                </c:pt>
                <c:pt idx="7">
                  <c:v>1.4E-2</c:v>
                </c:pt>
                <c:pt idx="8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7-41AA-ACC9-9FA97CA48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99360"/>
        <c:axId val="547399936"/>
      </c:scatterChart>
      <c:valAx>
        <c:axId val="54739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 Concentration (g/L)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399936"/>
        <c:crosses val="autoZero"/>
        <c:crossBetween val="midCat"/>
      </c:valAx>
      <c:valAx>
        <c:axId val="547399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Avg Mu (1/h)</a:t>
                </a:r>
              </a:p>
              <a:p>
                <a:pPr>
                  <a:defRPr b="1"/>
                </a:pPr>
                <a:endParaRPr lang="en-US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399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589586921427795"/>
          <c:y val="0.30751359014659402"/>
          <c:w val="0.23288998253973101"/>
          <c:h val="0.326447365221253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SuppSheet13!$C$6:$C$23</c:f>
              <c:numCache>
                <c:formatCode>0.0</c:formatCode>
                <c:ptCount val="18"/>
                <c:pt idx="0">
                  <c:v>0</c:v>
                </c:pt>
                <c:pt idx="1">
                  <c:v>2.7333333333372138</c:v>
                </c:pt>
                <c:pt idx="2">
                  <c:v>5.3333333334303461</c:v>
                </c:pt>
                <c:pt idx="3">
                  <c:v>8.1333333334769122</c:v>
                </c:pt>
                <c:pt idx="4">
                  <c:v>10.933333333348855</c:v>
                </c:pt>
                <c:pt idx="5">
                  <c:v>14.183333333465271</c:v>
                </c:pt>
                <c:pt idx="6">
                  <c:v>19.133333333360497</c:v>
                </c:pt>
                <c:pt idx="7">
                  <c:v>22.766666666662786</c:v>
                </c:pt>
                <c:pt idx="8">
                  <c:v>26.450000000128057</c:v>
                </c:pt>
                <c:pt idx="9">
                  <c:v>32.300000000162981</c:v>
                </c:pt>
                <c:pt idx="10">
                  <c:v>35.800000000046566</c:v>
                </c:pt>
                <c:pt idx="11">
                  <c:v>42.900000000139698</c:v>
                </c:pt>
                <c:pt idx="12">
                  <c:v>55.633333333418705</c:v>
                </c:pt>
                <c:pt idx="13">
                  <c:v>70.400000000023283</c:v>
                </c:pt>
                <c:pt idx="14">
                  <c:v>83.06666666676756</c:v>
                </c:pt>
                <c:pt idx="15">
                  <c:v>98.483333333395422</c:v>
                </c:pt>
                <c:pt idx="16">
                  <c:v>116.95000000001164</c:v>
                </c:pt>
                <c:pt idx="17">
                  <c:v>129.98333333339542</c:v>
                </c:pt>
              </c:numCache>
            </c:numRef>
          </c:xVal>
          <c:yVal>
            <c:numRef>
              <c:f>SuppSheet13!$J$6:$J$23</c:f>
              <c:numCache>
                <c:formatCode>0.00</c:formatCode>
                <c:ptCount val="18"/>
                <c:pt idx="0">
                  <c:v>7.44</c:v>
                </c:pt>
                <c:pt idx="1">
                  <c:v>7.16</c:v>
                </c:pt>
                <c:pt idx="2">
                  <c:v>6.87</c:v>
                </c:pt>
                <c:pt idx="3">
                  <c:v>6.32</c:v>
                </c:pt>
                <c:pt idx="4">
                  <c:v>5.24</c:v>
                </c:pt>
                <c:pt idx="5">
                  <c:v>4.91</c:v>
                </c:pt>
                <c:pt idx="6">
                  <c:v>4.97</c:v>
                </c:pt>
                <c:pt idx="7">
                  <c:v>5.07</c:v>
                </c:pt>
                <c:pt idx="8">
                  <c:v>5.19</c:v>
                </c:pt>
                <c:pt idx="9">
                  <c:v>5.48</c:v>
                </c:pt>
                <c:pt idx="10">
                  <c:v>5.62</c:v>
                </c:pt>
                <c:pt idx="11">
                  <c:v>5.87</c:v>
                </c:pt>
                <c:pt idx="12">
                  <c:v>6.08</c:v>
                </c:pt>
                <c:pt idx="13">
                  <c:v>6.25</c:v>
                </c:pt>
                <c:pt idx="14">
                  <c:v>6.38</c:v>
                </c:pt>
                <c:pt idx="15">
                  <c:v>6.58</c:v>
                </c:pt>
                <c:pt idx="16">
                  <c:v>6.77</c:v>
                </c:pt>
                <c:pt idx="17">
                  <c:v>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8-4F69-9F78-467893578F9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SuppSheet13!$C$6:$C$23</c:f>
              <c:numCache>
                <c:formatCode>0.0</c:formatCode>
                <c:ptCount val="18"/>
                <c:pt idx="0">
                  <c:v>0</c:v>
                </c:pt>
                <c:pt idx="1">
                  <c:v>2.7333333333372138</c:v>
                </c:pt>
                <c:pt idx="2">
                  <c:v>5.3333333334303461</c:v>
                </c:pt>
                <c:pt idx="3">
                  <c:v>8.1333333334769122</c:v>
                </c:pt>
                <c:pt idx="4">
                  <c:v>10.933333333348855</c:v>
                </c:pt>
                <c:pt idx="5">
                  <c:v>14.183333333465271</c:v>
                </c:pt>
                <c:pt idx="6">
                  <c:v>19.133333333360497</c:v>
                </c:pt>
                <c:pt idx="7">
                  <c:v>22.766666666662786</c:v>
                </c:pt>
                <c:pt idx="8">
                  <c:v>26.450000000128057</c:v>
                </c:pt>
                <c:pt idx="9">
                  <c:v>32.300000000162981</c:v>
                </c:pt>
                <c:pt idx="10">
                  <c:v>35.800000000046566</c:v>
                </c:pt>
                <c:pt idx="11">
                  <c:v>42.900000000139698</c:v>
                </c:pt>
                <c:pt idx="12">
                  <c:v>55.633333333418705</c:v>
                </c:pt>
                <c:pt idx="13">
                  <c:v>70.400000000023283</c:v>
                </c:pt>
                <c:pt idx="14">
                  <c:v>83.06666666676756</c:v>
                </c:pt>
                <c:pt idx="15">
                  <c:v>98.483333333395422</c:v>
                </c:pt>
                <c:pt idx="16">
                  <c:v>116.95000000001164</c:v>
                </c:pt>
                <c:pt idx="17">
                  <c:v>129.98333333339542</c:v>
                </c:pt>
              </c:numCache>
            </c:numRef>
          </c:xVal>
          <c:yVal>
            <c:numRef>
              <c:f>SuppSheet13!$K$6:$K$23</c:f>
              <c:numCache>
                <c:formatCode>0.00</c:formatCode>
                <c:ptCount val="18"/>
                <c:pt idx="0">
                  <c:v>7.45</c:v>
                </c:pt>
                <c:pt idx="1">
                  <c:v>7.15</c:v>
                </c:pt>
                <c:pt idx="2">
                  <c:v>6.83</c:v>
                </c:pt>
                <c:pt idx="3">
                  <c:v>6.16</c:v>
                </c:pt>
                <c:pt idx="4">
                  <c:v>4.9800000000000004</c:v>
                </c:pt>
                <c:pt idx="5">
                  <c:v>4.8499999999999996</c:v>
                </c:pt>
                <c:pt idx="6">
                  <c:v>4.96</c:v>
                </c:pt>
                <c:pt idx="7">
                  <c:v>5.0599999999999996</c:v>
                </c:pt>
                <c:pt idx="8">
                  <c:v>5.22</c:v>
                </c:pt>
                <c:pt idx="9">
                  <c:v>5.52</c:v>
                </c:pt>
                <c:pt idx="10">
                  <c:v>5.67</c:v>
                </c:pt>
                <c:pt idx="11">
                  <c:v>5.88</c:v>
                </c:pt>
                <c:pt idx="12">
                  <c:v>6.04</c:v>
                </c:pt>
                <c:pt idx="13">
                  <c:v>6.2</c:v>
                </c:pt>
                <c:pt idx="14">
                  <c:v>6.34</c:v>
                </c:pt>
                <c:pt idx="15">
                  <c:v>6.54</c:v>
                </c:pt>
                <c:pt idx="16">
                  <c:v>6.73</c:v>
                </c:pt>
                <c:pt idx="17">
                  <c:v>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B8-4F69-9F78-467893578F9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SuppSheet13!$C$6:$C$23</c:f>
              <c:numCache>
                <c:formatCode>0.0</c:formatCode>
                <c:ptCount val="18"/>
                <c:pt idx="0">
                  <c:v>0</c:v>
                </c:pt>
                <c:pt idx="1">
                  <c:v>2.7333333333372138</c:v>
                </c:pt>
                <c:pt idx="2">
                  <c:v>5.3333333334303461</c:v>
                </c:pt>
                <c:pt idx="3">
                  <c:v>8.1333333334769122</c:v>
                </c:pt>
                <c:pt idx="4">
                  <c:v>10.933333333348855</c:v>
                </c:pt>
                <c:pt idx="5">
                  <c:v>14.183333333465271</c:v>
                </c:pt>
                <c:pt idx="6">
                  <c:v>19.133333333360497</c:v>
                </c:pt>
                <c:pt idx="7">
                  <c:v>22.766666666662786</c:v>
                </c:pt>
                <c:pt idx="8">
                  <c:v>26.450000000128057</c:v>
                </c:pt>
                <c:pt idx="9">
                  <c:v>32.300000000162981</c:v>
                </c:pt>
                <c:pt idx="10">
                  <c:v>35.800000000046566</c:v>
                </c:pt>
                <c:pt idx="11">
                  <c:v>42.900000000139698</c:v>
                </c:pt>
                <c:pt idx="12">
                  <c:v>55.633333333418705</c:v>
                </c:pt>
                <c:pt idx="13">
                  <c:v>70.400000000023283</c:v>
                </c:pt>
                <c:pt idx="14">
                  <c:v>83.06666666676756</c:v>
                </c:pt>
                <c:pt idx="15">
                  <c:v>98.483333333395422</c:v>
                </c:pt>
                <c:pt idx="16">
                  <c:v>116.95000000001164</c:v>
                </c:pt>
                <c:pt idx="17">
                  <c:v>129.98333333339542</c:v>
                </c:pt>
              </c:numCache>
            </c:numRef>
          </c:xVal>
          <c:yVal>
            <c:numRef>
              <c:f>SuppSheet13!$L$6:$L$23</c:f>
              <c:numCache>
                <c:formatCode>0.00</c:formatCode>
                <c:ptCount val="18"/>
                <c:pt idx="0">
                  <c:v>7.46</c:v>
                </c:pt>
                <c:pt idx="1">
                  <c:v>7.17</c:v>
                </c:pt>
                <c:pt idx="2">
                  <c:v>6.89</c:v>
                </c:pt>
                <c:pt idx="3">
                  <c:v>6.34</c:v>
                </c:pt>
                <c:pt idx="4">
                  <c:v>5.17</c:v>
                </c:pt>
                <c:pt idx="5">
                  <c:v>4.84</c:v>
                </c:pt>
                <c:pt idx="6">
                  <c:v>4.92</c:v>
                </c:pt>
                <c:pt idx="7">
                  <c:v>5.01</c:v>
                </c:pt>
                <c:pt idx="8">
                  <c:v>5.12</c:v>
                </c:pt>
                <c:pt idx="9">
                  <c:v>5.35</c:v>
                </c:pt>
                <c:pt idx="10">
                  <c:v>5.49</c:v>
                </c:pt>
                <c:pt idx="11">
                  <c:v>5.77</c:v>
                </c:pt>
                <c:pt idx="12">
                  <c:v>6.12</c:v>
                </c:pt>
                <c:pt idx="13">
                  <c:v>6.34</c:v>
                </c:pt>
                <c:pt idx="14">
                  <c:v>6.47</c:v>
                </c:pt>
                <c:pt idx="15">
                  <c:v>6.68</c:v>
                </c:pt>
                <c:pt idx="16">
                  <c:v>6.85</c:v>
                </c:pt>
                <c:pt idx="17">
                  <c:v>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B8-4F69-9F78-467893578F9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SuppSheet13!$C$6:$C$23</c:f>
              <c:numCache>
                <c:formatCode>0.0</c:formatCode>
                <c:ptCount val="18"/>
                <c:pt idx="0">
                  <c:v>0</c:v>
                </c:pt>
                <c:pt idx="1">
                  <c:v>2.7333333333372138</c:v>
                </c:pt>
                <c:pt idx="2">
                  <c:v>5.3333333334303461</c:v>
                </c:pt>
                <c:pt idx="3">
                  <c:v>8.1333333334769122</c:v>
                </c:pt>
                <c:pt idx="4">
                  <c:v>10.933333333348855</c:v>
                </c:pt>
                <c:pt idx="5">
                  <c:v>14.183333333465271</c:v>
                </c:pt>
                <c:pt idx="6">
                  <c:v>19.133333333360497</c:v>
                </c:pt>
                <c:pt idx="7">
                  <c:v>22.766666666662786</c:v>
                </c:pt>
                <c:pt idx="8">
                  <c:v>26.450000000128057</c:v>
                </c:pt>
                <c:pt idx="9">
                  <c:v>32.300000000162981</c:v>
                </c:pt>
                <c:pt idx="10">
                  <c:v>35.800000000046566</c:v>
                </c:pt>
                <c:pt idx="11">
                  <c:v>42.900000000139698</c:v>
                </c:pt>
                <c:pt idx="12">
                  <c:v>55.633333333418705</c:v>
                </c:pt>
                <c:pt idx="13">
                  <c:v>70.400000000023283</c:v>
                </c:pt>
                <c:pt idx="14">
                  <c:v>83.06666666676756</c:v>
                </c:pt>
                <c:pt idx="15">
                  <c:v>98.483333333395422</c:v>
                </c:pt>
                <c:pt idx="16">
                  <c:v>116.95000000001164</c:v>
                </c:pt>
                <c:pt idx="17">
                  <c:v>129.98333333339542</c:v>
                </c:pt>
              </c:numCache>
            </c:numRef>
          </c:xVal>
          <c:yVal>
            <c:numRef>
              <c:f>SuppSheet13!$M$6:$M$23</c:f>
              <c:numCache>
                <c:formatCode>0.00</c:formatCode>
                <c:ptCount val="18"/>
                <c:pt idx="0">
                  <c:v>7.49</c:v>
                </c:pt>
                <c:pt idx="1">
                  <c:v>7.45</c:v>
                </c:pt>
                <c:pt idx="2">
                  <c:v>7.42</c:v>
                </c:pt>
                <c:pt idx="3">
                  <c:v>7.4</c:v>
                </c:pt>
                <c:pt idx="4">
                  <c:v>7.37</c:v>
                </c:pt>
                <c:pt idx="5">
                  <c:v>7.34</c:v>
                </c:pt>
                <c:pt idx="6">
                  <c:v>7.29</c:v>
                </c:pt>
                <c:pt idx="7">
                  <c:v>7.26</c:v>
                </c:pt>
                <c:pt idx="8">
                  <c:v>7.22</c:v>
                </c:pt>
                <c:pt idx="9">
                  <c:v>7.19</c:v>
                </c:pt>
                <c:pt idx="10">
                  <c:v>7.16</c:v>
                </c:pt>
                <c:pt idx="11">
                  <c:v>7.12</c:v>
                </c:pt>
                <c:pt idx="12">
                  <c:v>7.06</c:v>
                </c:pt>
                <c:pt idx="13">
                  <c:v>6.97</c:v>
                </c:pt>
                <c:pt idx="14">
                  <c:v>6.93</c:v>
                </c:pt>
                <c:pt idx="15">
                  <c:v>6.84</c:v>
                </c:pt>
                <c:pt idx="16">
                  <c:v>6.78</c:v>
                </c:pt>
                <c:pt idx="17">
                  <c:v>6.74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B8-4F69-9F78-467893578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33776"/>
        <c:axId val="509614224"/>
      </c:scatterChart>
      <c:valAx>
        <c:axId val="50963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14224"/>
        <c:crosses val="autoZero"/>
        <c:crossBetween val="midCat"/>
      </c:valAx>
      <c:valAx>
        <c:axId val="5096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3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ECOM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SuppSheet13!$AV$6:$AV$20</c:f>
                <c:numCache>
                  <c:formatCode>General</c:formatCode>
                  <c:ptCount val="15"/>
                  <c:pt idx="0">
                    <c:v>9.5506933784131845E-2</c:v>
                  </c:pt>
                  <c:pt idx="1">
                    <c:v>1.3444995622409852E-2</c:v>
                  </c:pt>
                  <c:pt idx="2">
                    <c:v>6.7149845303098449E-2</c:v>
                  </c:pt>
                  <c:pt idx="3">
                    <c:v>2.2382016743694232E-2</c:v>
                  </c:pt>
                  <c:pt idx="4">
                    <c:v>6.6306816469783231E-2</c:v>
                  </c:pt>
                  <c:pt idx="5">
                    <c:v>8.3583541791225957E-2</c:v>
                  </c:pt>
                  <c:pt idx="14">
                    <c:v>0.18618128522672026</c:v>
                  </c:pt>
                </c:numCache>
              </c:numRef>
            </c:plus>
            <c:minus>
              <c:numRef>
                <c:f>SuppSheet13!$AV$6:$AV$20</c:f>
                <c:numCache>
                  <c:formatCode>General</c:formatCode>
                  <c:ptCount val="15"/>
                  <c:pt idx="0">
                    <c:v>9.5506933784131845E-2</c:v>
                  </c:pt>
                  <c:pt idx="1">
                    <c:v>1.3444995622409852E-2</c:v>
                  </c:pt>
                  <c:pt idx="2">
                    <c:v>6.7149845303098449E-2</c:v>
                  </c:pt>
                  <c:pt idx="3">
                    <c:v>2.2382016743694232E-2</c:v>
                  </c:pt>
                  <c:pt idx="4">
                    <c:v>6.6306816469783231E-2</c:v>
                  </c:pt>
                  <c:pt idx="5">
                    <c:v>8.3583541791225957E-2</c:v>
                  </c:pt>
                  <c:pt idx="14">
                    <c:v>0.18618128522672026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SuppSheet13!$C$6:$C$20</c:f>
              <c:numCache>
                <c:formatCode>0.0</c:formatCode>
                <c:ptCount val="15"/>
                <c:pt idx="0">
                  <c:v>0</c:v>
                </c:pt>
                <c:pt idx="1">
                  <c:v>2.7333333333372138</c:v>
                </c:pt>
                <c:pt idx="2">
                  <c:v>5.3333333334303461</c:v>
                </c:pt>
                <c:pt idx="3">
                  <c:v>8.1333333334769122</c:v>
                </c:pt>
                <c:pt idx="4">
                  <c:v>10.933333333348855</c:v>
                </c:pt>
                <c:pt idx="5">
                  <c:v>14.183333333465271</c:v>
                </c:pt>
                <c:pt idx="6">
                  <c:v>19.133333333360497</c:v>
                </c:pt>
                <c:pt idx="7">
                  <c:v>22.766666666662786</c:v>
                </c:pt>
                <c:pt idx="8">
                  <c:v>26.450000000128057</c:v>
                </c:pt>
                <c:pt idx="9">
                  <c:v>32.300000000162981</c:v>
                </c:pt>
                <c:pt idx="10">
                  <c:v>35.800000000046566</c:v>
                </c:pt>
                <c:pt idx="11">
                  <c:v>42.900000000139698</c:v>
                </c:pt>
                <c:pt idx="12">
                  <c:v>55.633333333418705</c:v>
                </c:pt>
                <c:pt idx="13">
                  <c:v>70.400000000023283</c:v>
                </c:pt>
                <c:pt idx="14">
                  <c:v>83.06666666676756</c:v>
                </c:pt>
              </c:numCache>
            </c:numRef>
          </c:xVal>
          <c:yVal>
            <c:numRef>
              <c:f>SuppSheet13!$AU$6:$AU$20</c:f>
              <c:numCache>
                <c:formatCode>0.00</c:formatCode>
                <c:ptCount val="15"/>
                <c:pt idx="0">
                  <c:v>0.43640835491624586</c:v>
                </c:pt>
                <c:pt idx="1">
                  <c:v>0.43388302689496855</c:v>
                </c:pt>
                <c:pt idx="2">
                  <c:v>0.37093347513872627</c:v>
                </c:pt>
                <c:pt idx="3">
                  <c:v>0.49465319559000093</c:v>
                </c:pt>
                <c:pt idx="4">
                  <c:v>0.48903713424710799</c:v>
                </c:pt>
                <c:pt idx="5">
                  <c:v>0.37386354279747896</c:v>
                </c:pt>
                <c:pt idx="14">
                  <c:v>-0.34408807786188272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6-4B78-8BCB-ABB5544B6172}"/>
            </c:ext>
          </c:extLst>
        </c:ser>
        <c:ser>
          <c:idx val="1"/>
          <c:order val="1"/>
          <c:tx>
            <c:v>403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SuppSheet13!$BA$6:$BA$20</c:f>
                <c:numCache>
                  <c:formatCode>General</c:formatCode>
                  <c:ptCount val="15"/>
                  <c:pt idx="0">
                    <c:v>9.5506933784132136E-2</c:v>
                  </c:pt>
                  <c:pt idx="1">
                    <c:v>1.3444995622409871E-2</c:v>
                  </c:pt>
                  <c:pt idx="2">
                    <c:v>6.7149845303098393E-2</c:v>
                  </c:pt>
                  <c:pt idx="3">
                    <c:v>2.2382016743694177E-2</c:v>
                  </c:pt>
                  <c:pt idx="4">
                    <c:v>6.6306816469782384E-2</c:v>
                  </c:pt>
                  <c:pt idx="5">
                    <c:v>8.3583541791225957E-2</c:v>
                  </c:pt>
                  <c:pt idx="14">
                    <c:v>0.18618128522672064</c:v>
                  </c:pt>
                </c:numCache>
              </c:numRef>
            </c:plus>
            <c:minus>
              <c:numRef>
                <c:f>SuppSheet13!$BA$6:$BA$20</c:f>
                <c:numCache>
                  <c:formatCode>General</c:formatCode>
                  <c:ptCount val="15"/>
                  <c:pt idx="0">
                    <c:v>9.5506933784132136E-2</c:v>
                  </c:pt>
                  <c:pt idx="1">
                    <c:v>1.3444995622409871E-2</c:v>
                  </c:pt>
                  <c:pt idx="2">
                    <c:v>6.7149845303098393E-2</c:v>
                  </c:pt>
                  <c:pt idx="3">
                    <c:v>2.2382016743694177E-2</c:v>
                  </c:pt>
                  <c:pt idx="4">
                    <c:v>6.6306816469782384E-2</c:v>
                  </c:pt>
                  <c:pt idx="5">
                    <c:v>8.3583541791225957E-2</c:v>
                  </c:pt>
                  <c:pt idx="14">
                    <c:v>0.18618128522672064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SuppSheet13!$C$6:$C$20</c:f>
              <c:numCache>
                <c:formatCode>0.0</c:formatCode>
                <c:ptCount val="15"/>
                <c:pt idx="0">
                  <c:v>0</c:v>
                </c:pt>
                <c:pt idx="1">
                  <c:v>2.7333333333372138</c:v>
                </c:pt>
                <c:pt idx="2">
                  <c:v>5.3333333334303461</c:v>
                </c:pt>
                <c:pt idx="3">
                  <c:v>8.1333333334769122</c:v>
                </c:pt>
                <c:pt idx="4">
                  <c:v>10.933333333348855</c:v>
                </c:pt>
                <c:pt idx="5">
                  <c:v>14.183333333465271</c:v>
                </c:pt>
                <c:pt idx="6">
                  <c:v>19.133333333360497</c:v>
                </c:pt>
                <c:pt idx="7">
                  <c:v>22.766666666662786</c:v>
                </c:pt>
                <c:pt idx="8">
                  <c:v>26.450000000128057</c:v>
                </c:pt>
                <c:pt idx="9">
                  <c:v>32.300000000162981</c:v>
                </c:pt>
                <c:pt idx="10">
                  <c:v>35.800000000046566</c:v>
                </c:pt>
                <c:pt idx="11">
                  <c:v>42.900000000139698</c:v>
                </c:pt>
                <c:pt idx="12">
                  <c:v>55.633333333418705</c:v>
                </c:pt>
                <c:pt idx="13">
                  <c:v>70.400000000023283</c:v>
                </c:pt>
                <c:pt idx="14">
                  <c:v>83.06666666676756</c:v>
                </c:pt>
              </c:numCache>
            </c:numRef>
          </c:xVal>
          <c:yVal>
            <c:numRef>
              <c:f>SuppSheet13!$AZ$6:$AZ$20</c:f>
              <c:numCache>
                <c:formatCode>0.00</c:formatCode>
                <c:ptCount val="15"/>
                <c:pt idx="0">
                  <c:v>0.56359164508375403</c:v>
                </c:pt>
                <c:pt idx="1">
                  <c:v>0.5661169731050314</c:v>
                </c:pt>
                <c:pt idx="2">
                  <c:v>0.62906652486127379</c:v>
                </c:pt>
                <c:pt idx="3">
                  <c:v>0.50534680440999902</c:v>
                </c:pt>
                <c:pt idx="4">
                  <c:v>0.51096286575289207</c:v>
                </c:pt>
                <c:pt idx="5">
                  <c:v>0.62613645720252109</c:v>
                </c:pt>
                <c:pt idx="14">
                  <c:v>1.3440880778618827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76-4B78-8BCB-ABB5544B6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77864"/>
        <c:axId val="493183440"/>
      </c:scatterChart>
      <c:valAx>
        <c:axId val="49317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3440"/>
        <c:crosses val="autoZero"/>
        <c:crossBetween val="midCat"/>
      </c:valAx>
      <c:valAx>
        <c:axId val="4931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Proproption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7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SuppSheet13!$AV$6:$AV$20</c:f>
                <c:numCache>
                  <c:formatCode>General</c:formatCode>
                  <c:ptCount val="15"/>
                  <c:pt idx="0">
                    <c:v>9.5506933784131845E-2</c:v>
                  </c:pt>
                  <c:pt idx="1">
                    <c:v>1.3444995622409852E-2</c:v>
                  </c:pt>
                  <c:pt idx="2">
                    <c:v>6.7149845303098449E-2</c:v>
                  </c:pt>
                  <c:pt idx="3">
                    <c:v>2.2382016743694232E-2</c:v>
                  </c:pt>
                  <c:pt idx="4">
                    <c:v>6.6306816469783231E-2</c:v>
                  </c:pt>
                  <c:pt idx="5">
                    <c:v>8.3583541791225957E-2</c:v>
                  </c:pt>
                  <c:pt idx="14">
                    <c:v>0.18618128522672026</c:v>
                  </c:pt>
                </c:numCache>
              </c:numRef>
            </c:plus>
            <c:minus>
              <c:numRef>
                <c:f>SuppSheet13!$AV$6:$AV$20</c:f>
                <c:numCache>
                  <c:formatCode>General</c:formatCode>
                  <c:ptCount val="15"/>
                  <c:pt idx="0">
                    <c:v>9.5506933784131845E-2</c:v>
                  </c:pt>
                  <c:pt idx="1">
                    <c:v>1.3444995622409852E-2</c:v>
                  </c:pt>
                  <c:pt idx="2">
                    <c:v>6.7149845303098449E-2</c:v>
                  </c:pt>
                  <c:pt idx="3">
                    <c:v>2.2382016743694232E-2</c:v>
                  </c:pt>
                  <c:pt idx="4">
                    <c:v>6.6306816469783231E-2</c:v>
                  </c:pt>
                  <c:pt idx="5">
                    <c:v>8.3583541791225957E-2</c:v>
                  </c:pt>
                  <c:pt idx="14">
                    <c:v>0.18618128522672026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SuppSheet13!$C$6:$C$11</c:f>
              <c:numCache>
                <c:formatCode>0.0</c:formatCode>
                <c:ptCount val="6"/>
                <c:pt idx="0">
                  <c:v>0</c:v>
                </c:pt>
                <c:pt idx="1">
                  <c:v>2.7333333333372138</c:v>
                </c:pt>
                <c:pt idx="2">
                  <c:v>5.3333333334303461</c:v>
                </c:pt>
                <c:pt idx="3">
                  <c:v>8.1333333334769122</c:v>
                </c:pt>
                <c:pt idx="4">
                  <c:v>10.933333333348855</c:v>
                </c:pt>
                <c:pt idx="5">
                  <c:v>14.183333333465271</c:v>
                </c:pt>
              </c:numCache>
            </c:numRef>
          </c:xVal>
          <c:yVal>
            <c:numRef>
              <c:f>SuppSheet13!$AU$6:$AU$11</c:f>
              <c:numCache>
                <c:formatCode>0.00</c:formatCode>
                <c:ptCount val="6"/>
                <c:pt idx="0">
                  <c:v>0.43640835491624586</c:v>
                </c:pt>
                <c:pt idx="1">
                  <c:v>0.43388302689496855</c:v>
                </c:pt>
                <c:pt idx="2">
                  <c:v>0.37093347513872627</c:v>
                </c:pt>
                <c:pt idx="3">
                  <c:v>0.49465319559000093</c:v>
                </c:pt>
                <c:pt idx="4">
                  <c:v>0.48903713424710799</c:v>
                </c:pt>
                <c:pt idx="5">
                  <c:v>0.37386354279747896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3-474A-B8BF-7321059F367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SuppSheet13!$BA$6:$BA$20</c:f>
                <c:numCache>
                  <c:formatCode>General</c:formatCode>
                  <c:ptCount val="15"/>
                  <c:pt idx="0">
                    <c:v>9.5506933784132136E-2</c:v>
                  </c:pt>
                  <c:pt idx="1">
                    <c:v>1.3444995622409871E-2</c:v>
                  </c:pt>
                  <c:pt idx="2">
                    <c:v>6.7149845303098393E-2</c:v>
                  </c:pt>
                  <c:pt idx="3">
                    <c:v>2.2382016743694177E-2</c:v>
                  </c:pt>
                  <c:pt idx="4">
                    <c:v>6.6306816469782384E-2</c:v>
                  </c:pt>
                  <c:pt idx="5">
                    <c:v>8.3583541791225957E-2</c:v>
                  </c:pt>
                  <c:pt idx="14">
                    <c:v>0.18618128522672064</c:v>
                  </c:pt>
                </c:numCache>
              </c:numRef>
            </c:plus>
            <c:minus>
              <c:numRef>
                <c:f>SuppSheet13!$BA$6:$BA$20</c:f>
                <c:numCache>
                  <c:formatCode>General</c:formatCode>
                  <c:ptCount val="15"/>
                  <c:pt idx="0">
                    <c:v>9.5506933784132136E-2</c:v>
                  </c:pt>
                  <c:pt idx="1">
                    <c:v>1.3444995622409871E-2</c:v>
                  </c:pt>
                  <c:pt idx="2">
                    <c:v>6.7149845303098393E-2</c:v>
                  </c:pt>
                  <c:pt idx="3">
                    <c:v>2.2382016743694177E-2</c:v>
                  </c:pt>
                  <c:pt idx="4">
                    <c:v>6.6306816469782384E-2</c:v>
                  </c:pt>
                  <c:pt idx="5">
                    <c:v>8.3583541791225957E-2</c:v>
                  </c:pt>
                  <c:pt idx="14">
                    <c:v>0.18618128522672064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SuppSheet13!$C$6:$C$11</c:f>
              <c:numCache>
                <c:formatCode>0.0</c:formatCode>
                <c:ptCount val="6"/>
                <c:pt idx="0">
                  <c:v>0</c:v>
                </c:pt>
                <c:pt idx="1">
                  <c:v>2.7333333333372138</c:v>
                </c:pt>
                <c:pt idx="2">
                  <c:v>5.3333333334303461</c:v>
                </c:pt>
                <c:pt idx="3">
                  <c:v>8.1333333334769122</c:v>
                </c:pt>
                <c:pt idx="4">
                  <c:v>10.933333333348855</c:v>
                </c:pt>
                <c:pt idx="5">
                  <c:v>14.183333333465271</c:v>
                </c:pt>
              </c:numCache>
            </c:numRef>
          </c:xVal>
          <c:yVal>
            <c:numRef>
              <c:f>SuppSheet13!$AZ$6:$AZ$11</c:f>
              <c:numCache>
                <c:formatCode>0.00</c:formatCode>
                <c:ptCount val="6"/>
                <c:pt idx="0">
                  <c:v>0.56359164508375403</c:v>
                </c:pt>
                <c:pt idx="1">
                  <c:v>0.5661169731050314</c:v>
                </c:pt>
                <c:pt idx="2">
                  <c:v>0.62906652486127379</c:v>
                </c:pt>
                <c:pt idx="3">
                  <c:v>0.50534680440999902</c:v>
                </c:pt>
                <c:pt idx="4">
                  <c:v>0.51096286575289207</c:v>
                </c:pt>
                <c:pt idx="5">
                  <c:v>0.62613645720252109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F3-474A-B8BF-7321059F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77864"/>
        <c:axId val="493183440"/>
      </c:scatterChart>
      <c:valAx>
        <c:axId val="49317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3440"/>
        <c:crosses val="autoZero"/>
        <c:crossBetween val="midCat"/>
      </c:valAx>
      <c:valAx>
        <c:axId val="4931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Proproption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7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Lactate Consortia pH 7.5,</a:t>
            </a:r>
            <a:r>
              <a:rPr lang="en-US" baseline="0"/>
              <a:t> 2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SuppSheet13!$C$6:$C$23</c:f>
              <c:numCache>
                <c:formatCode>0.0</c:formatCode>
                <c:ptCount val="18"/>
                <c:pt idx="0">
                  <c:v>0</c:v>
                </c:pt>
                <c:pt idx="1">
                  <c:v>2.7333333333372138</c:v>
                </c:pt>
                <c:pt idx="2">
                  <c:v>5.3333333334303461</c:v>
                </c:pt>
                <c:pt idx="3">
                  <c:v>8.1333333334769122</c:v>
                </c:pt>
                <c:pt idx="4">
                  <c:v>10.933333333348855</c:v>
                </c:pt>
                <c:pt idx="5">
                  <c:v>14.183333333465271</c:v>
                </c:pt>
                <c:pt idx="6">
                  <c:v>19.133333333360497</c:v>
                </c:pt>
                <c:pt idx="7">
                  <c:v>22.766666666662786</c:v>
                </c:pt>
                <c:pt idx="8">
                  <c:v>26.450000000128057</c:v>
                </c:pt>
                <c:pt idx="9">
                  <c:v>32.300000000162981</c:v>
                </c:pt>
                <c:pt idx="10">
                  <c:v>35.800000000046566</c:v>
                </c:pt>
                <c:pt idx="11">
                  <c:v>42.900000000139698</c:v>
                </c:pt>
                <c:pt idx="12">
                  <c:v>55.633333333418705</c:v>
                </c:pt>
                <c:pt idx="13">
                  <c:v>70.400000000023283</c:v>
                </c:pt>
                <c:pt idx="14">
                  <c:v>83.06666666676756</c:v>
                </c:pt>
                <c:pt idx="15">
                  <c:v>98.483333333395422</c:v>
                </c:pt>
                <c:pt idx="16">
                  <c:v>116.95000000001164</c:v>
                </c:pt>
                <c:pt idx="17">
                  <c:v>129.98333333339542</c:v>
                </c:pt>
              </c:numCache>
            </c:numRef>
          </c:xVal>
          <c:yVal>
            <c:numRef>
              <c:f>SuppSheet13!$D$6:$D$23</c:f>
              <c:numCache>
                <c:formatCode>0.000</c:formatCode>
                <c:ptCount val="18"/>
                <c:pt idx="0">
                  <c:v>4.2000000000000003E-2</c:v>
                </c:pt>
                <c:pt idx="1">
                  <c:v>6.9000000000000006E-2</c:v>
                </c:pt>
                <c:pt idx="2">
                  <c:v>0.104</c:v>
                </c:pt>
                <c:pt idx="3">
                  <c:v>0.14699999999999999</c:v>
                </c:pt>
                <c:pt idx="4">
                  <c:v>0.17299999999999999</c:v>
                </c:pt>
                <c:pt idx="5">
                  <c:v>0.188</c:v>
                </c:pt>
                <c:pt idx="6">
                  <c:v>0.21099999999999999</c:v>
                </c:pt>
                <c:pt idx="7">
                  <c:v>0.22500000000000001</c:v>
                </c:pt>
                <c:pt idx="8">
                  <c:v>0.23899999999999999</c:v>
                </c:pt>
                <c:pt idx="9">
                  <c:v>0.26700000000000002</c:v>
                </c:pt>
                <c:pt idx="10">
                  <c:v>0.27900000000000003</c:v>
                </c:pt>
                <c:pt idx="11">
                  <c:v>0.29399999999999998</c:v>
                </c:pt>
                <c:pt idx="12">
                  <c:v>0.32600000000000001</c:v>
                </c:pt>
                <c:pt idx="13">
                  <c:v>0.35599999999999998</c:v>
                </c:pt>
                <c:pt idx="14">
                  <c:v>0.378</c:v>
                </c:pt>
                <c:pt idx="15">
                  <c:v>0.40400000000000003</c:v>
                </c:pt>
                <c:pt idx="16">
                  <c:v>0.44800000000000001</c:v>
                </c:pt>
                <c:pt idx="17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8-4342-9AB6-BD0EA3AFC06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SuppSheet13!$C$6:$C$23</c:f>
              <c:numCache>
                <c:formatCode>0.0</c:formatCode>
                <c:ptCount val="18"/>
                <c:pt idx="0">
                  <c:v>0</c:v>
                </c:pt>
                <c:pt idx="1">
                  <c:v>2.7333333333372138</c:v>
                </c:pt>
                <c:pt idx="2">
                  <c:v>5.3333333334303461</c:v>
                </c:pt>
                <c:pt idx="3">
                  <c:v>8.1333333334769122</c:v>
                </c:pt>
                <c:pt idx="4">
                  <c:v>10.933333333348855</c:v>
                </c:pt>
                <c:pt idx="5">
                  <c:v>14.183333333465271</c:v>
                </c:pt>
                <c:pt idx="6">
                  <c:v>19.133333333360497</c:v>
                </c:pt>
                <c:pt idx="7">
                  <c:v>22.766666666662786</c:v>
                </c:pt>
                <c:pt idx="8">
                  <c:v>26.450000000128057</c:v>
                </c:pt>
                <c:pt idx="9">
                  <c:v>32.300000000162981</c:v>
                </c:pt>
                <c:pt idx="10">
                  <c:v>35.800000000046566</c:v>
                </c:pt>
                <c:pt idx="11">
                  <c:v>42.900000000139698</c:v>
                </c:pt>
                <c:pt idx="12">
                  <c:v>55.633333333418705</c:v>
                </c:pt>
                <c:pt idx="13">
                  <c:v>70.400000000023283</c:v>
                </c:pt>
                <c:pt idx="14">
                  <c:v>83.06666666676756</c:v>
                </c:pt>
                <c:pt idx="15">
                  <c:v>98.483333333395422</c:v>
                </c:pt>
                <c:pt idx="16">
                  <c:v>116.95000000001164</c:v>
                </c:pt>
                <c:pt idx="17">
                  <c:v>129.98333333339542</c:v>
                </c:pt>
              </c:numCache>
            </c:numRef>
          </c:xVal>
          <c:yVal>
            <c:numRef>
              <c:f>SuppSheet13!$E$6:$E$23</c:f>
              <c:numCache>
                <c:formatCode>0.000</c:formatCode>
                <c:ptCount val="18"/>
                <c:pt idx="0">
                  <c:v>4.2999999999999997E-2</c:v>
                </c:pt>
                <c:pt idx="1">
                  <c:v>7.0999999999999994E-2</c:v>
                </c:pt>
                <c:pt idx="2">
                  <c:v>0.107</c:v>
                </c:pt>
                <c:pt idx="3">
                  <c:v>0.156</c:v>
                </c:pt>
                <c:pt idx="4">
                  <c:v>0.183</c:v>
                </c:pt>
                <c:pt idx="5">
                  <c:v>0.20499999999999999</c:v>
                </c:pt>
                <c:pt idx="6">
                  <c:v>0.23100000000000001</c:v>
                </c:pt>
                <c:pt idx="7">
                  <c:v>0.246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0.314</c:v>
                </c:pt>
                <c:pt idx="11">
                  <c:v>0.33400000000000002</c:v>
                </c:pt>
                <c:pt idx="12">
                  <c:v>0.37</c:v>
                </c:pt>
                <c:pt idx="13">
                  <c:v>0.39600000000000002</c:v>
                </c:pt>
                <c:pt idx="14">
                  <c:v>0.42</c:v>
                </c:pt>
                <c:pt idx="15">
                  <c:v>0.45200000000000001</c:v>
                </c:pt>
                <c:pt idx="16">
                  <c:v>0.49199999999999999</c:v>
                </c:pt>
                <c:pt idx="17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28-4342-9AB6-BD0EA3AFC06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SuppSheet13!$C$6:$C$23</c:f>
              <c:numCache>
                <c:formatCode>0.0</c:formatCode>
                <c:ptCount val="18"/>
                <c:pt idx="0">
                  <c:v>0</c:v>
                </c:pt>
                <c:pt idx="1">
                  <c:v>2.7333333333372138</c:v>
                </c:pt>
                <c:pt idx="2">
                  <c:v>5.3333333334303461</c:v>
                </c:pt>
                <c:pt idx="3">
                  <c:v>8.1333333334769122</c:v>
                </c:pt>
                <c:pt idx="4">
                  <c:v>10.933333333348855</c:v>
                </c:pt>
                <c:pt idx="5">
                  <c:v>14.183333333465271</c:v>
                </c:pt>
                <c:pt idx="6">
                  <c:v>19.133333333360497</c:v>
                </c:pt>
                <c:pt idx="7">
                  <c:v>22.766666666662786</c:v>
                </c:pt>
                <c:pt idx="8">
                  <c:v>26.450000000128057</c:v>
                </c:pt>
                <c:pt idx="9">
                  <c:v>32.300000000162981</c:v>
                </c:pt>
                <c:pt idx="10">
                  <c:v>35.800000000046566</c:v>
                </c:pt>
                <c:pt idx="11">
                  <c:v>42.900000000139698</c:v>
                </c:pt>
                <c:pt idx="12">
                  <c:v>55.633333333418705</c:v>
                </c:pt>
                <c:pt idx="13">
                  <c:v>70.400000000023283</c:v>
                </c:pt>
                <c:pt idx="14">
                  <c:v>83.06666666676756</c:v>
                </c:pt>
                <c:pt idx="15">
                  <c:v>98.483333333395422</c:v>
                </c:pt>
                <c:pt idx="16">
                  <c:v>116.95000000001164</c:v>
                </c:pt>
                <c:pt idx="17">
                  <c:v>129.98333333339542</c:v>
                </c:pt>
              </c:numCache>
            </c:numRef>
          </c:xVal>
          <c:yVal>
            <c:numRef>
              <c:f>SuppSheet13!$F$6:$F$23</c:f>
              <c:numCache>
                <c:formatCode>0.000</c:formatCode>
                <c:ptCount val="18"/>
                <c:pt idx="0">
                  <c:v>4.2000000000000003E-2</c:v>
                </c:pt>
                <c:pt idx="1">
                  <c:v>6.7000000000000004E-2</c:v>
                </c:pt>
                <c:pt idx="2">
                  <c:v>9.8000000000000004E-2</c:v>
                </c:pt>
                <c:pt idx="3">
                  <c:v>0.13900000000000001</c:v>
                </c:pt>
                <c:pt idx="4">
                  <c:v>0.16</c:v>
                </c:pt>
                <c:pt idx="5">
                  <c:v>0.17299999999999999</c:v>
                </c:pt>
                <c:pt idx="6">
                  <c:v>0.19800000000000001</c:v>
                </c:pt>
                <c:pt idx="7">
                  <c:v>0.21</c:v>
                </c:pt>
                <c:pt idx="8">
                  <c:v>0.22500000000000001</c:v>
                </c:pt>
                <c:pt idx="9">
                  <c:v>0.248</c:v>
                </c:pt>
                <c:pt idx="10">
                  <c:v>0.26200000000000001</c:v>
                </c:pt>
                <c:pt idx="11">
                  <c:v>0.28000000000000003</c:v>
                </c:pt>
                <c:pt idx="12">
                  <c:v>0.312</c:v>
                </c:pt>
                <c:pt idx="13">
                  <c:v>0.34</c:v>
                </c:pt>
                <c:pt idx="14">
                  <c:v>0.36</c:v>
                </c:pt>
                <c:pt idx="15">
                  <c:v>0.38400000000000001</c:v>
                </c:pt>
                <c:pt idx="16">
                  <c:v>0.42599999999999999</c:v>
                </c:pt>
                <c:pt idx="17">
                  <c:v>0.45400000000000001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28-4342-9AB6-BD0EA3AFC06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8"/>
              <c:pt idx="0">
                <c:v>0</c:v>
              </c:pt>
              <c:pt idx="1">
                <c:v>2.9833333332790062</c:v>
              </c:pt>
              <c:pt idx="2">
                <c:v>6.0499999999883585</c:v>
              </c:pt>
              <c:pt idx="3">
                <c:v>9.2333333332207985</c:v>
              </c:pt>
              <c:pt idx="4">
                <c:v>12.899999999965075</c:v>
              </c:pt>
              <c:pt idx="5">
                <c:v>20.850000000034925</c:v>
              </c:pt>
              <c:pt idx="6">
                <c:v>29.449999999953434</c:v>
              </c:pt>
              <c:pt idx="7">
                <c:v>46.166666666627862</c:v>
              </c:pt>
              <c:pt idx="8">
                <c:v>61.350000000034925</c:v>
              </c:pt>
              <c:pt idx="9">
                <c:v>77.083333333313931</c:v>
              </c:pt>
              <c:pt idx="10">
                <c:v>98.733333333337214</c:v>
              </c:pt>
              <c:pt idx="11">
                <c:v>130.19999999989523</c:v>
              </c:pt>
              <c:pt idx="12">
                <c:v>157.69999999995343</c:v>
              </c:pt>
              <c:pt idx="13">
                <c:v>190.8833333333605</c:v>
              </c:pt>
              <c:pt idx="14">
                <c:v>216.18333333323244</c:v>
              </c:pt>
              <c:pt idx="15">
                <c:v>239.6166666666395</c:v>
              </c:pt>
              <c:pt idx="16">
                <c:v>262.8666666666395</c:v>
              </c:pt>
              <c:pt idx="17">
                <c:v>363.28333333320916</c:v>
              </c:pt>
            </c:numLit>
          </c:xVal>
          <c:yVal>
            <c:numLit>
              <c:formatCode>General</c:formatCode>
              <c:ptCount val="18"/>
              <c:pt idx="0">
                <c:v>4.2999999999999997E-2</c:v>
              </c:pt>
              <c:pt idx="1">
                <c:v>7.3435784091383891E-2</c:v>
              </c:pt>
              <c:pt idx="2">
                <c:v>0.12012829882898753</c:v>
              </c:pt>
              <c:pt idx="3">
                <c:v>0.16019081611144953</c:v>
              </c:pt>
              <c:pt idx="4">
                <c:v>0.17905155278068141</c:v>
              </c:pt>
              <c:pt idx="5">
                <c:v>0.19550230955812631</c:v>
              </c:pt>
              <c:pt idx="6">
                <c:v>0.21564465156472831</c:v>
              </c:pt>
              <c:pt idx="7">
                <c:v>0.23952198518385848</c:v>
              </c:pt>
              <c:pt idx="8">
                <c:v>0.25388654552581519</c:v>
              </c:pt>
              <c:pt idx="9">
                <c:v>0.27367169253933082</c:v>
              </c:pt>
              <c:pt idx="10">
                <c:v>0.3173153837822773</c:v>
              </c:pt>
              <c:pt idx="11">
                <c:v>0.34748479563100998</c:v>
              </c:pt>
              <c:pt idx="12">
                <c:v>0.3598523474851405</c:v>
              </c:pt>
              <c:pt idx="13">
                <c:v>0.37610849329630891</c:v>
              </c:pt>
              <c:pt idx="14">
                <c:v>0.38541903973883213</c:v>
              </c:pt>
              <c:pt idx="15">
                <c:v>0.39144240265093461</c:v>
              </c:pt>
              <c:pt idx="16">
                <c:v>0.39714414722891778</c:v>
              </c:pt>
              <c:pt idx="17">
                <c:v>0.48564235453995969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328-4342-9AB6-BD0EA3AFC06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8"/>
              <c:pt idx="0">
                <c:v>0</c:v>
              </c:pt>
              <c:pt idx="1">
                <c:v>2.9833333332790062</c:v>
              </c:pt>
              <c:pt idx="2">
                <c:v>6.0499999999883585</c:v>
              </c:pt>
              <c:pt idx="3">
                <c:v>9.2333333332207985</c:v>
              </c:pt>
              <c:pt idx="4">
                <c:v>12.899999999965075</c:v>
              </c:pt>
              <c:pt idx="5">
                <c:v>20.850000000034925</c:v>
              </c:pt>
              <c:pt idx="6">
                <c:v>29.449999999953434</c:v>
              </c:pt>
              <c:pt idx="7">
                <c:v>46.166666666627862</c:v>
              </c:pt>
              <c:pt idx="8">
                <c:v>61.350000000034925</c:v>
              </c:pt>
              <c:pt idx="9">
                <c:v>77.083333333313931</c:v>
              </c:pt>
              <c:pt idx="10">
                <c:v>98.733333333337214</c:v>
              </c:pt>
              <c:pt idx="11">
                <c:v>130.19999999989523</c:v>
              </c:pt>
              <c:pt idx="12">
                <c:v>157.69999999995343</c:v>
              </c:pt>
              <c:pt idx="13">
                <c:v>190.8833333333605</c:v>
              </c:pt>
              <c:pt idx="14">
                <c:v>216.18333333323244</c:v>
              </c:pt>
              <c:pt idx="15">
                <c:v>239.6166666666395</c:v>
              </c:pt>
              <c:pt idx="16">
                <c:v>262.8666666666395</c:v>
              </c:pt>
              <c:pt idx="17">
                <c:v>363.28333333320916</c:v>
              </c:pt>
            </c:numLit>
          </c:xVal>
          <c:yVal>
            <c:numLit>
              <c:formatCode>General</c:formatCode>
              <c:ptCount val="18"/>
              <c:pt idx="0">
                <c:v>4.2000000000000003E-2</c:v>
              </c:pt>
              <c:pt idx="1">
                <c:v>7.0458657709300765E-2</c:v>
              </c:pt>
              <c:pt idx="2">
                <c:v>0.11225103333200474</c:v>
              </c:pt>
              <c:pt idx="3">
                <c:v>0.15921404284247725</c:v>
              </c:pt>
              <c:pt idx="4">
                <c:v>0.18292293770566911</c:v>
              </c:pt>
              <c:pt idx="5">
                <c:v>0.22776968103859374</c:v>
              </c:pt>
              <c:pt idx="6">
                <c:v>0.26676730603050441</c:v>
              </c:pt>
              <c:pt idx="7">
                <c:v>0.30744613023599743</c:v>
              </c:pt>
              <c:pt idx="8">
                <c:v>0.3298797972478279</c:v>
              </c:pt>
              <c:pt idx="9">
                <c:v>0.34042088584160657</c:v>
              </c:pt>
              <c:pt idx="10">
                <c:v>0.35877367513071556</c:v>
              </c:pt>
              <c:pt idx="11">
                <c:v>0.39092039508488624</c:v>
              </c:pt>
              <c:pt idx="12">
                <c:v>0.42670238832230095</c:v>
              </c:pt>
              <c:pt idx="13">
                <c:v>0.47667226155735409</c:v>
              </c:pt>
              <c:pt idx="14">
                <c:v>0.49333637086570509</c:v>
              </c:pt>
              <c:pt idx="15">
                <c:v>0.50089786121209645</c:v>
              </c:pt>
              <c:pt idx="16">
                <c:v>0.51521402883751488</c:v>
              </c:pt>
              <c:pt idx="17">
                <c:v>0.65613381943164772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328-4342-9AB6-BD0EA3AFC06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8"/>
              <c:pt idx="0">
                <c:v>0</c:v>
              </c:pt>
              <c:pt idx="1">
                <c:v>2.9833333332790062</c:v>
              </c:pt>
              <c:pt idx="2">
                <c:v>6.0499999999883585</c:v>
              </c:pt>
              <c:pt idx="3">
                <c:v>9.2333333332207985</c:v>
              </c:pt>
              <c:pt idx="4">
                <c:v>12.899999999965075</c:v>
              </c:pt>
              <c:pt idx="5">
                <c:v>20.850000000034925</c:v>
              </c:pt>
              <c:pt idx="6">
                <c:v>29.449999999953434</c:v>
              </c:pt>
              <c:pt idx="7">
                <c:v>46.166666666627862</c:v>
              </c:pt>
              <c:pt idx="8">
                <c:v>61.350000000034925</c:v>
              </c:pt>
              <c:pt idx="9">
                <c:v>77.083333333313931</c:v>
              </c:pt>
              <c:pt idx="10">
                <c:v>98.733333333337214</c:v>
              </c:pt>
              <c:pt idx="11">
                <c:v>130.19999999989523</c:v>
              </c:pt>
              <c:pt idx="12">
                <c:v>157.69999999995343</c:v>
              </c:pt>
              <c:pt idx="13">
                <c:v>190.8833333333605</c:v>
              </c:pt>
              <c:pt idx="14">
                <c:v>216.18333333323244</c:v>
              </c:pt>
              <c:pt idx="15">
                <c:v>239.6166666666395</c:v>
              </c:pt>
              <c:pt idx="16">
                <c:v>262.8666666666395</c:v>
              </c:pt>
              <c:pt idx="17">
                <c:v>363.28333333320916</c:v>
              </c:pt>
            </c:numLit>
          </c:xVal>
          <c:yVal>
            <c:numLit>
              <c:formatCode>General</c:formatCode>
              <c:ptCount val="18"/>
              <c:pt idx="0">
                <c:v>3.9E-2</c:v>
              </c:pt>
              <c:pt idx="1">
                <c:v>6.5496780405828889E-2</c:v>
              </c:pt>
              <c:pt idx="2">
                <c:v>0.1033891096478991</c:v>
              </c:pt>
              <c:pt idx="3">
                <c:v>0.14358567053892121</c:v>
              </c:pt>
              <c:pt idx="4">
                <c:v>0.1635660130807306</c:v>
              </c:pt>
              <c:pt idx="5">
                <c:v>0.21068695496069922</c:v>
              </c:pt>
              <c:pt idx="6">
                <c:v>0.24724774705266264</c:v>
              </c:pt>
              <c:pt idx="7">
                <c:v>0.28242144521678836</c:v>
              </c:pt>
              <c:pt idx="8">
                <c:v>0.29706452945877693</c:v>
              </c:pt>
              <c:pt idx="9">
                <c:v>0.30704628919046867</c:v>
              </c:pt>
              <c:pt idx="10">
                <c:v>0.32528813211851543</c:v>
              </c:pt>
              <c:pt idx="11">
                <c:v>0.34598701633949702</c:v>
              </c:pt>
              <c:pt idx="12">
                <c:v>0.37834278431244023</c:v>
              </c:pt>
              <c:pt idx="13">
                <c:v>0.41231144987028517</c:v>
              </c:pt>
              <c:pt idx="14">
                <c:v>0.41817965811663282</c:v>
              </c:pt>
              <c:pt idx="15">
                <c:v>0.42298041613465925</c:v>
              </c:pt>
              <c:pt idx="16">
                <c:v>0.43113396163139267</c:v>
              </c:pt>
              <c:pt idx="17">
                <c:v>0.50837454985885144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328-4342-9AB6-BD0EA3AF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227263"/>
        <c:axId val="629925087"/>
      </c:scatterChart>
      <c:valAx>
        <c:axId val="5732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25087"/>
        <c:crosses val="autoZero"/>
        <c:crossBetween val="midCat"/>
      </c:valAx>
      <c:valAx>
        <c:axId val="6299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2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SuppSheet13!$C$6:$C$23</c:f>
              <c:numCache>
                <c:formatCode>0.0</c:formatCode>
                <c:ptCount val="18"/>
                <c:pt idx="0">
                  <c:v>0</c:v>
                </c:pt>
                <c:pt idx="1">
                  <c:v>2.7333333333372138</c:v>
                </c:pt>
                <c:pt idx="2">
                  <c:v>5.3333333334303461</c:v>
                </c:pt>
                <c:pt idx="3">
                  <c:v>8.1333333334769122</c:v>
                </c:pt>
                <c:pt idx="4">
                  <c:v>10.933333333348855</c:v>
                </c:pt>
                <c:pt idx="5">
                  <c:v>14.183333333465271</c:v>
                </c:pt>
                <c:pt idx="6">
                  <c:v>19.133333333360497</c:v>
                </c:pt>
                <c:pt idx="7">
                  <c:v>22.766666666662786</c:v>
                </c:pt>
                <c:pt idx="8">
                  <c:v>26.450000000128057</c:v>
                </c:pt>
                <c:pt idx="9">
                  <c:v>32.300000000162981</c:v>
                </c:pt>
                <c:pt idx="10">
                  <c:v>35.800000000046566</c:v>
                </c:pt>
                <c:pt idx="11">
                  <c:v>42.900000000139698</c:v>
                </c:pt>
                <c:pt idx="12">
                  <c:v>55.633333333418705</c:v>
                </c:pt>
                <c:pt idx="13">
                  <c:v>70.400000000023283</c:v>
                </c:pt>
                <c:pt idx="14">
                  <c:v>83.06666666676756</c:v>
                </c:pt>
                <c:pt idx="15">
                  <c:v>98.483333333395422</c:v>
                </c:pt>
                <c:pt idx="16">
                  <c:v>116.95000000001164</c:v>
                </c:pt>
                <c:pt idx="17">
                  <c:v>129.98333333339542</c:v>
                </c:pt>
              </c:numCache>
            </c:numRef>
          </c:xVal>
          <c:yVal>
            <c:numRef>
              <c:f>SuppSheet13!$D$6:$D$23</c:f>
              <c:numCache>
                <c:formatCode>0.000</c:formatCode>
                <c:ptCount val="18"/>
                <c:pt idx="0">
                  <c:v>4.2000000000000003E-2</c:v>
                </c:pt>
                <c:pt idx="1">
                  <c:v>6.9000000000000006E-2</c:v>
                </c:pt>
                <c:pt idx="2">
                  <c:v>0.104</c:v>
                </c:pt>
                <c:pt idx="3">
                  <c:v>0.14699999999999999</c:v>
                </c:pt>
                <c:pt idx="4">
                  <c:v>0.17299999999999999</c:v>
                </c:pt>
                <c:pt idx="5">
                  <c:v>0.188</c:v>
                </c:pt>
                <c:pt idx="6">
                  <c:v>0.21099999999999999</c:v>
                </c:pt>
                <c:pt idx="7">
                  <c:v>0.22500000000000001</c:v>
                </c:pt>
                <c:pt idx="8">
                  <c:v>0.23899999999999999</c:v>
                </c:pt>
                <c:pt idx="9">
                  <c:v>0.26700000000000002</c:v>
                </c:pt>
                <c:pt idx="10">
                  <c:v>0.27900000000000003</c:v>
                </c:pt>
                <c:pt idx="11">
                  <c:v>0.29399999999999998</c:v>
                </c:pt>
                <c:pt idx="12">
                  <c:v>0.32600000000000001</c:v>
                </c:pt>
                <c:pt idx="13">
                  <c:v>0.35599999999999998</c:v>
                </c:pt>
                <c:pt idx="14">
                  <c:v>0.378</c:v>
                </c:pt>
                <c:pt idx="15">
                  <c:v>0.40400000000000003</c:v>
                </c:pt>
                <c:pt idx="16">
                  <c:v>0.44800000000000001</c:v>
                </c:pt>
                <c:pt idx="17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C-448F-954E-C2FB42AB00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SuppSheet13!$C$6:$C$23</c:f>
              <c:numCache>
                <c:formatCode>0.0</c:formatCode>
                <c:ptCount val="18"/>
                <c:pt idx="0">
                  <c:v>0</c:v>
                </c:pt>
                <c:pt idx="1">
                  <c:v>2.7333333333372138</c:v>
                </c:pt>
                <c:pt idx="2">
                  <c:v>5.3333333334303461</c:v>
                </c:pt>
                <c:pt idx="3">
                  <c:v>8.1333333334769122</c:v>
                </c:pt>
                <c:pt idx="4">
                  <c:v>10.933333333348855</c:v>
                </c:pt>
                <c:pt idx="5">
                  <c:v>14.183333333465271</c:v>
                </c:pt>
                <c:pt idx="6">
                  <c:v>19.133333333360497</c:v>
                </c:pt>
                <c:pt idx="7">
                  <c:v>22.766666666662786</c:v>
                </c:pt>
                <c:pt idx="8">
                  <c:v>26.450000000128057</c:v>
                </c:pt>
                <c:pt idx="9">
                  <c:v>32.300000000162981</c:v>
                </c:pt>
                <c:pt idx="10">
                  <c:v>35.800000000046566</c:v>
                </c:pt>
                <c:pt idx="11">
                  <c:v>42.900000000139698</c:v>
                </c:pt>
                <c:pt idx="12">
                  <c:v>55.633333333418705</c:v>
                </c:pt>
                <c:pt idx="13">
                  <c:v>70.400000000023283</c:v>
                </c:pt>
                <c:pt idx="14">
                  <c:v>83.06666666676756</c:v>
                </c:pt>
                <c:pt idx="15">
                  <c:v>98.483333333395422</c:v>
                </c:pt>
                <c:pt idx="16">
                  <c:v>116.95000000001164</c:v>
                </c:pt>
                <c:pt idx="17">
                  <c:v>129.98333333339542</c:v>
                </c:pt>
              </c:numCache>
            </c:numRef>
          </c:xVal>
          <c:yVal>
            <c:numRef>
              <c:f>SuppSheet13!$E$6:$E$23</c:f>
              <c:numCache>
                <c:formatCode>0.000</c:formatCode>
                <c:ptCount val="18"/>
                <c:pt idx="0">
                  <c:v>4.2999999999999997E-2</c:v>
                </c:pt>
                <c:pt idx="1">
                  <c:v>7.0999999999999994E-2</c:v>
                </c:pt>
                <c:pt idx="2">
                  <c:v>0.107</c:v>
                </c:pt>
                <c:pt idx="3">
                  <c:v>0.156</c:v>
                </c:pt>
                <c:pt idx="4">
                  <c:v>0.183</c:v>
                </c:pt>
                <c:pt idx="5">
                  <c:v>0.20499999999999999</c:v>
                </c:pt>
                <c:pt idx="6">
                  <c:v>0.23100000000000001</c:v>
                </c:pt>
                <c:pt idx="7">
                  <c:v>0.246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0.314</c:v>
                </c:pt>
                <c:pt idx="11">
                  <c:v>0.33400000000000002</c:v>
                </c:pt>
                <c:pt idx="12">
                  <c:v>0.37</c:v>
                </c:pt>
                <c:pt idx="13">
                  <c:v>0.39600000000000002</c:v>
                </c:pt>
                <c:pt idx="14">
                  <c:v>0.42</c:v>
                </c:pt>
                <c:pt idx="15">
                  <c:v>0.45200000000000001</c:v>
                </c:pt>
                <c:pt idx="16">
                  <c:v>0.49199999999999999</c:v>
                </c:pt>
                <c:pt idx="17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C-448F-954E-C2FB42AB00B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SuppSheet13!$C$6:$C$23</c:f>
              <c:numCache>
                <c:formatCode>0.0</c:formatCode>
                <c:ptCount val="18"/>
                <c:pt idx="0">
                  <c:v>0</c:v>
                </c:pt>
                <c:pt idx="1">
                  <c:v>2.7333333333372138</c:v>
                </c:pt>
                <c:pt idx="2">
                  <c:v>5.3333333334303461</c:v>
                </c:pt>
                <c:pt idx="3">
                  <c:v>8.1333333334769122</c:v>
                </c:pt>
                <c:pt idx="4">
                  <c:v>10.933333333348855</c:v>
                </c:pt>
                <c:pt idx="5">
                  <c:v>14.183333333465271</c:v>
                </c:pt>
                <c:pt idx="6">
                  <c:v>19.133333333360497</c:v>
                </c:pt>
                <c:pt idx="7">
                  <c:v>22.766666666662786</c:v>
                </c:pt>
                <c:pt idx="8">
                  <c:v>26.450000000128057</c:v>
                </c:pt>
                <c:pt idx="9">
                  <c:v>32.300000000162981</c:v>
                </c:pt>
                <c:pt idx="10">
                  <c:v>35.800000000046566</c:v>
                </c:pt>
                <c:pt idx="11">
                  <c:v>42.900000000139698</c:v>
                </c:pt>
                <c:pt idx="12">
                  <c:v>55.633333333418705</c:v>
                </c:pt>
                <c:pt idx="13">
                  <c:v>70.400000000023283</c:v>
                </c:pt>
                <c:pt idx="14">
                  <c:v>83.06666666676756</c:v>
                </c:pt>
                <c:pt idx="15">
                  <c:v>98.483333333395422</c:v>
                </c:pt>
                <c:pt idx="16">
                  <c:v>116.95000000001164</c:v>
                </c:pt>
                <c:pt idx="17">
                  <c:v>129.98333333339542</c:v>
                </c:pt>
              </c:numCache>
            </c:numRef>
          </c:xVal>
          <c:yVal>
            <c:numRef>
              <c:f>SuppSheet13!$F$6:$F$23</c:f>
              <c:numCache>
                <c:formatCode>0.000</c:formatCode>
                <c:ptCount val="18"/>
                <c:pt idx="0">
                  <c:v>4.2000000000000003E-2</c:v>
                </c:pt>
                <c:pt idx="1">
                  <c:v>6.7000000000000004E-2</c:v>
                </c:pt>
                <c:pt idx="2">
                  <c:v>9.8000000000000004E-2</c:v>
                </c:pt>
                <c:pt idx="3">
                  <c:v>0.13900000000000001</c:v>
                </c:pt>
                <c:pt idx="4">
                  <c:v>0.16</c:v>
                </c:pt>
                <c:pt idx="5">
                  <c:v>0.17299999999999999</c:v>
                </c:pt>
                <c:pt idx="6">
                  <c:v>0.19800000000000001</c:v>
                </c:pt>
                <c:pt idx="7">
                  <c:v>0.21</c:v>
                </c:pt>
                <c:pt idx="8">
                  <c:v>0.22500000000000001</c:v>
                </c:pt>
                <c:pt idx="9">
                  <c:v>0.248</c:v>
                </c:pt>
                <c:pt idx="10">
                  <c:v>0.26200000000000001</c:v>
                </c:pt>
                <c:pt idx="11">
                  <c:v>0.28000000000000003</c:v>
                </c:pt>
                <c:pt idx="12">
                  <c:v>0.312</c:v>
                </c:pt>
                <c:pt idx="13">
                  <c:v>0.34</c:v>
                </c:pt>
                <c:pt idx="14">
                  <c:v>0.36</c:v>
                </c:pt>
                <c:pt idx="15">
                  <c:v>0.38400000000000001</c:v>
                </c:pt>
                <c:pt idx="16">
                  <c:v>0.42599999999999999</c:v>
                </c:pt>
                <c:pt idx="17">
                  <c:v>0.45400000000000001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EC-448F-954E-C2FB42AB00B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SuppSheet13!$C$6:$C$23</c:f>
              <c:numCache>
                <c:formatCode>0.0</c:formatCode>
                <c:ptCount val="18"/>
                <c:pt idx="0">
                  <c:v>0</c:v>
                </c:pt>
                <c:pt idx="1">
                  <c:v>2.7333333333372138</c:v>
                </c:pt>
                <c:pt idx="2">
                  <c:v>5.3333333334303461</c:v>
                </c:pt>
                <c:pt idx="3">
                  <c:v>8.1333333334769122</c:v>
                </c:pt>
                <c:pt idx="4">
                  <c:v>10.933333333348855</c:v>
                </c:pt>
                <c:pt idx="5">
                  <c:v>14.183333333465271</c:v>
                </c:pt>
                <c:pt idx="6">
                  <c:v>19.133333333360497</c:v>
                </c:pt>
                <c:pt idx="7">
                  <c:v>22.766666666662786</c:v>
                </c:pt>
                <c:pt idx="8">
                  <c:v>26.450000000128057</c:v>
                </c:pt>
                <c:pt idx="9">
                  <c:v>32.300000000162981</c:v>
                </c:pt>
                <c:pt idx="10">
                  <c:v>35.800000000046566</c:v>
                </c:pt>
                <c:pt idx="11">
                  <c:v>42.900000000139698</c:v>
                </c:pt>
                <c:pt idx="12">
                  <c:v>55.633333333418705</c:v>
                </c:pt>
                <c:pt idx="13">
                  <c:v>70.400000000023283</c:v>
                </c:pt>
                <c:pt idx="14">
                  <c:v>83.06666666676756</c:v>
                </c:pt>
                <c:pt idx="15">
                  <c:v>98.483333333395422</c:v>
                </c:pt>
                <c:pt idx="16">
                  <c:v>116.95000000001164</c:v>
                </c:pt>
                <c:pt idx="17">
                  <c:v>129.98333333339542</c:v>
                </c:pt>
              </c:numCache>
            </c:numRef>
          </c:xVal>
          <c:yVal>
            <c:numRef>
              <c:f>SuppSheet13!$G$6:$G$23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-1E-3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2E-3</c:v>
                </c:pt>
                <c:pt idx="16">
                  <c:v>1E-3</c:v>
                </c:pt>
                <c:pt idx="17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EC-448F-954E-C2FB42AB0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33776"/>
        <c:axId val="509614224"/>
      </c:scatterChart>
      <c:valAx>
        <c:axId val="50963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14224"/>
        <c:crosses val="autoZero"/>
        <c:crossBetween val="midCat"/>
      </c:valAx>
      <c:valAx>
        <c:axId val="5096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3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SuppSheet14!$U$6:$U$23</c:f>
                <c:numCache>
                  <c:formatCode>General</c:formatCode>
                  <c:ptCount val="18"/>
                  <c:pt idx="0">
                    <c:v>5.7735026918961348E-3</c:v>
                  </c:pt>
                  <c:pt idx="1">
                    <c:v>5.7735026918961348E-3</c:v>
                  </c:pt>
                  <c:pt idx="2">
                    <c:v>2.0000000000000018E-2</c:v>
                  </c:pt>
                  <c:pt idx="3">
                    <c:v>0.27730849247724121</c:v>
                  </c:pt>
                  <c:pt idx="4">
                    <c:v>0.48788659884581115</c:v>
                  </c:pt>
                  <c:pt idx="5">
                    <c:v>6.6583281184793869E-2</c:v>
                  </c:pt>
                  <c:pt idx="6">
                    <c:v>1.0000000000000231E-2</c:v>
                  </c:pt>
                  <c:pt idx="7">
                    <c:v>4.0414518843273822E-2</c:v>
                  </c:pt>
                  <c:pt idx="8">
                    <c:v>8.9999999999999858E-2</c:v>
                  </c:pt>
                  <c:pt idx="9">
                    <c:v>0.17156145643277021</c:v>
                  </c:pt>
                  <c:pt idx="10">
                    <c:v>0.11503622617824909</c:v>
                  </c:pt>
                  <c:pt idx="11">
                    <c:v>2.0000000000000018E-2</c:v>
                  </c:pt>
                  <c:pt idx="12">
                    <c:v>4.0414518843273822E-2</c:v>
                  </c:pt>
                  <c:pt idx="13">
                    <c:v>0.24576411454889011</c:v>
                  </c:pt>
                  <c:pt idx="14">
                    <c:v>0.4330127018922193</c:v>
                  </c:pt>
                  <c:pt idx="15">
                    <c:v>0.40426888741694339</c:v>
                  </c:pt>
                  <c:pt idx="16">
                    <c:v>0.28687976575562135</c:v>
                  </c:pt>
                  <c:pt idx="17">
                    <c:v>0.36746881953892802</c:v>
                  </c:pt>
                </c:numCache>
              </c:numRef>
            </c:plus>
            <c:minus>
              <c:numRef>
                <c:f>SuppSheet14!$U$6:$U$23</c:f>
                <c:numCache>
                  <c:formatCode>General</c:formatCode>
                  <c:ptCount val="18"/>
                  <c:pt idx="0">
                    <c:v>5.7735026918961348E-3</c:v>
                  </c:pt>
                  <c:pt idx="1">
                    <c:v>5.7735026918961348E-3</c:v>
                  </c:pt>
                  <c:pt idx="2">
                    <c:v>2.0000000000000018E-2</c:v>
                  </c:pt>
                  <c:pt idx="3">
                    <c:v>0.27730849247724121</c:v>
                  </c:pt>
                  <c:pt idx="4">
                    <c:v>0.48788659884581115</c:v>
                  </c:pt>
                  <c:pt idx="5">
                    <c:v>6.6583281184793869E-2</c:v>
                  </c:pt>
                  <c:pt idx="6">
                    <c:v>1.0000000000000231E-2</c:v>
                  </c:pt>
                  <c:pt idx="7">
                    <c:v>4.0414518843273822E-2</c:v>
                  </c:pt>
                  <c:pt idx="8">
                    <c:v>8.9999999999999858E-2</c:v>
                  </c:pt>
                  <c:pt idx="9">
                    <c:v>0.17156145643277021</c:v>
                  </c:pt>
                  <c:pt idx="10">
                    <c:v>0.11503622617824909</c:v>
                  </c:pt>
                  <c:pt idx="11">
                    <c:v>2.0000000000000018E-2</c:v>
                  </c:pt>
                  <c:pt idx="12">
                    <c:v>4.0414518843273822E-2</c:v>
                  </c:pt>
                  <c:pt idx="13">
                    <c:v>0.24576411454889011</c:v>
                  </c:pt>
                  <c:pt idx="14">
                    <c:v>0.4330127018922193</c:v>
                  </c:pt>
                  <c:pt idx="15">
                    <c:v>0.40426888741694339</c:v>
                  </c:pt>
                  <c:pt idx="16">
                    <c:v>0.28687976575562135</c:v>
                  </c:pt>
                  <c:pt idx="17">
                    <c:v>0.36746881953892802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SuppSheet14!$C$6:$C$23</c:f>
              <c:numCache>
                <c:formatCode>0.0</c:formatCode>
                <c:ptCount val="18"/>
                <c:pt idx="0">
                  <c:v>0</c:v>
                </c:pt>
                <c:pt idx="1">
                  <c:v>2.9833333332790062</c:v>
                </c:pt>
                <c:pt idx="2">
                  <c:v>6.0499999999883585</c:v>
                </c:pt>
                <c:pt idx="3">
                  <c:v>9.2333333332207985</c:v>
                </c:pt>
                <c:pt idx="4">
                  <c:v>12.899999999965075</c:v>
                </c:pt>
                <c:pt idx="5">
                  <c:v>20.850000000034925</c:v>
                </c:pt>
                <c:pt idx="6">
                  <c:v>29.449999999953434</c:v>
                </c:pt>
                <c:pt idx="7">
                  <c:v>46.166666666627862</c:v>
                </c:pt>
                <c:pt idx="8">
                  <c:v>61.350000000034925</c:v>
                </c:pt>
                <c:pt idx="9">
                  <c:v>77.083333333313931</c:v>
                </c:pt>
                <c:pt idx="10">
                  <c:v>98.733333333337214</c:v>
                </c:pt>
                <c:pt idx="11">
                  <c:v>130.19999999989523</c:v>
                </c:pt>
                <c:pt idx="12">
                  <c:v>157.69999999995343</c:v>
                </c:pt>
                <c:pt idx="13">
                  <c:v>190.8833333333605</c:v>
                </c:pt>
                <c:pt idx="14">
                  <c:v>216.18333333323244</c:v>
                </c:pt>
                <c:pt idx="15">
                  <c:v>239.6166666666395</c:v>
                </c:pt>
                <c:pt idx="16">
                  <c:v>262.8666666666395</c:v>
                </c:pt>
                <c:pt idx="17">
                  <c:v>363.28333333320916</c:v>
                </c:pt>
              </c:numCache>
            </c:numRef>
          </c:xVal>
          <c:yVal>
            <c:numRef>
              <c:f>SuppSheet14!$T$6:$T$23</c:f>
              <c:numCache>
                <c:formatCode>0.00</c:formatCode>
                <c:ptCount val="18"/>
                <c:pt idx="0">
                  <c:v>7.373333333333334</c:v>
                </c:pt>
                <c:pt idx="1">
                  <c:v>7.206666666666667</c:v>
                </c:pt>
                <c:pt idx="2">
                  <c:v>6.81</c:v>
                </c:pt>
                <c:pt idx="3">
                  <c:v>6.04</c:v>
                </c:pt>
                <c:pt idx="4">
                  <c:v>5.1366666666666667</c:v>
                </c:pt>
                <c:pt idx="5">
                  <c:v>5.1066666666666665</c:v>
                </c:pt>
                <c:pt idx="6">
                  <c:v>5.4799999999999995</c:v>
                </c:pt>
                <c:pt idx="7">
                  <c:v>6.043333333333333</c:v>
                </c:pt>
                <c:pt idx="8">
                  <c:v>6.29</c:v>
                </c:pt>
                <c:pt idx="9">
                  <c:v>6.5666666666666664</c:v>
                </c:pt>
                <c:pt idx="10">
                  <c:v>6.8166666666666664</c:v>
                </c:pt>
                <c:pt idx="11">
                  <c:v>6.77</c:v>
                </c:pt>
                <c:pt idx="12">
                  <c:v>6.6333333333333329</c:v>
                </c:pt>
                <c:pt idx="13">
                  <c:v>6.3</c:v>
                </c:pt>
                <c:pt idx="14">
                  <c:v>5.97</c:v>
                </c:pt>
                <c:pt idx="15">
                  <c:v>5.8433333333333337</c:v>
                </c:pt>
                <c:pt idx="16">
                  <c:v>5.7399999999999993</c:v>
                </c:pt>
                <c:pt idx="17">
                  <c:v>5.126666666666666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4-44D8-8116-9E3F4871BB96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SuppSheet14!$C$6:$C$23</c:f>
              <c:numCache>
                <c:formatCode>0.0</c:formatCode>
                <c:ptCount val="18"/>
                <c:pt idx="0">
                  <c:v>0</c:v>
                </c:pt>
                <c:pt idx="1">
                  <c:v>2.9833333332790062</c:v>
                </c:pt>
                <c:pt idx="2">
                  <c:v>6.0499999999883585</c:v>
                </c:pt>
                <c:pt idx="3">
                  <c:v>9.2333333332207985</c:v>
                </c:pt>
                <c:pt idx="4">
                  <c:v>12.899999999965075</c:v>
                </c:pt>
                <c:pt idx="5">
                  <c:v>20.850000000034925</c:v>
                </c:pt>
                <c:pt idx="6">
                  <c:v>29.449999999953434</c:v>
                </c:pt>
                <c:pt idx="7">
                  <c:v>46.166666666627862</c:v>
                </c:pt>
                <c:pt idx="8">
                  <c:v>61.350000000034925</c:v>
                </c:pt>
                <c:pt idx="9">
                  <c:v>77.083333333313931</c:v>
                </c:pt>
                <c:pt idx="10">
                  <c:v>98.733333333337214</c:v>
                </c:pt>
                <c:pt idx="11">
                  <c:v>130.19999999989523</c:v>
                </c:pt>
                <c:pt idx="12">
                  <c:v>157.69999999995343</c:v>
                </c:pt>
                <c:pt idx="13">
                  <c:v>190.8833333333605</c:v>
                </c:pt>
                <c:pt idx="14">
                  <c:v>216.18333333323244</c:v>
                </c:pt>
                <c:pt idx="15">
                  <c:v>239.6166666666395</c:v>
                </c:pt>
                <c:pt idx="16">
                  <c:v>262.8666666666395</c:v>
                </c:pt>
                <c:pt idx="17">
                  <c:v>363.28333333320916</c:v>
                </c:pt>
              </c:numCache>
            </c:numRef>
          </c:xVal>
          <c:yVal>
            <c:numRef>
              <c:f>SuppSheet14!$S$6:$S$23</c:f>
              <c:numCache>
                <c:formatCode>0.00</c:formatCode>
                <c:ptCount val="18"/>
                <c:pt idx="0">
                  <c:v>7.48</c:v>
                </c:pt>
                <c:pt idx="1">
                  <c:v>7.45</c:v>
                </c:pt>
                <c:pt idx="2">
                  <c:v>7.42</c:v>
                </c:pt>
                <c:pt idx="3">
                  <c:v>7.37</c:v>
                </c:pt>
                <c:pt idx="4">
                  <c:v>7.32</c:v>
                </c:pt>
                <c:pt idx="5">
                  <c:v>7.26</c:v>
                </c:pt>
                <c:pt idx="6">
                  <c:v>7.16</c:v>
                </c:pt>
                <c:pt idx="7">
                  <c:v>7.09</c:v>
                </c:pt>
                <c:pt idx="8">
                  <c:v>7</c:v>
                </c:pt>
                <c:pt idx="9">
                  <c:v>6.93</c:v>
                </c:pt>
                <c:pt idx="10">
                  <c:v>6.83</c:v>
                </c:pt>
                <c:pt idx="11">
                  <c:v>6.7</c:v>
                </c:pt>
                <c:pt idx="12">
                  <c:v>6.6</c:v>
                </c:pt>
                <c:pt idx="13">
                  <c:v>6.51</c:v>
                </c:pt>
                <c:pt idx="14">
                  <c:v>6.43</c:v>
                </c:pt>
                <c:pt idx="15">
                  <c:v>6.37</c:v>
                </c:pt>
                <c:pt idx="16">
                  <c:v>6.32</c:v>
                </c:pt>
                <c:pt idx="17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4-44D8-8116-9E3F4871B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80991"/>
        <c:axId val="702776415"/>
      </c:scatterChart>
      <c:valAx>
        <c:axId val="70278099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76415"/>
        <c:crosses val="autoZero"/>
        <c:crossBetween val="midCat"/>
      </c:valAx>
      <c:valAx>
        <c:axId val="702776415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8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ECOM</a:t>
            </a:r>
            <a:r>
              <a:rPr lang="en-US" baseline="0"/>
              <a:t> + 403 pH 7.5, Trial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SuppSheet14!$U$6:$U$23</c:f>
                <c:numCache>
                  <c:formatCode>General</c:formatCode>
                  <c:ptCount val="18"/>
                  <c:pt idx="0">
                    <c:v>5.7735026918961348E-3</c:v>
                  </c:pt>
                  <c:pt idx="1">
                    <c:v>5.7735026918961348E-3</c:v>
                  </c:pt>
                  <c:pt idx="2">
                    <c:v>2.0000000000000018E-2</c:v>
                  </c:pt>
                  <c:pt idx="3">
                    <c:v>0.27730849247724121</c:v>
                  </c:pt>
                  <c:pt idx="4">
                    <c:v>0.48788659884581115</c:v>
                  </c:pt>
                  <c:pt idx="5">
                    <c:v>6.6583281184793869E-2</c:v>
                  </c:pt>
                  <c:pt idx="6">
                    <c:v>1.0000000000000231E-2</c:v>
                  </c:pt>
                  <c:pt idx="7">
                    <c:v>4.0414518843273822E-2</c:v>
                  </c:pt>
                  <c:pt idx="8">
                    <c:v>8.9999999999999858E-2</c:v>
                  </c:pt>
                  <c:pt idx="9">
                    <c:v>0.17156145643277021</c:v>
                  </c:pt>
                  <c:pt idx="10">
                    <c:v>0.11503622617824909</c:v>
                  </c:pt>
                  <c:pt idx="11">
                    <c:v>2.0000000000000018E-2</c:v>
                  </c:pt>
                  <c:pt idx="12">
                    <c:v>4.0414518843273822E-2</c:v>
                  </c:pt>
                  <c:pt idx="13">
                    <c:v>0.24576411454889011</c:v>
                  </c:pt>
                  <c:pt idx="14">
                    <c:v>0.4330127018922193</c:v>
                  </c:pt>
                  <c:pt idx="15">
                    <c:v>0.40426888741694339</c:v>
                  </c:pt>
                  <c:pt idx="16">
                    <c:v>0.28687976575562135</c:v>
                  </c:pt>
                  <c:pt idx="17">
                    <c:v>0.36746881953892802</c:v>
                  </c:pt>
                </c:numCache>
              </c:numRef>
            </c:plus>
            <c:minus>
              <c:numRef>
                <c:f>SuppSheet14!$U$6:$U$23</c:f>
                <c:numCache>
                  <c:formatCode>General</c:formatCode>
                  <c:ptCount val="18"/>
                  <c:pt idx="0">
                    <c:v>5.7735026918961348E-3</c:v>
                  </c:pt>
                  <c:pt idx="1">
                    <c:v>5.7735026918961348E-3</c:v>
                  </c:pt>
                  <c:pt idx="2">
                    <c:v>2.0000000000000018E-2</c:v>
                  </c:pt>
                  <c:pt idx="3">
                    <c:v>0.27730849247724121</c:v>
                  </c:pt>
                  <c:pt idx="4">
                    <c:v>0.48788659884581115</c:v>
                  </c:pt>
                  <c:pt idx="5">
                    <c:v>6.6583281184793869E-2</c:v>
                  </c:pt>
                  <c:pt idx="6">
                    <c:v>1.0000000000000231E-2</c:v>
                  </c:pt>
                  <c:pt idx="7">
                    <c:v>4.0414518843273822E-2</c:v>
                  </c:pt>
                  <c:pt idx="8">
                    <c:v>8.9999999999999858E-2</c:v>
                  </c:pt>
                  <c:pt idx="9">
                    <c:v>0.17156145643277021</c:v>
                  </c:pt>
                  <c:pt idx="10">
                    <c:v>0.11503622617824909</c:v>
                  </c:pt>
                  <c:pt idx="11">
                    <c:v>2.0000000000000018E-2</c:v>
                  </c:pt>
                  <c:pt idx="12">
                    <c:v>4.0414518843273822E-2</c:v>
                  </c:pt>
                  <c:pt idx="13">
                    <c:v>0.24576411454889011</c:v>
                  </c:pt>
                  <c:pt idx="14">
                    <c:v>0.4330127018922193</c:v>
                  </c:pt>
                  <c:pt idx="15">
                    <c:v>0.40426888741694339</c:v>
                  </c:pt>
                  <c:pt idx="16">
                    <c:v>0.28687976575562135</c:v>
                  </c:pt>
                  <c:pt idx="17">
                    <c:v>0.36746881953892802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SuppSheet14!$C$6:$C$23</c:f>
              <c:numCache>
                <c:formatCode>0.0</c:formatCode>
                <c:ptCount val="18"/>
                <c:pt idx="0">
                  <c:v>0</c:v>
                </c:pt>
                <c:pt idx="1">
                  <c:v>2.9833333332790062</c:v>
                </c:pt>
                <c:pt idx="2">
                  <c:v>6.0499999999883585</c:v>
                </c:pt>
                <c:pt idx="3">
                  <c:v>9.2333333332207985</c:v>
                </c:pt>
                <c:pt idx="4">
                  <c:v>12.899999999965075</c:v>
                </c:pt>
                <c:pt idx="5">
                  <c:v>20.850000000034925</c:v>
                </c:pt>
                <c:pt idx="6">
                  <c:v>29.449999999953434</c:v>
                </c:pt>
                <c:pt idx="7">
                  <c:v>46.166666666627862</c:v>
                </c:pt>
                <c:pt idx="8">
                  <c:v>61.350000000034925</c:v>
                </c:pt>
                <c:pt idx="9">
                  <c:v>77.083333333313931</c:v>
                </c:pt>
                <c:pt idx="10">
                  <c:v>98.733333333337214</c:v>
                </c:pt>
                <c:pt idx="11">
                  <c:v>130.19999999989523</c:v>
                </c:pt>
                <c:pt idx="12">
                  <c:v>157.69999999995343</c:v>
                </c:pt>
                <c:pt idx="13">
                  <c:v>190.8833333333605</c:v>
                </c:pt>
                <c:pt idx="14">
                  <c:v>216.18333333323244</c:v>
                </c:pt>
                <c:pt idx="15">
                  <c:v>239.6166666666395</c:v>
                </c:pt>
                <c:pt idx="16">
                  <c:v>262.8666666666395</c:v>
                </c:pt>
                <c:pt idx="17">
                  <c:v>363.28333333320916</c:v>
                </c:pt>
              </c:numCache>
            </c:numRef>
          </c:xVal>
          <c:yVal>
            <c:numRef>
              <c:f>SuppSheet14!$T$6:$T$23</c:f>
              <c:numCache>
                <c:formatCode>0.00</c:formatCode>
                <c:ptCount val="18"/>
                <c:pt idx="0">
                  <c:v>7.373333333333334</c:v>
                </c:pt>
                <c:pt idx="1">
                  <c:v>7.206666666666667</c:v>
                </c:pt>
                <c:pt idx="2">
                  <c:v>6.81</c:v>
                </c:pt>
                <c:pt idx="3">
                  <c:v>6.04</c:v>
                </c:pt>
                <c:pt idx="4">
                  <c:v>5.1366666666666667</c:v>
                </c:pt>
                <c:pt idx="5">
                  <c:v>5.1066666666666665</c:v>
                </c:pt>
                <c:pt idx="6">
                  <c:v>5.4799999999999995</c:v>
                </c:pt>
                <c:pt idx="7">
                  <c:v>6.043333333333333</c:v>
                </c:pt>
                <c:pt idx="8">
                  <c:v>6.29</c:v>
                </c:pt>
                <c:pt idx="9">
                  <c:v>6.5666666666666664</c:v>
                </c:pt>
                <c:pt idx="10">
                  <c:v>6.8166666666666664</c:v>
                </c:pt>
                <c:pt idx="11">
                  <c:v>6.77</c:v>
                </c:pt>
                <c:pt idx="12">
                  <c:v>6.6333333333333329</c:v>
                </c:pt>
                <c:pt idx="13">
                  <c:v>6.3</c:v>
                </c:pt>
                <c:pt idx="14">
                  <c:v>5.97</c:v>
                </c:pt>
                <c:pt idx="15">
                  <c:v>5.8433333333333337</c:v>
                </c:pt>
                <c:pt idx="16">
                  <c:v>5.7399999999999993</c:v>
                </c:pt>
                <c:pt idx="17">
                  <c:v>5.126666666666666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B-4C6E-A629-5D85F7A8909B}"/>
            </c:ext>
          </c:extLst>
        </c:ser>
        <c:ser>
          <c:idx val="2"/>
          <c:order val="2"/>
          <c:tx>
            <c:v>glucose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SuppSheet14!$AA$6:$AA$23</c:f>
                <c:numCache>
                  <c:formatCode>General</c:formatCode>
                  <c:ptCount val="18"/>
                  <c:pt idx="0">
                    <c:v>0.9755976147250599</c:v>
                  </c:pt>
                  <c:pt idx="1">
                    <c:v>0.50363689896125641</c:v>
                  </c:pt>
                  <c:pt idx="3">
                    <c:v>0.61032999070099214</c:v>
                  </c:pt>
                  <c:pt idx="5">
                    <c:v>0.52994578495952838</c:v>
                  </c:pt>
                  <c:pt idx="7">
                    <c:v>0.46304776853652097</c:v>
                  </c:pt>
                  <c:pt idx="9">
                    <c:v>0.62653558575310497</c:v>
                  </c:pt>
                  <c:pt idx="11">
                    <c:v>0.63401329319402189</c:v>
                  </c:pt>
                  <c:pt idx="13">
                    <c:v>1.3690068227017849</c:v>
                  </c:pt>
                  <c:pt idx="16">
                    <c:v>2.2540904641268522</c:v>
                  </c:pt>
                  <c:pt idx="17">
                    <c:v>3.0478708328265411</c:v>
                  </c:pt>
                </c:numCache>
              </c:numRef>
            </c:plus>
            <c:minus>
              <c:numRef>
                <c:f>SuppSheet14!$AA$6:$AA$23</c:f>
                <c:numCache>
                  <c:formatCode>General</c:formatCode>
                  <c:ptCount val="18"/>
                  <c:pt idx="0">
                    <c:v>0.9755976147250599</c:v>
                  </c:pt>
                  <c:pt idx="1">
                    <c:v>0.50363689896125641</c:v>
                  </c:pt>
                  <c:pt idx="3">
                    <c:v>0.61032999070099214</c:v>
                  </c:pt>
                  <c:pt idx="5">
                    <c:v>0.52994578495952838</c:v>
                  </c:pt>
                  <c:pt idx="7">
                    <c:v>0.46304776853652097</c:v>
                  </c:pt>
                  <c:pt idx="9">
                    <c:v>0.62653558575310497</c:v>
                  </c:pt>
                  <c:pt idx="11">
                    <c:v>0.63401329319402189</c:v>
                  </c:pt>
                  <c:pt idx="13">
                    <c:v>1.3690068227017849</c:v>
                  </c:pt>
                  <c:pt idx="16">
                    <c:v>2.2540904641268522</c:v>
                  </c:pt>
                  <c:pt idx="17">
                    <c:v>3.0478708328265411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SuppSheet14!$C$6:$C$23</c:f>
              <c:numCache>
                <c:formatCode>0.0</c:formatCode>
                <c:ptCount val="18"/>
                <c:pt idx="0">
                  <c:v>0</c:v>
                </c:pt>
                <c:pt idx="1">
                  <c:v>2.9833333332790062</c:v>
                </c:pt>
                <c:pt idx="2">
                  <c:v>6.0499999999883585</c:v>
                </c:pt>
                <c:pt idx="3">
                  <c:v>9.2333333332207985</c:v>
                </c:pt>
                <c:pt idx="4">
                  <c:v>12.899999999965075</c:v>
                </c:pt>
                <c:pt idx="5">
                  <c:v>20.850000000034925</c:v>
                </c:pt>
                <c:pt idx="6">
                  <c:v>29.449999999953434</c:v>
                </c:pt>
                <c:pt idx="7">
                  <c:v>46.166666666627862</c:v>
                </c:pt>
                <c:pt idx="8">
                  <c:v>61.350000000034925</c:v>
                </c:pt>
                <c:pt idx="9">
                  <c:v>77.083333333313931</c:v>
                </c:pt>
                <c:pt idx="10">
                  <c:v>98.733333333337214</c:v>
                </c:pt>
                <c:pt idx="11">
                  <c:v>130.19999999989523</c:v>
                </c:pt>
                <c:pt idx="12">
                  <c:v>157.69999999995343</c:v>
                </c:pt>
                <c:pt idx="13">
                  <c:v>190.8833333333605</c:v>
                </c:pt>
                <c:pt idx="14">
                  <c:v>216.18333333323244</c:v>
                </c:pt>
                <c:pt idx="15">
                  <c:v>239.6166666666395</c:v>
                </c:pt>
                <c:pt idx="16">
                  <c:v>262.8666666666395</c:v>
                </c:pt>
                <c:pt idx="17">
                  <c:v>363.28333333320916</c:v>
                </c:pt>
              </c:numCache>
            </c:numRef>
          </c:xVal>
          <c:yVal>
            <c:numRef>
              <c:f>SuppSheet14!$Z$6:$Z$23</c:f>
              <c:numCache>
                <c:formatCode>0.00</c:formatCode>
                <c:ptCount val="18"/>
                <c:pt idx="0">
                  <c:v>27.130758322029124</c:v>
                </c:pt>
                <c:pt idx="1">
                  <c:v>27.541429024516002</c:v>
                </c:pt>
                <c:pt idx="3">
                  <c:v>25.593040665356103</c:v>
                </c:pt>
                <c:pt idx="5">
                  <c:v>24.147386572935769</c:v>
                </c:pt>
                <c:pt idx="7">
                  <c:v>24.146459755991156</c:v>
                </c:pt>
                <c:pt idx="9">
                  <c:v>24.396224413842976</c:v>
                </c:pt>
                <c:pt idx="11">
                  <c:v>25.729041924386248</c:v>
                </c:pt>
                <c:pt idx="13">
                  <c:v>25.791561720713201</c:v>
                </c:pt>
                <c:pt idx="16">
                  <c:v>25.883767372300451</c:v>
                </c:pt>
                <c:pt idx="17">
                  <c:v>28.479695384028673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B-4C6E-A629-5D85F7A8909B}"/>
            </c:ext>
          </c:extLst>
        </c:ser>
        <c:ser>
          <c:idx val="3"/>
          <c:order val="3"/>
          <c:tx>
            <c:v>lactate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SuppSheet14!$AL$6:$AL$23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4.4802667593115325E-2</c:v>
                  </c:pt>
                  <c:pt idx="3">
                    <c:v>0.77112771617317866</c:v>
                  </c:pt>
                  <c:pt idx="5">
                    <c:v>0.23874778118891718</c:v>
                  </c:pt>
                  <c:pt idx="7">
                    <c:v>0.24919340658564046</c:v>
                  </c:pt>
                  <c:pt idx="9">
                    <c:v>0.55884790001422002</c:v>
                  </c:pt>
                  <c:pt idx="11">
                    <c:v>5.6337135256619326E-2</c:v>
                  </c:pt>
                  <c:pt idx="13">
                    <c:v>8.275079243151845E-2</c:v>
                  </c:pt>
                  <c:pt idx="16">
                    <c:v>3.7621955905181824E-2</c:v>
                  </c:pt>
                  <c:pt idx="17">
                    <c:v>7.8951766828926073E-2</c:v>
                  </c:pt>
                </c:numCache>
              </c:numRef>
            </c:plus>
            <c:minus>
              <c:numRef>
                <c:f>SuppSheet14!$AL$6:$AL$23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4.4802667593115325E-2</c:v>
                  </c:pt>
                  <c:pt idx="3">
                    <c:v>0.77112771617317866</c:v>
                  </c:pt>
                  <c:pt idx="5">
                    <c:v>0.23874778118891718</c:v>
                  </c:pt>
                  <c:pt idx="7">
                    <c:v>0.24919340658564046</c:v>
                  </c:pt>
                  <c:pt idx="9">
                    <c:v>0.55884790001422002</c:v>
                  </c:pt>
                  <c:pt idx="11">
                    <c:v>5.6337135256619326E-2</c:v>
                  </c:pt>
                  <c:pt idx="13">
                    <c:v>8.275079243151845E-2</c:v>
                  </c:pt>
                  <c:pt idx="16">
                    <c:v>3.7621955905181824E-2</c:v>
                  </c:pt>
                  <c:pt idx="17">
                    <c:v>7.8951766828926073E-2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SuppSheet14!$C$6:$C$23</c:f>
              <c:numCache>
                <c:formatCode>0.0</c:formatCode>
                <c:ptCount val="18"/>
                <c:pt idx="0">
                  <c:v>0</c:v>
                </c:pt>
                <c:pt idx="1">
                  <c:v>2.9833333332790062</c:v>
                </c:pt>
                <c:pt idx="2">
                  <c:v>6.0499999999883585</c:v>
                </c:pt>
                <c:pt idx="3">
                  <c:v>9.2333333332207985</c:v>
                </c:pt>
                <c:pt idx="4">
                  <c:v>12.899999999965075</c:v>
                </c:pt>
                <c:pt idx="5">
                  <c:v>20.850000000034925</c:v>
                </c:pt>
                <c:pt idx="6">
                  <c:v>29.449999999953434</c:v>
                </c:pt>
                <c:pt idx="7">
                  <c:v>46.166666666627862</c:v>
                </c:pt>
                <c:pt idx="8">
                  <c:v>61.350000000034925</c:v>
                </c:pt>
                <c:pt idx="9">
                  <c:v>77.083333333313931</c:v>
                </c:pt>
                <c:pt idx="10">
                  <c:v>98.733333333337214</c:v>
                </c:pt>
                <c:pt idx="11">
                  <c:v>130.19999999989523</c:v>
                </c:pt>
                <c:pt idx="12">
                  <c:v>157.69999999995343</c:v>
                </c:pt>
                <c:pt idx="13">
                  <c:v>190.8833333333605</c:v>
                </c:pt>
                <c:pt idx="14">
                  <c:v>216.18333333323244</c:v>
                </c:pt>
                <c:pt idx="15">
                  <c:v>239.6166666666395</c:v>
                </c:pt>
                <c:pt idx="16">
                  <c:v>262.8666666666395</c:v>
                </c:pt>
                <c:pt idx="17">
                  <c:v>363.28333333320916</c:v>
                </c:pt>
              </c:numCache>
            </c:numRef>
          </c:xVal>
          <c:yVal>
            <c:numRef>
              <c:f>SuppSheet14!$AK$6:$AK$23</c:f>
              <c:numCache>
                <c:formatCode>0.00</c:formatCode>
                <c:ptCount val="18"/>
                <c:pt idx="0">
                  <c:v>0</c:v>
                </c:pt>
                <c:pt idx="1">
                  <c:v>0.55715420579259767</c:v>
                </c:pt>
                <c:pt idx="3">
                  <c:v>4.0444166973637339</c:v>
                </c:pt>
                <c:pt idx="5">
                  <c:v>3.3349107267744489</c:v>
                </c:pt>
                <c:pt idx="7">
                  <c:v>1.6314951242647613</c:v>
                </c:pt>
                <c:pt idx="9">
                  <c:v>1.5541811289208949</c:v>
                </c:pt>
                <c:pt idx="11">
                  <c:v>3.2526260205781525E-2</c:v>
                </c:pt>
                <c:pt idx="13">
                  <c:v>9.3009559373671225E-2</c:v>
                </c:pt>
                <c:pt idx="16">
                  <c:v>0.16904459568706978</c:v>
                </c:pt>
                <c:pt idx="17">
                  <c:v>0.30619384772558983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FB-4C6E-A629-5D85F7A8909B}"/>
            </c:ext>
          </c:extLst>
        </c:ser>
        <c:ser>
          <c:idx val="4"/>
          <c:order val="4"/>
          <c:tx>
            <c:v>acetate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SuppSheet14!$AW$6:$AW$23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7.7835037277858163E-2</c:v>
                  </c:pt>
                  <c:pt idx="3">
                    <c:v>9.8014120272163163E-2</c:v>
                  </c:pt>
                  <c:pt idx="5">
                    <c:v>0.13139600514913333</c:v>
                  </c:pt>
                  <c:pt idx="7">
                    <c:v>0.37122679073902032</c:v>
                  </c:pt>
                  <c:pt idx="9">
                    <c:v>0.14679098536845961</c:v>
                  </c:pt>
                  <c:pt idx="11">
                    <c:v>0</c:v>
                  </c:pt>
                  <c:pt idx="13">
                    <c:v>0.9373313903648246</c:v>
                  </c:pt>
                  <c:pt idx="16">
                    <c:v>1.2297633473508112</c:v>
                  </c:pt>
                  <c:pt idx="17">
                    <c:v>2.2575438982296223</c:v>
                  </c:pt>
                </c:numCache>
              </c:numRef>
            </c:plus>
            <c:minus>
              <c:numRef>
                <c:f>SuppSheet14!$AW$6:$AW$23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7.7835037277858163E-2</c:v>
                  </c:pt>
                  <c:pt idx="3">
                    <c:v>9.8014120272163163E-2</c:v>
                  </c:pt>
                  <c:pt idx="5">
                    <c:v>0.13139600514913333</c:v>
                  </c:pt>
                  <c:pt idx="7">
                    <c:v>0.37122679073902032</c:v>
                  </c:pt>
                  <c:pt idx="9">
                    <c:v>0.14679098536845961</c:v>
                  </c:pt>
                  <c:pt idx="11">
                    <c:v>0</c:v>
                  </c:pt>
                  <c:pt idx="13">
                    <c:v>0.9373313903648246</c:v>
                  </c:pt>
                  <c:pt idx="16">
                    <c:v>1.2297633473508112</c:v>
                  </c:pt>
                  <c:pt idx="17">
                    <c:v>2.2575438982296223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SuppSheet14!$C$6:$C$23</c:f>
              <c:numCache>
                <c:formatCode>0.0</c:formatCode>
                <c:ptCount val="18"/>
                <c:pt idx="0">
                  <c:v>0</c:v>
                </c:pt>
                <c:pt idx="1">
                  <c:v>2.9833333332790062</c:v>
                </c:pt>
                <c:pt idx="2">
                  <c:v>6.0499999999883585</c:v>
                </c:pt>
                <c:pt idx="3">
                  <c:v>9.2333333332207985</c:v>
                </c:pt>
                <c:pt idx="4">
                  <c:v>12.899999999965075</c:v>
                </c:pt>
                <c:pt idx="5">
                  <c:v>20.850000000034925</c:v>
                </c:pt>
                <c:pt idx="6">
                  <c:v>29.449999999953434</c:v>
                </c:pt>
                <c:pt idx="7">
                  <c:v>46.166666666627862</c:v>
                </c:pt>
                <c:pt idx="8">
                  <c:v>61.350000000034925</c:v>
                </c:pt>
                <c:pt idx="9">
                  <c:v>77.083333333313931</c:v>
                </c:pt>
                <c:pt idx="10">
                  <c:v>98.733333333337214</c:v>
                </c:pt>
                <c:pt idx="11">
                  <c:v>130.19999999989523</c:v>
                </c:pt>
                <c:pt idx="12">
                  <c:v>157.69999999995343</c:v>
                </c:pt>
                <c:pt idx="13">
                  <c:v>190.8833333333605</c:v>
                </c:pt>
                <c:pt idx="14">
                  <c:v>216.18333333323244</c:v>
                </c:pt>
                <c:pt idx="15">
                  <c:v>239.6166666666395</c:v>
                </c:pt>
                <c:pt idx="16">
                  <c:v>262.8666666666395</c:v>
                </c:pt>
                <c:pt idx="17">
                  <c:v>363.28333333320916</c:v>
                </c:pt>
              </c:numCache>
            </c:numRef>
          </c:xVal>
          <c:yVal>
            <c:numRef>
              <c:f>SuppSheet14!$AV$6:$AV$23</c:f>
              <c:numCache>
                <c:formatCode>0.00</c:formatCode>
                <c:ptCount val="18"/>
                <c:pt idx="0">
                  <c:v>0</c:v>
                </c:pt>
                <c:pt idx="1">
                  <c:v>8.3525076963432032E-2</c:v>
                </c:pt>
                <c:pt idx="3">
                  <c:v>0.31572344599416086</c:v>
                </c:pt>
                <c:pt idx="5">
                  <c:v>2.4513764773743856</c:v>
                </c:pt>
                <c:pt idx="7">
                  <c:v>2.3801689486619773</c:v>
                </c:pt>
                <c:pt idx="9">
                  <c:v>0.54303737476796876</c:v>
                </c:pt>
                <c:pt idx="11">
                  <c:v>0</c:v>
                </c:pt>
                <c:pt idx="13">
                  <c:v>1.0688008961338284</c:v>
                </c:pt>
                <c:pt idx="16">
                  <c:v>2.9676155083257307</c:v>
                </c:pt>
                <c:pt idx="17">
                  <c:v>6.1240421838149928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FB-4C6E-A629-5D85F7A8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904728"/>
        <c:axId val="752909320"/>
      </c:scatterChart>
      <c:scatterChart>
        <c:scatterStyle val="lineMarker"/>
        <c:varyColors val="0"/>
        <c:ser>
          <c:idx val="0"/>
          <c:order val="0"/>
          <c:tx>
            <c:v>OD600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SuppSheet14!$J$6:$J$23</c:f>
                <c:numCache>
                  <c:formatCode>General</c:formatCode>
                  <c:ptCount val="18"/>
                  <c:pt idx="0">
                    <c:v>2.0816659994661317E-3</c:v>
                  </c:pt>
                  <c:pt idx="1">
                    <c:v>4.0414518843273767E-3</c:v>
                  </c:pt>
                  <c:pt idx="2">
                    <c:v>8.5049005481153839E-3</c:v>
                  </c:pt>
                  <c:pt idx="3">
                    <c:v>9.5393920141694649E-3</c:v>
                  </c:pt>
                  <c:pt idx="4">
                    <c:v>1.0583005244258356E-2</c:v>
                  </c:pt>
                  <c:pt idx="5">
                    <c:v>1.7009801096230768E-2</c:v>
                  </c:pt>
                  <c:pt idx="6">
                    <c:v>2.7754879450888136E-2</c:v>
                  </c:pt>
                  <c:pt idx="7">
                    <c:v>3.8436094147732525E-2</c:v>
                  </c:pt>
                  <c:pt idx="8">
                    <c:v>4.4136152981427569E-2</c:v>
                  </c:pt>
                  <c:pt idx="9">
                    <c:v>3.999999999999998E-2</c:v>
                  </c:pt>
                  <c:pt idx="10">
                    <c:v>2.7592269448766509E-2</c:v>
                  </c:pt>
                  <c:pt idx="11">
                    <c:v>3.4078341117685484E-2</c:v>
                  </c:pt>
                  <c:pt idx="12">
                    <c:v>4.8538644398046372E-2</c:v>
                  </c:pt>
                  <c:pt idx="13">
                    <c:v>7.5973679652890314E-2</c:v>
                  </c:pt>
                  <c:pt idx="14">
                    <c:v>8.6133617130595141E-2</c:v>
                  </c:pt>
                  <c:pt idx="15">
                    <c:v>9.1109823839144219E-2</c:v>
                  </c:pt>
                  <c:pt idx="16">
                    <c:v>0.10192644406629814</c:v>
                  </c:pt>
                  <c:pt idx="17">
                    <c:v>0.17917961193543661</c:v>
                  </c:pt>
                </c:numCache>
              </c:numRef>
            </c:plus>
            <c:minus>
              <c:numRef>
                <c:f>SuppSheet14!$J$6:$J$23</c:f>
                <c:numCache>
                  <c:formatCode>General</c:formatCode>
                  <c:ptCount val="18"/>
                  <c:pt idx="0">
                    <c:v>2.0816659994661317E-3</c:v>
                  </c:pt>
                  <c:pt idx="1">
                    <c:v>4.0414518843273767E-3</c:v>
                  </c:pt>
                  <c:pt idx="2">
                    <c:v>8.5049005481153839E-3</c:v>
                  </c:pt>
                  <c:pt idx="3">
                    <c:v>9.5393920141694649E-3</c:v>
                  </c:pt>
                  <c:pt idx="4">
                    <c:v>1.0583005244258356E-2</c:v>
                  </c:pt>
                  <c:pt idx="5">
                    <c:v>1.7009801096230768E-2</c:v>
                  </c:pt>
                  <c:pt idx="6">
                    <c:v>2.7754879450888136E-2</c:v>
                  </c:pt>
                  <c:pt idx="7">
                    <c:v>3.8436094147732525E-2</c:v>
                  </c:pt>
                  <c:pt idx="8">
                    <c:v>4.4136152981427569E-2</c:v>
                  </c:pt>
                  <c:pt idx="9">
                    <c:v>3.999999999999998E-2</c:v>
                  </c:pt>
                  <c:pt idx="10">
                    <c:v>2.7592269448766509E-2</c:v>
                  </c:pt>
                  <c:pt idx="11">
                    <c:v>3.4078341117685484E-2</c:v>
                  </c:pt>
                  <c:pt idx="12">
                    <c:v>4.8538644398046372E-2</c:v>
                  </c:pt>
                  <c:pt idx="13">
                    <c:v>7.5973679652890314E-2</c:v>
                  </c:pt>
                  <c:pt idx="14">
                    <c:v>8.6133617130595141E-2</c:v>
                  </c:pt>
                  <c:pt idx="15">
                    <c:v>9.1109823839144219E-2</c:v>
                  </c:pt>
                  <c:pt idx="16">
                    <c:v>0.10192644406629814</c:v>
                  </c:pt>
                  <c:pt idx="17">
                    <c:v>0.17917961193543661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SuppSheet14!$C$6:$C$23</c:f>
              <c:numCache>
                <c:formatCode>0.0</c:formatCode>
                <c:ptCount val="18"/>
                <c:pt idx="0">
                  <c:v>0</c:v>
                </c:pt>
                <c:pt idx="1">
                  <c:v>2.9833333332790062</c:v>
                </c:pt>
                <c:pt idx="2">
                  <c:v>6.0499999999883585</c:v>
                </c:pt>
                <c:pt idx="3">
                  <c:v>9.2333333332207985</c:v>
                </c:pt>
                <c:pt idx="4">
                  <c:v>12.899999999965075</c:v>
                </c:pt>
                <c:pt idx="5">
                  <c:v>20.850000000034925</c:v>
                </c:pt>
                <c:pt idx="6">
                  <c:v>29.449999999953434</c:v>
                </c:pt>
                <c:pt idx="7">
                  <c:v>46.166666666627862</c:v>
                </c:pt>
                <c:pt idx="8">
                  <c:v>61.350000000034925</c:v>
                </c:pt>
                <c:pt idx="9">
                  <c:v>77.083333333313931</c:v>
                </c:pt>
                <c:pt idx="10">
                  <c:v>98.733333333337214</c:v>
                </c:pt>
                <c:pt idx="11">
                  <c:v>130.19999999989523</c:v>
                </c:pt>
                <c:pt idx="12">
                  <c:v>157.69999999995343</c:v>
                </c:pt>
                <c:pt idx="13">
                  <c:v>190.8833333333605</c:v>
                </c:pt>
                <c:pt idx="14">
                  <c:v>216.18333333323244</c:v>
                </c:pt>
                <c:pt idx="15">
                  <c:v>239.6166666666395</c:v>
                </c:pt>
                <c:pt idx="16">
                  <c:v>262.8666666666395</c:v>
                </c:pt>
                <c:pt idx="17">
                  <c:v>363.28333333320916</c:v>
                </c:pt>
              </c:numCache>
            </c:numRef>
          </c:xVal>
          <c:yVal>
            <c:numRef>
              <c:f>SuppSheet14!$I$6:$I$23</c:f>
              <c:numCache>
                <c:formatCode>0.000</c:formatCode>
                <c:ptCount val="18"/>
                <c:pt idx="0">
                  <c:v>4.1333333333333333E-2</c:v>
                </c:pt>
                <c:pt idx="1">
                  <c:v>7.0333333333333331E-2</c:v>
                </c:pt>
                <c:pt idx="2">
                  <c:v>0.11366666666666665</c:v>
                </c:pt>
                <c:pt idx="3">
                  <c:v>0.158</c:v>
                </c:pt>
                <c:pt idx="4">
                  <c:v>0.18100000000000002</c:v>
                </c:pt>
                <c:pt idx="5">
                  <c:v>0.22266666666666665</c:v>
                </c:pt>
                <c:pt idx="6">
                  <c:v>0.26166666666666666</c:v>
                </c:pt>
                <c:pt idx="7">
                  <c:v>0.30933333333333329</c:v>
                </c:pt>
                <c:pt idx="8">
                  <c:v>0.34</c:v>
                </c:pt>
                <c:pt idx="9">
                  <c:v>0.36800000000000005</c:v>
                </c:pt>
                <c:pt idx="10">
                  <c:v>0.41866666666666669</c:v>
                </c:pt>
                <c:pt idx="11">
                  <c:v>0.48266666666666663</c:v>
                </c:pt>
                <c:pt idx="12">
                  <c:v>0.54599999999999993</c:v>
                </c:pt>
                <c:pt idx="13">
                  <c:v>0.62899999999999989</c:v>
                </c:pt>
                <c:pt idx="14">
                  <c:v>0.67300000000000004</c:v>
                </c:pt>
                <c:pt idx="15">
                  <c:v>0.70900000000000007</c:v>
                </c:pt>
                <c:pt idx="16">
                  <c:v>0.75099999999999989</c:v>
                </c:pt>
                <c:pt idx="17">
                  <c:v>1.0646666666666667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FB-4C6E-A629-5D85F7A8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22320"/>
        <c:axId val="755930192"/>
      </c:scatterChart>
      <c:valAx>
        <c:axId val="7529047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09320"/>
        <c:crosses val="autoZero"/>
        <c:crossBetween val="midCat"/>
      </c:valAx>
      <c:valAx>
        <c:axId val="752909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Metabolites</a:t>
                </a:r>
                <a:r>
                  <a:rPr lang="en-US" baseline="0"/>
                  <a:t> (mM) or pH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04728"/>
        <c:crosses val="autoZero"/>
        <c:crossBetween val="midCat"/>
      </c:valAx>
      <c:valAx>
        <c:axId val="755930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22320"/>
        <c:crosses val="max"/>
        <c:crossBetween val="midCat"/>
      </c:valAx>
      <c:valAx>
        <c:axId val="7559223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75593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Abiotic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SuppSheet14!$C$6:$C$23</c:f>
              <c:numCache>
                <c:formatCode>0.0</c:formatCode>
                <c:ptCount val="18"/>
                <c:pt idx="0">
                  <c:v>0</c:v>
                </c:pt>
                <c:pt idx="1">
                  <c:v>2.9833333332790062</c:v>
                </c:pt>
                <c:pt idx="2">
                  <c:v>6.0499999999883585</c:v>
                </c:pt>
                <c:pt idx="3">
                  <c:v>9.2333333332207985</c:v>
                </c:pt>
                <c:pt idx="4">
                  <c:v>12.899999999965075</c:v>
                </c:pt>
                <c:pt idx="5">
                  <c:v>20.850000000034925</c:v>
                </c:pt>
                <c:pt idx="6">
                  <c:v>29.449999999953434</c:v>
                </c:pt>
                <c:pt idx="7">
                  <c:v>46.166666666627862</c:v>
                </c:pt>
                <c:pt idx="8">
                  <c:v>61.350000000034925</c:v>
                </c:pt>
                <c:pt idx="9">
                  <c:v>77.083333333313931</c:v>
                </c:pt>
                <c:pt idx="10">
                  <c:v>98.733333333337214</c:v>
                </c:pt>
                <c:pt idx="11">
                  <c:v>130.19999999989523</c:v>
                </c:pt>
                <c:pt idx="12">
                  <c:v>157.69999999995343</c:v>
                </c:pt>
                <c:pt idx="13">
                  <c:v>190.8833333333605</c:v>
                </c:pt>
                <c:pt idx="14">
                  <c:v>216.18333333323244</c:v>
                </c:pt>
                <c:pt idx="15">
                  <c:v>239.6166666666395</c:v>
                </c:pt>
                <c:pt idx="16">
                  <c:v>262.8666666666395</c:v>
                </c:pt>
                <c:pt idx="17">
                  <c:v>363.28333333320916</c:v>
                </c:pt>
              </c:numCache>
            </c:numRef>
          </c:xVal>
          <c:yVal>
            <c:numRef>
              <c:f>SuppSheet14!$Y$6:$Y$23</c:f>
              <c:numCache>
                <c:formatCode>0.00</c:formatCode>
                <c:ptCount val="18"/>
                <c:pt idx="0">
                  <c:v>27.636158055083314</c:v>
                </c:pt>
                <c:pt idx="1">
                  <c:v>27.951338371902708</c:v>
                </c:pt>
                <c:pt idx="3">
                  <c:v>27.747017519269498</c:v>
                </c:pt>
                <c:pt idx="5">
                  <c:v>28.534746073915777</c:v>
                </c:pt>
                <c:pt idx="7">
                  <c:v>29.603928931635842</c:v>
                </c:pt>
                <c:pt idx="9">
                  <c:v>30.757279346497775</c:v>
                </c:pt>
                <c:pt idx="11">
                  <c:v>33.956044152009937</c:v>
                </c:pt>
                <c:pt idx="13">
                  <c:v>38.208896003122945</c:v>
                </c:pt>
                <c:pt idx="16">
                  <c:v>45.212840925073856</c:v>
                </c:pt>
                <c:pt idx="17">
                  <c:v>52.955329944839683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46-4765-BED4-F424815A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97912"/>
        <c:axId val="434092664"/>
      </c:scatterChart>
      <c:valAx>
        <c:axId val="43409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92664"/>
        <c:crosses val="autoZero"/>
        <c:crossBetween val="midCat"/>
      </c:valAx>
      <c:valAx>
        <c:axId val="43409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9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OD600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SuppSheet14!$J$6:$J$23</c:f>
                <c:numCache>
                  <c:formatCode>General</c:formatCode>
                  <c:ptCount val="18"/>
                  <c:pt idx="0">
                    <c:v>2.0816659994661317E-3</c:v>
                  </c:pt>
                  <c:pt idx="1">
                    <c:v>4.0414518843273767E-3</c:v>
                  </c:pt>
                  <c:pt idx="2">
                    <c:v>8.5049005481153839E-3</c:v>
                  </c:pt>
                  <c:pt idx="3">
                    <c:v>9.5393920141694649E-3</c:v>
                  </c:pt>
                  <c:pt idx="4">
                    <c:v>1.0583005244258356E-2</c:v>
                  </c:pt>
                  <c:pt idx="5">
                    <c:v>1.7009801096230768E-2</c:v>
                  </c:pt>
                  <c:pt idx="6">
                    <c:v>2.7754879450888136E-2</c:v>
                  </c:pt>
                  <c:pt idx="7">
                    <c:v>3.8436094147732525E-2</c:v>
                  </c:pt>
                  <c:pt idx="8">
                    <c:v>4.4136152981427569E-2</c:v>
                  </c:pt>
                  <c:pt idx="9">
                    <c:v>3.999999999999998E-2</c:v>
                  </c:pt>
                  <c:pt idx="10">
                    <c:v>2.7592269448766509E-2</c:v>
                  </c:pt>
                  <c:pt idx="11">
                    <c:v>3.4078341117685484E-2</c:v>
                  </c:pt>
                  <c:pt idx="12">
                    <c:v>4.8538644398046372E-2</c:v>
                  </c:pt>
                  <c:pt idx="13">
                    <c:v>7.5973679652890314E-2</c:v>
                  </c:pt>
                  <c:pt idx="14">
                    <c:v>8.6133617130595141E-2</c:v>
                  </c:pt>
                  <c:pt idx="15">
                    <c:v>9.1109823839144219E-2</c:v>
                  </c:pt>
                  <c:pt idx="16">
                    <c:v>0.10192644406629814</c:v>
                  </c:pt>
                  <c:pt idx="17">
                    <c:v>0.17917961193543661</c:v>
                  </c:pt>
                </c:numCache>
              </c:numRef>
            </c:plus>
            <c:minus>
              <c:numRef>
                <c:f>SuppSheet14!$J$6:$J$23</c:f>
                <c:numCache>
                  <c:formatCode>General</c:formatCode>
                  <c:ptCount val="18"/>
                  <c:pt idx="0">
                    <c:v>2.0816659994661317E-3</c:v>
                  </c:pt>
                  <c:pt idx="1">
                    <c:v>4.0414518843273767E-3</c:v>
                  </c:pt>
                  <c:pt idx="2">
                    <c:v>8.5049005481153839E-3</c:v>
                  </c:pt>
                  <c:pt idx="3">
                    <c:v>9.5393920141694649E-3</c:v>
                  </c:pt>
                  <c:pt idx="4">
                    <c:v>1.0583005244258356E-2</c:v>
                  </c:pt>
                  <c:pt idx="5">
                    <c:v>1.7009801096230768E-2</c:v>
                  </c:pt>
                  <c:pt idx="6">
                    <c:v>2.7754879450888136E-2</c:v>
                  </c:pt>
                  <c:pt idx="7">
                    <c:v>3.8436094147732525E-2</c:v>
                  </c:pt>
                  <c:pt idx="8">
                    <c:v>4.4136152981427569E-2</c:v>
                  </c:pt>
                  <c:pt idx="9">
                    <c:v>3.999999999999998E-2</c:v>
                  </c:pt>
                  <c:pt idx="10">
                    <c:v>2.7592269448766509E-2</c:v>
                  </c:pt>
                  <c:pt idx="11">
                    <c:v>3.4078341117685484E-2</c:v>
                  </c:pt>
                  <c:pt idx="12">
                    <c:v>4.8538644398046372E-2</c:v>
                  </c:pt>
                  <c:pt idx="13">
                    <c:v>7.5973679652890314E-2</c:v>
                  </c:pt>
                  <c:pt idx="14">
                    <c:v>8.6133617130595141E-2</c:v>
                  </c:pt>
                  <c:pt idx="15">
                    <c:v>9.1109823839144219E-2</c:v>
                  </c:pt>
                  <c:pt idx="16">
                    <c:v>0.10192644406629814</c:v>
                  </c:pt>
                  <c:pt idx="17">
                    <c:v>0.17917961193543661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SuppSheet14!$C$6:$C$23</c:f>
              <c:numCache>
                <c:formatCode>0.0</c:formatCode>
                <c:ptCount val="18"/>
                <c:pt idx="0">
                  <c:v>0</c:v>
                </c:pt>
                <c:pt idx="1">
                  <c:v>2.9833333332790062</c:v>
                </c:pt>
                <c:pt idx="2">
                  <c:v>6.0499999999883585</c:v>
                </c:pt>
                <c:pt idx="3">
                  <c:v>9.2333333332207985</c:v>
                </c:pt>
                <c:pt idx="4">
                  <c:v>12.899999999965075</c:v>
                </c:pt>
                <c:pt idx="5">
                  <c:v>20.850000000034925</c:v>
                </c:pt>
                <c:pt idx="6">
                  <c:v>29.449999999953434</c:v>
                </c:pt>
                <c:pt idx="7">
                  <c:v>46.166666666627862</c:v>
                </c:pt>
                <c:pt idx="8">
                  <c:v>61.350000000034925</c:v>
                </c:pt>
                <c:pt idx="9">
                  <c:v>77.083333333313931</c:v>
                </c:pt>
                <c:pt idx="10">
                  <c:v>98.733333333337214</c:v>
                </c:pt>
                <c:pt idx="11">
                  <c:v>130.19999999989523</c:v>
                </c:pt>
                <c:pt idx="12">
                  <c:v>157.69999999995343</c:v>
                </c:pt>
                <c:pt idx="13">
                  <c:v>190.8833333333605</c:v>
                </c:pt>
                <c:pt idx="14">
                  <c:v>216.18333333323244</c:v>
                </c:pt>
                <c:pt idx="15">
                  <c:v>239.6166666666395</c:v>
                </c:pt>
                <c:pt idx="16">
                  <c:v>262.8666666666395</c:v>
                </c:pt>
                <c:pt idx="17">
                  <c:v>363.28333333320916</c:v>
                </c:pt>
              </c:numCache>
            </c:numRef>
          </c:xVal>
          <c:yVal>
            <c:numRef>
              <c:f>SuppSheet14!$I$6:$I$23</c:f>
              <c:numCache>
                <c:formatCode>0.000</c:formatCode>
                <c:ptCount val="18"/>
                <c:pt idx="0">
                  <c:v>4.1333333333333333E-2</c:v>
                </c:pt>
                <c:pt idx="1">
                  <c:v>7.0333333333333331E-2</c:v>
                </c:pt>
                <c:pt idx="2">
                  <c:v>0.11366666666666665</c:v>
                </c:pt>
                <c:pt idx="3">
                  <c:v>0.158</c:v>
                </c:pt>
                <c:pt idx="4">
                  <c:v>0.18100000000000002</c:v>
                </c:pt>
                <c:pt idx="5">
                  <c:v>0.22266666666666665</c:v>
                </c:pt>
                <c:pt idx="6">
                  <c:v>0.26166666666666666</c:v>
                </c:pt>
                <c:pt idx="7">
                  <c:v>0.30933333333333329</c:v>
                </c:pt>
                <c:pt idx="8">
                  <c:v>0.34</c:v>
                </c:pt>
                <c:pt idx="9">
                  <c:v>0.36800000000000005</c:v>
                </c:pt>
                <c:pt idx="10">
                  <c:v>0.41866666666666669</c:v>
                </c:pt>
                <c:pt idx="11">
                  <c:v>0.48266666666666663</c:v>
                </c:pt>
                <c:pt idx="12">
                  <c:v>0.54599999999999993</c:v>
                </c:pt>
                <c:pt idx="13">
                  <c:v>0.62899999999999989</c:v>
                </c:pt>
                <c:pt idx="14">
                  <c:v>0.67300000000000004</c:v>
                </c:pt>
                <c:pt idx="15">
                  <c:v>0.70900000000000007</c:v>
                </c:pt>
                <c:pt idx="16">
                  <c:v>0.75099999999999989</c:v>
                </c:pt>
                <c:pt idx="17">
                  <c:v>1.0646666666666667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6-40D2-A264-78BA6C90625D}"/>
            </c:ext>
          </c:extLst>
        </c:ser>
        <c:ser>
          <c:idx val="1"/>
          <c:order val="1"/>
          <c:tx>
            <c:v>OD600 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SuppSheet14!$O$6:$O$23</c:f>
                <c:numCache>
                  <c:formatCode>General</c:formatCode>
                  <c:ptCount val="18"/>
                  <c:pt idx="0">
                    <c:v>2.0816659994661317E-3</c:v>
                  </c:pt>
                  <c:pt idx="1">
                    <c:v>4.0106376755835345E-3</c:v>
                  </c:pt>
                  <c:pt idx="2">
                    <c:v>8.3744199553674129E-3</c:v>
                  </c:pt>
                  <c:pt idx="3">
                    <c:v>9.3178231216881086E-3</c:v>
                  </c:pt>
                  <c:pt idx="4">
                    <c:v>1.0242721740921907E-2</c:v>
                  </c:pt>
                  <c:pt idx="5">
                    <c:v>1.6142987375910009E-2</c:v>
                  </c:pt>
                  <c:pt idx="6">
                    <c:v>2.5798238398309536E-2</c:v>
                  </c:pt>
                  <c:pt idx="7">
                    <c:v>3.4351826764845196E-2</c:v>
                  </c:pt>
                  <c:pt idx="8">
                    <c:v>3.8114202085896783E-2</c:v>
                  </c:pt>
                  <c:pt idx="9">
                    <c:v>3.3374596651137872E-2</c:v>
                  </c:pt>
                  <c:pt idx="10">
                    <c:v>2.1998622034068722E-2</c:v>
                  </c:pt>
                  <c:pt idx="11">
                    <c:v>2.5520916807592213E-2</c:v>
                  </c:pt>
                  <c:pt idx="12">
                    <c:v>3.4519259150955425E-2</c:v>
                  </c:pt>
                  <c:pt idx="13">
                    <c:v>5.0934663430347638E-2</c:v>
                  </c:pt>
                  <c:pt idx="14">
                    <c:v>5.5329226672843367E-2</c:v>
                  </c:pt>
                  <c:pt idx="15">
                    <c:v>5.634162456350339E-2</c:v>
                  </c:pt>
                  <c:pt idx="16">
                    <c:v>6.0780016079257738E-2</c:v>
                  </c:pt>
                  <c:pt idx="17">
                    <c:v>9.2571498538171301E-2</c:v>
                  </c:pt>
                </c:numCache>
              </c:numRef>
            </c:plus>
            <c:minus>
              <c:numRef>
                <c:f>SuppSheet14!$O$6:$O$23</c:f>
                <c:numCache>
                  <c:formatCode>General</c:formatCode>
                  <c:ptCount val="18"/>
                  <c:pt idx="0">
                    <c:v>2.0816659994661317E-3</c:v>
                  </c:pt>
                  <c:pt idx="1">
                    <c:v>4.0106376755835345E-3</c:v>
                  </c:pt>
                  <c:pt idx="2">
                    <c:v>8.3744199553674129E-3</c:v>
                  </c:pt>
                  <c:pt idx="3">
                    <c:v>9.3178231216881086E-3</c:v>
                  </c:pt>
                  <c:pt idx="4">
                    <c:v>1.0242721740921907E-2</c:v>
                  </c:pt>
                  <c:pt idx="5">
                    <c:v>1.6142987375910009E-2</c:v>
                  </c:pt>
                  <c:pt idx="6">
                    <c:v>2.5798238398309536E-2</c:v>
                  </c:pt>
                  <c:pt idx="7">
                    <c:v>3.4351826764845196E-2</c:v>
                  </c:pt>
                  <c:pt idx="8">
                    <c:v>3.8114202085896783E-2</c:v>
                  </c:pt>
                  <c:pt idx="9">
                    <c:v>3.3374596651137872E-2</c:v>
                  </c:pt>
                  <c:pt idx="10">
                    <c:v>2.1998622034068722E-2</c:v>
                  </c:pt>
                  <c:pt idx="11">
                    <c:v>2.5520916807592213E-2</c:v>
                  </c:pt>
                  <c:pt idx="12">
                    <c:v>3.4519259150955425E-2</c:v>
                  </c:pt>
                  <c:pt idx="13">
                    <c:v>5.0934663430347638E-2</c:v>
                  </c:pt>
                  <c:pt idx="14">
                    <c:v>5.5329226672843367E-2</c:v>
                  </c:pt>
                  <c:pt idx="15">
                    <c:v>5.634162456350339E-2</c:v>
                  </c:pt>
                  <c:pt idx="16">
                    <c:v>6.0780016079257738E-2</c:v>
                  </c:pt>
                  <c:pt idx="17">
                    <c:v>9.2571498538171301E-2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SuppSheet14!$C$6:$C$23</c:f>
              <c:numCache>
                <c:formatCode>0.0</c:formatCode>
                <c:ptCount val="18"/>
                <c:pt idx="0">
                  <c:v>0</c:v>
                </c:pt>
                <c:pt idx="1">
                  <c:v>2.9833333332790062</c:v>
                </c:pt>
                <c:pt idx="2">
                  <c:v>6.0499999999883585</c:v>
                </c:pt>
                <c:pt idx="3">
                  <c:v>9.2333333332207985</c:v>
                </c:pt>
                <c:pt idx="4">
                  <c:v>12.899999999965075</c:v>
                </c:pt>
                <c:pt idx="5">
                  <c:v>20.850000000034925</c:v>
                </c:pt>
                <c:pt idx="6">
                  <c:v>29.449999999953434</c:v>
                </c:pt>
                <c:pt idx="7">
                  <c:v>46.166666666627862</c:v>
                </c:pt>
                <c:pt idx="8">
                  <c:v>61.350000000034925</c:v>
                </c:pt>
                <c:pt idx="9">
                  <c:v>77.083333333313931</c:v>
                </c:pt>
                <c:pt idx="10">
                  <c:v>98.733333333337214</c:v>
                </c:pt>
                <c:pt idx="11">
                  <c:v>130.19999999989523</c:v>
                </c:pt>
                <c:pt idx="12">
                  <c:v>157.69999999995343</c:v>
                </c:pt>
                <c:pt idx="13">
                  <c:v>190.8833333333605</c:v>
                </c:pt>
                <c:pt idx="14">
                  <c:v>216.18333333323244</c:v>
                </c:pt>
                <c:pt idx="15">
                  <c:v>239.6166666666395</c:v>
                </c:pt>
                <c:pt idx="16">
                  <c:v>262.8666666666395</c:v>
                </c:pt>
                <c:pt idx="17">
                  <c:v>363.28333333320916</c:v>
                </c:pt>
              </c:numCache>
            </c:numRef>
          </c:xVal>
          <c:yVal>
            <c:numRef>
              <c:f>SuppSheet14!$N$6:$N$23</c:f>
              <c:numCache>
                <c:formatCode>0.000</c:formatCode>
                <c:ptCount val="18"/>
                <c:pt idx="0">
                  <c:v>4.1333333333333333E-2</c:v>
                </c:pt>
                <c:pt idx="1">
                  <c:v>6.9797074068837853E-2</c:v>
                </c:pt>
                <c:pt idx="2">
                  <c:v>0.11192281393629712</c:v>
                </c:pt>
                <c:pt idx="3">
                  <c:v>0.15433017649761602</c:v>
                </c:pt>
                <c:pt idx="4">
                  <c:v>0.17518016785569371</c:v>
                </c:pt>
                <c:pt idx="5">
                  <c:v>0.21131964851913976</c:v>
                </c:pt>
                <c:pt idx="6">
                  <c:v>0.24321990154929843</c:v>
                </c:pt>
                <c:pt idx="7">
                  <c:v>0.27646318687888144</c:v>
                </c:pt>
                <c:pt idx="8">
                  <c:v>0.29361029074413997</c:v>
                </c:pt>
                <c:pt idx="9">
                  <c:v>0.30704628919046867</c:v>
                </c:pt>
                <c:pt idx="10">
                  <c:v>0.33379239701050278</c:v>
                </c:pt>
                <c:pt idx="11">
                  <c:v>0.36146406901846434</c:v>
                </c:pt>
                <c:pt idx="12">
                  <c:v>0.38829917337329389</c:v>
                </c:pt>
                <c:pt idx="13">
                  <c:v>0.42169740157464936</c:v>
                </c:pt>
                <c:pt idx="14">
                  <c:v>0.43231168957372335</c:v>
                </c:pt>
                <c:pt idx="15">
                  <c:v>0.43844022666589683</c:v>
                </c:pt>
                <c:pt idx="16">
                  <c:v>0.44783071256594176</c:v>
                </c:pt>
                <c:pt idx="17">
                  <c:v>0.55005024127681967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6-40D2-A264-78BA6C906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64704"/>
        <c:axId val="697957160"/>
      </c:scatterChart>
      <c:valAx>
        <c:axId val="6979647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57160"/>
        <c:crosses val="autoZero"/>
        <c:crossBetween val="midCat"/>
      </c:valAx>
      <c:valAx>
        <c:axId val="697957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6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045341207349081"/>
          <c:y val="9.3170749489647153E-2"/>
          <c:w val="0.21787992125984251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ECOM</a:t>
            </a:r>
            <a:r>
              <a:rPr lang="en-US" baseline="0"/>
              <a:t> + 403 pH 7.5, Trial 2, Corrected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SuppSheet14!$U$6:$U$23</c:f>
                <c:numCache>
                  <c:formatCode>General</c:formatCode>
                  <c:ptCount val="18"/>
                  <c:pt idx="0">
                    <c:v>5.7735026918961348E-3</c:v>
                  </c:pt>
                  <c:pt idx="1">
                    <c:v>5.7735026918961348E-3</c:v>
                  </c:pt>
                  <c:pt idx="2">
                    <c:v>2.0000000000000018E-2</c:v>
                  </c:pt>
                  <c:pt idx="3">
                    <c:v>0.27730849247724121</c:v>
                  </c:pt>
                  <c:pt idx="4">
                    <c:v>0.48788659884581115</c:v>
                  </c:pt>
                  <c:pt idx="5">
                    <c:v>6.6583281184793869E-2</c:v>
                  </c:pt>
                  <c:pt idx="6">
                    <c:v>1.0000000000000231E-2</c:v>
                  </c:pt>
                  <c:pt idx="7">
                    <c:v>4.0414518843273822E-2</c:v>
                  </c:pt>
                  <c:pt idx="8">
                    <c:v>8.9999999999999858E-2</c:v>
                  </c:pt>
                  <c:pt idx="9">
                    <c:v>0.17156145643277021</c:v>
                  </c:pt>
                  <c:pt idx="10">
                    <c:v>0.11503622617824909</c:v>
                  </c:pt>
                  <c:pt idx="11">
                    <c:v>2.0000000000000018E-2</c:v>
                  </c:pt>
                  <c:pt idx="12">
                    <c:v>4.0414518843273822E-2</c:v>
                  </c:pt>
                  <c:pt idx="13">
                    <c:v>0.24576411454889011</c:v>
                  </c:pt>
                  <c:pt idx="14">
                    <c:v>0.4330127018922193</c:v>
                  </c:pt>
                  <c:pt idx="15">
                    <c:v>0.40426888741694339</c:v>
                  </c:pt>
                  <c:pt idx="16">
                    <c:v>0.28687976575562135</c:v>
                  </c:pt>
                  <c:pt idx="17">
                    <c:v>0.36746881953892802</c:v>
                  </c:pt>
                </c:numCache>
              </c:numRef>
            </c:plus>
            <c:minus>
              <c:numRef>
                <c:f>SuppSheet14!$U$6:$U$23</c:f>
                <c:numCache>
                  <c:formatCode>General</c:formatCode>
                  <c:ptCount val="18"/>
                  <c:pt idx="0">
                    <c:v>5.7735026918961348E-3</c:v>
                  </c:pt>
                  <c:pt idx="1">
                    <c:v>5.7735026918961348E-3</c:v>
                  </c:pt>
                  <c:pt idx="2">
                    <c:v>2.0000000000000018E-2</c:v>
                  </c:pt>
                  <c:pt idx="3">
                    <c:v>0.27730849247724121</c:v>
                  </c:pt>
                  <c:pt idx="4">
                    <c:v>0.48788659884581115</c:v>
                  </c:pt>
                  <c:pt idx="5">
                    <c:v>6.6583281184793869E-2</c:v>
                  </c:pt>
                  <c:pt idx="6">
                    <c:v>1.0000000000000231E-2</c:v>
                  </c:pt>
                  <c:pt idx="7">
                    <c:v>4.0414518843273822E-2</c:v>
                  </c:pt>
                  <c:pt idx="8">
                    <c:v>8.9999999999999858E-2</c:v>
                  </c:pt>
                  <c:pt idx="9">
                    <c:v>0.17156145643277021</c:v>
                  </c:pt>
                  <c:pt idx="10">
                    <c:v>0.11503622617824909</c:v>
                  </c:pt>
                  <c:pt idx="11">
                    <c:v>2.0000000000000018E-2</c:v>
                  </c:pt>
                  <c:pt idx="12">
                    <c:v>4.0414518843273822E-2</c:v>
                  </c:pt>
                  <c:pt idx="13">
                    <c:v>0.24576411454889011</c:v>
                  </c:pt>
                  <c:pt idx="14">
                    <c:v>0.4330127018922193</c:v>
                  </c:pt>
                  <c:pt idx="15">
                    <c:v>0.40426888741694339</c:v>
                  </c:pt>
                  <c:pt idx="16">
                    <c:v>0.28687976575562135</c:v>
                  </c:pt>
                  <c:pt idx="17">
                    <c:v>0.36746881953892802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SuppSheet14!$C$6:$C$23</c:f>
              <c:numCache>
                <c:formatCode>0.0</c:formatCode>
                <c:ptCount val="18"/>
                <c:pt idx="0">
                  <c:v>0</c:v>
                </c:pt>
                <c:pt idx="1">
                  <c:v>2.9833333332790062</c:v>
                </c:pt>
                <c:pt idx="2">
                  <c:v>6.0499999999883585</c:v>
                </c:pt>
                <c:pt idx="3">
                  <c:v>9.2333333332207985</c:v>
                </c:pt>
                <c:pt idx="4">
                  <c:v>12.899999999965075</c:v>
                </c:pt>
                <c:pt idx="5">
                  <c:v>20.850000000034925</c:v>
                </c:pt>
                <c:pt idx="6">
                  <c:v>29.449999999953434</c:v>
                </c:pt>
                <c:pt idx="7">
                  <c:v>46.166666666627862</c:v>
                </c:pt>
                <c:pt idx="8">
                  <c:v>61.350000000034925</c:v>
                </c:pt>
                <c:pt idx="9">
                  <c:v>77.083333333313931</c:v>
                </c:pt>
                <c:pt idx="10">
                  <c:v>98.733333333337214</c:v>
                </c:pt>
                <c:pt idx="11">
                  <c:v>130.19999999989523</c:v>
                </c:pt>
                <c:pt idx="12">
                  <c:v>157.69999999995343</c:v>
                </c:pt>
                <c:pt idx="13">
                  <c:v>190.8833333333605</c:v>
                </c:pt>
                <c:pt idx="14">
                  <c:v>216.18333333323244</c:v>
                </c:pt>
                <c:pt idx="15">
                  <c:v>239.6166666666395</c:v>
                </c:pt>
                <c:pt idx="16">
                  <c:v>262.8666666666395</c:v>
                </c:pt>
                <c:pt idx="17">
                  <c:v>363.28333333320916</c:v>
                </c:pt>
              </c:numCache>
            </c:numRef>
          </c:xVal>
          <c:yVal>
            <c:numRef>
              <c:f>SuppSheet14!$T$6:$T$23</c:f>
              <c:numCache>
                <c:formatCode>0.00</c:formatCode>
                <c:ptCount val="18"/>
                <c:pt idx="0">
                  <c:v>7.373333333333334</c:v>
                </c:pt>
                <c:pt idx="1">
                  <c:v>7.206666666666667</c:v>
                </c:pt>
                <c:pt idx="2">
                  <c:v>6.81</c:v>
                </c:pt>
                <c:pt idx="3">
                  <c:v>6.04</c:v>
                </c:pt>
                <c:pt idx="4">
                  <c:v>5.1366666666666667</c:v>
                </c:pt>
                <c:pt idx="5">
                  <c:v>5.1066666666666665</c:v>
                </c:pt>
                <c:pt idx="6">
                  <c:v>5.4799999999999995</c:v>
                </c:pt>
                <c:pt idx="7">
                  <c:v>6.043333333333333</c:v>
                </c:pt>
                <c:pt idx="8">
                  <c:v>6.29</c:v>
                </c:pt>
                <c:pt idx="9">
                  <c:v>6.5666666666666664</c:v>
                </c:pt>
                <c:pt idx="10">
                  <c:v>6.8166666666666664</c:v>
                </c:pt>
                <c:pt idx="11">
                  <c:v>6.77</c:v>
                </c:pt>
                <c:pt idx="12">
                  <c:v>6.6333333333333329</c:v>
                </c:pt>
                <c:pt idx="13">
                  <c:v>6.3</c:v>
                </c:pt>
                <c:pt idx="14">
                  <c:v>5.97</c:v>
                </c:pt>
                <c:pt idx="15">
                  <c:v>5.8433333333333337</c:v>
                </c:pt>
                <c:pt idx="16">
                  <c:v>5.7399999999999993</c:v>
                </c:pt>
                <c:pt idx="17">
                  <c:v>5.126666666666666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4-4DF4-9227-02922735B045}"/>
            </c:ext>
          </c:extLst>
        </c:ser>
        <c:ser>
          <c:idx val="2"/>
          <c:order val="2"/>
          <c:tx>
            <c:v>glucose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SuppSheet14!$AF$6:$AF$23</c:f>
                <c:numCache>
                  <c:formatCode>General</c:formatCode>
                  <c:ptCount val="18"/>
                  <c:pt idx="0">
                    <c:v>0.9755976147250599</c:v>
                  </c:pt>
                  <c:pt idx="1">
                    <c:v>0.4997968996293643</c:v>
                  </c:pt>
                  <c:pt idx="3">
                    <c:v>0.59615402016881269</c:v>
                  </c:pt>
                  <c:pt idx="5">
                    <c:v>0.50293992669991228</c:v>
                  </c:pt>
                  <c:pt idx="7">
                    <c:v>0.41384373415978742</c:v>
                  </c:pt>
                  <c:pt idx="9">
                    <c:v>0.52275931155235722</c:v>
                  </c:pt>
                  <c:pt idx="11">
                    <c:v>0.47480599054497519</c:v>
                  </c:pt>
                  <c:pt idx="13">
                    <c:v>0.91781656577314763</c:v>
                  </c:pt>
                  <c:pt idx="16">
                    <c:v>1.3441423951238662</c:v>
                  </c:pt>
                  <c:pt idx="17">
                    <c:v>1.5746544336037762</c:v>
                  </c:pt>
                </c:numCache>
              </c:numRef>
            </c:plus>
            <c:minus>
              <c:numRef>
                <c:f>SuppSheet14!$AF$6:$AF$23</c:f>
                <c:numCache>
                  <c:formatCode>General</c:formatCode>
                  <c:ptCount val="18"/>
                  <c:pt idx="0">
                    <c:v>0.9755976147250599</c:v>
                  </c:pt>
                  <c:pt idx="1">
                    <c:v>0.4997968996293643</c:v>
                  </c:pt>
                  <c:pt idx="3">
                    <c:v>0.59615402016881269</c:v>
                  </c:pt>
                  <c:pt idx="5">
                    <c:v>0.50293992669991228</c:v>
                  </c:pt>
                  <c:pt idx="7">
                    <c:v>0.41384373415978742</c:v>
                  </c:pt>
                  <c:pt idx="9">
                    <c:v>0.52275931155235722</c:v>
                  </c:pt>
                  <c:pt idx="11">
                    <c:v>0.47480599054497519</c:v>
                  </c:pt>
                  <c:pt idx="13">
                    <c:v>0.91781656577314763</c:v>
                  </c:pt>
                  <c:pt idx="16">
                    <c:v>1.3441423951238662</c:v>
                  </c:pt>
                  <c:pt idx="17">
                    <c:v>1.5746544336037762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SuppSheet14!$C$6:$C$23</c:f>
              <c:numCache>
                <c:formatCode>0.0</c:formatCode>
                <c:ptCount val="18"/>
                <c:pt idx="0">
                  <c:v>0</c:v>
                </c:pt>
                <c:pt idx="1">
                  <c:v>2.9833333332790062</c:v>
                </c:pt>
                <c:pt idx="2">
                  <c:v>6.0499999999883585</c:v>
                </c:pt>
                <c:pt idx="3">
                  <c:v>9.2333333332207985</c:v>
                </c:pt>
                <c:pt idx="4">
                  <c:v>12.899999999965075</c:v>
                </c:pt>
                <c:pt idx="5">
                  <c:v>20.850000000034925</c:v>
                </c:pt>
                <c:pt idx="6">
                  <c:v>29.449999999953434</c:v>
                </c:pt>
                <c:pt idx="7">
                  <c:v>46.166666666627862</c:v>
                </c:pt>
                <c:pt idx="8">
                  <c:v>61.350000000034925</c:v>
                </c:pt>
                <c:pt idx="9">
                  <c:v>77.083333333313931</c:v>
                </c:pt>
                <c:pt idx="10">
                  <c:v>98.733333333337214</c:v>
                </c:pt>
                <c:pt idx="11">
                  <c:v>130.19999999989523</c:v>
                </c:pt>
                <c:pt idx="12">
                  <c:v>157.69999999995343</c:v>
                </c:pt>
                <c:pt idx="13">
                  <c:v>190.8833333333605</c:v>
                </c:pt>
                <c:pt idx="14">
                  <c:v>216.18333333323244</c:v>
                </c:pt>
                <c:pt idx="15">
                  <c:v>239.6166666666395</c:v>
                </c:pt>
                <c:pt idx="16">
                  <c:v>262.8666666666395</c:v>
                </c:pt>
                <c:pt idx="17">
                  <c:v>363.28333333320916</c:v>
                </c:pt>
              </c:numCache>
            </c:numRef>
          </c:xVal>
          <c:yVal>
            <c:numRef>
              <c:f>SuppSheet14!$AE$6:$AE$23</c:f>
              <c:numCache>
                <c:formatCode>0.00</c:formatCode>
                <c:ptCount val="18"/>
                <c:pt idx="0">
                  <c:v>27.130758322029124</c:v>
                </c:pt>
                <c:pt idx="1">
                  <c:v>27.331438316385555</c:v>
                </c:pt>
                <c:pt idx="3">
                  <c:v>24.998597993639692</c:v>
                </c:pt>
                <c:pt idx="5">
                  <c:v>22.916843906805003</c:v>
                </c:pt>
                <c:pt idx="7">
                  <c:v>21.580626775810249</c:v>
                </c:pt>
                <c:pt idx="9">
                  <c:v>20.355353740566315</c:v>
                </c:pt>
                <c:pt idx="11">
                  <c:v>19.268213092407418</c:v>
                </c:pt>
                <c:pt idx="13">
                  <c:v>17.291310906481637</c:v>
                </c:pt>
                <c:pt idx="16">
                  <c:v>15.434814895111034</c:v>
                </c:pt>
                <c:pt idx="17">
                  <c:v>14.713772683915435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D4-4DF4-9227-02922735B045}"/>
            </c:ext>
          </c:extLst>
        </c:ser>
        <c:ser>
          <c:idx val="3"/>
          <c:order val="3"/>
          <c:tx>
            <c:v>lactate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SuppSheet14!$AQ$6:$AQ$23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4.4461067893054824E-2</c:v>
                  </c:pt>
                  <c:pt idx="3">
                    <c:v>0.7532169401215828</c:v>
                  </c:pt>
                  <c:pt idx="5">
                    <c:v>0.22658127487529853</c:v>
                  </c:pt>
                  <c:pt idx="7">
                    <c:v>0.22271380388104989</c:v>
                  </c:pt>
                  <c:pt idx="9">
                    <c:v>0.46628308130775048</c:v>
                  </c:pt>
                  <c:pt idx="11">
                    <c:v>4.2190297265264937E-2</c:v>
                  </c:pt>
                  <c:pt idx="13">
                    <c:v>5.5478210090007134E-2</c:v>
                  </c:pt>
                  <c:pt idx="16">
                    <c:v>2.2434443836407483E-2</c:v>
                  </c:pt>
                  <c:pt idx="17">
                    <c:v>4.0789704189244297E-2</c:v>
                  </c:pt>
                </c:numCache>
              </c:numRef>
            </c:plus>
            <c:minus>
              <c:numRef>
                <c:f>SuppSheet14!$AQ$6:$AQ$23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4.4461067893054824E-2</c:v>
                  </c:pt>
                  <c:pt idx="3">
                    <c:v>0.7532169401215828</c:v>
                  </c:pt>
                  <c:pt idx="5">
                    <c:v>0.22658127487529853</c:v>
                  </c:pt>
                  <c:pt idx="7">
                    <c:v>0.22271380388104989</c:v>
                  </c:pt>
                  <c:pt idx="9">
                    <c:v>0.46628308130775048</c:v>
                  </c:pt>
                  <c:pt idx="11">
                    <c:v>4.2190297265264937E-2</c:v>
                  </c:pt>
                  <c:pt idx="13">
                    <c:v>5.5478210090007134E-2</c:v>
                  </c:pt>
                  <c:pt idx="16">
                    <c:v>2.2434443836407483E-2</c:v>
                  </c:pt>
                  <c:pt idx="17">
                    <c:v>4.0789704189244297E-2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SuppSheet14!$C$6:$C$23</c:f>
              <c:numCache>
                <c:formatCode>0.0</c:formatCode>
                <c:ptCount val="18"/>
                <c:pt idx="0">
                  <c:v>0</c:v>
                </c:pt>
                <c:pt idx="1">
                  <c:v>2.9833333332790062</c:v>
                </c:pt>
                <c:pt idx="2">
                  <c:v>6.0499999999883585</c:v>
                </c:pt>
                <c:pt idx="3">
                  <c:v>9.2333333332207985</c:v>
                </c:pt>
                <c:pt idx="4">
                  <c:v>12.899999999965075</c:v>
                </c:pt>
                <c:pt idx="5">
                  <c:v>20.850000000034925</c:v>
                </c:pt>
                <c:pt idx="6">
                  <c:v>29.449999999953434</c:v>
                </c:pt>
                <c:pt idx="7">
                  <c:v>46.166666666627862</c:v>
                </c:pt>
                <c:pt idx="8">
                  <c:v>61.350000000034925</c:v>
                </c:pt>
                <c:pt idx="9">
                  <c:v>77.083333333313931</c:v>
                </c:pt>
                <c:pt idx="10">
                  <c:v>98.733333333337214</c:v>
                </c:pt>
                <c:pt idx="11">
                  <c:v>130.19999999989523</c:v>
                </c:pt>
                <c:pt idx="12">
                  <c:v>157.69999999995343</c:v>
                </c:pt>
                <c:pt idx="13">
                  <c:v>190.8833333333605</c:v>
                </c:pt>
                <c:pt idx="14">
                  <c:v>216.18333333323244</c:v>
                </c:pt>
                <c:pt idx="15">
                  <c:v>239.6166666666395</c:v>
                </c:pt>
                <c:pt idx="16">
                  <c:v>262.8666666666395</c:v>
                </c:pt>
                <c:pt idx="17">
                  <c:v>363.28333333320916</c:v>
                </c:pt>
              </c:numCache>
            </c:numRef>
          </c:xVal>
          <c:yVal>
            <c:numRef>
              <c:f>SuppSheet14!$AP$6:$AP$23</c:f>
              <c:numCache>
                <c:formatCode>0.00</c:formatCode>
                <c:ptCount val="18"/>
                <c:pt idx="0">
                  <c:v>0</c:v>
                </c:pt>
                <c:pt idx="1">
                  <c:v>0.55290616165123885</c:v>
                </c:pt>
                <c:pt idx="3">
                  <c:v>3.9504781185699378</c:v>
                </c:pt>
                <c:pt idx="5">
                  <c:v>3.1649648022066708</c:v>
                </c:pt>
                <c:pt idx="7">
                  <c:v>1.4581304141107516</c:v>
                </c:pt>
                <c:pt idx="9">
                  <c:v>1.2967542075136256</c:v>
                </c:pt>
                <c:pt idx="11">
                  <c:v>2.4358579483291041E-2</c:v>
                </c:pt>
                <c:pt idx="13">
                  <c:v>6.2355945166105299E-2</c:v>
                </c:pt>
                <c:pt idx="16">
                  <c:v>0.10080341110780557</c:v>
                </c:pt>
                <c:pt idx="17">
                  <c:v>0.15819223527138862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D4-4DF4-9227-02922735B045}"/>
            </c:ext>
          </c:extLst>
        </c:ser>
        <c:ser>
          <c:idx val="4"/>
          <c:order val="4"/>
          <c:tx>
            <c:v>acetate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SuppSheet14!$BB$6:$BB$23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7.7241580976778496E-2</c:v>
                  </c:pt>
                  <c:pt idx="3">
                    <c:v>9.5737572663680506E-2</c:v>
                  </c:pt>
                  <c:pt idx="5">
                    <c:v>0.12470010909401456</c:v>
                  </c:pt>
                  <c:pt idx="7">
                    <c:v>0.33177976817628269</c:v>
                  </c:pt>
                  <c:pt idx="9">
                    <c:v>0.12247724821738601</c:v>
                  </c:pt>
                  <c:pt idx="11">
                    <c:v>0</c:v>
                  </c:pt>
                  <c:pt idx="13">
                    <c:v>0.6284105114963433</c:v>
                  </c:pt>
                  <c:pt idx="16">
                    <c:v>0.733323297112638</c:v>
                  </c:pt>
                  <c:pt idx="17">
                    <c:v>1.1663392917165458</c:v>
                  </c:pt>
                </c:numCache>
              </c:numRef>
            </c:plus>
            <c:minus>
              <c:numRef>
                <c:f>SuppSheet14!$BB$6:$BB$23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7.7241580976778496E-2</c:v>
                  </c:pt>
                  <c:pt idx="3">
                    <c:v>9.5737572663680506E-2</c:v>
                  </c:pt>
                  <c:pt idx="5">
                    <c:v>0.12470010909401456</c:v>
                  </c:pt>
                  <c:pt idx="7">
                    <c:v>0.33177976817628269</c:v>
                  </c:pt>
                  <c:pt idx="9">
                    <c:v>0.12247724821738601</c:v>
                  </c:pt>
                  <c:pt idx="11">
                    <c:v>0</c:v>
                  </c:pt>
                  <c:pt idx="13">
                    <c:v>0.6284105114963433</c:v>
                  </c:pt>
                  <c:pt idx="16">
                    <c:v>0.733323297112638</c:v>
                  </c:pt>
                  <c:pt idx="17">
                    <c:v>1.1663392917165458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SuppSheet14!$C$6:$C$23</c:f>
              <c:numCache>
                <c:formatCode>0.0</c:formatCode>
                <c:ptCount val="18"/>
                <c:pt idx="0">
                  <c:v>0</c:v>
                </c:pt>
                <c:pt idx="1">
                  <c:v>2.9833333332790062</c:v>
                </c:pt>
                <c:pt idx="2">
                  <c:v>6.0499999999883585</c:v>
                </c:pt>
                <c:pt idx="3">
                  <c:v>9.2333333332207985</c:v>
                </c:pt>
                <c:pt idx="4">
                  <c:v>12.899999999965075</c:v>
                </c:pt>
                <c:pt idx="5">
                  <c:v>20.850000000034925</c:v>
                </c:pt>
                <c:pt idx="6">
                  <c:v>29.449999999953434</c:v>
                </c:pt>
                <c:pt idx="7">
                  <c:v>46.166666666627862</c:v>
                </c:pt>
                <c:pt idx="8">
                  <c:v>61.350000000034925</c:v>
                </c:pt>
                <c:pt idx="9">
                  <c:v>77.083333333313931</c:v>
                </c:pt>
                <c:pt idx="10">
                  <c:v>98.733333333337214</c:v>
                </c:pt>
                <c:pt idx="11">
                  <c:v>130.19999999989523</c:v>
                </c:pt>
                <c:pt idx="12">
                  <c:v>157.69999999995343</c:v>
                </c:pt>
                <c:pt idx="13">
                  <c:v>190.8833333333605</c:v>
                </c:pt>
                <c:pt idx="14">
                  <c:v>216.18333333323244</c:v>
                </c:pt>
                <c:pt idx="15">
                  <c:v>239.6166666666395</c:v>
                </c:pt>
                <c:pt idx="16">
                  <c:v>262.8666666666395</c:v>
                </c:pt>
                <c:pt idx="17">
                  <c:v>363.28333333320916</c:v>
                </c:pt>
              </c:numCache>
            </c:numRef>
          </c:xVal>
          <c:yVal>
            <c:numRef>
              <c:f>SuppSheet14!$BA$6:$BA$23</c:f>
              <c:numCache>
                <c:formatCode>0.00</c:formatCode>
                <c:ptCount val="18"/>
                <c:pt idx="0">
                  <c:v>0</c:v>
                </c:pt>
                <c:pt idx="1">
                  <c:v>8.2888236731119155E-2</c:v>
                </c:pt>
                <c:pt idx="3">
                  <c:v>0.30839022243490111</c:v>
                </c:pt>
                <c:pt idx="5">
                  <c:v>2.3264551598211471</c:v>
                </c:pt>
                <c:pt idx="7">
                  <c:v>2.127249222598858</c:v>
                </c:pt>
                <c:pt idx="9">
                  <c:v>0.45309133373434413</c:v>
                </c:pt>
                <c:pt idx="11">
                  <c:v>0</c:v>
                </c:pt>
                <c:pt idx="13">
                  <c:v>0.71655097090666497</c:v>
                </c:pt>
                <c:pt idx="16">
                  <c:v>1.7696263218578583</c:v>
                </c:pt>
                <c:pt idx="17">
                  <c:v>3.163930069627606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D4-4DF4-9227-02922735B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904728"/>
        <c:axId val="752909320"/>
      </c:scatterChart>
      <c:scatterChart>
        <c:scatterStyle val="lineMarker"/>
        <c:varyColors val="0"/>
        <c:ser>
          <c:idx val="0"/>
          <c:order val="0"/>
          <c:tx>
            <c:v>OD600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SuppSheet14!$O$6:$O$23</c:f>
                <c:numCache>
                  <c:formatCode>General</c:formatCode>
                  <c:ptCount val="18"/>
                  <c:pt idx="0">
                    <c:v>2.0816659994661317E-3</c:v>
                  </c:pt>
                  <c:pt idx="1">
                    <c:v>4.0106376755835345E-3</c:v>
                  </c:pt>
                  <c:pt idx="2">
                    <c:v>8.3744199553674129E-3</c:v>
                  </c:pt>
                  <c:pt idx="3">
                    <c:v>9.3178231216881086E-3</c:v>
                  </c:pt>
                  <c:pt idx="4">
                    <c:v>1.0242721740921907E-2</c:v>
                  </c:pt>
                  <c:pt idx="5">
                    <c:v>1.6142987375910009E-2</c:v>
                  </c:pt>
                  <c:pt idx="6">
                    <c:v>2.5798238398309536E-2</c:v>
                  </c:pt>
                  <c:pt idx="7">
                    <c:v>3.4351826764845196E-2</c:v>
                  </c:pt>
                  <c:pt idx="8">
                    <c:v>3.8114202085896783E-2</c:v>
                  </c:pt>
                  <c:pt idx="9">
                    <c:v>3.3374596651137872E-2</c:v>
                  </c:pt>
                  <c:pt idx="10">
                    <c:v>2.1998622034068722E-2</c:v>
                  </c:pt>
                  <c:pt idx="11">
                    <c:v>2.5520916807592213E-2</c:v>
                  </c:pt>
                  <c:pt idx="12">
                    <c:v>3.4519259150955425E-2</c:v>
                  </c:pt>
                  <c:pt idx="13">
                    <c:v>5.0934663430347638E-2</c:v>
                  </c:pt>
                  <c:pt idx="14">
                    <c:v>5.5329226672843367E-2</c:v>
                  </c:pt>
                  <c:pt idx="15">
                    <c:v>5.634162456350339E-2</c:v>
                  </c:pt>
                  <c:pt idx="16">
                    <c:v>6.0780016079257738E-2</c:v>
                  </c:pt>
                  <c:pt idx="17">
                    <c:v>9.2571498538171301E-2</c:v>
                  </c:pt>
                </c:numCache>
              </c:numRef>
            </c:plus>
            <c:minus>
              <c:numRef>
                <c:f>SuppSheet14!$O$6:$O$23</c:f>
                <c:numCache>
                  <c:formatCode>General</c:formatCode>
                  <c:ptCount val="18"/>
                  <c:pt idx="0">
                    <c:v>2.0816659994661317E-3</c:v>
                  </c:pt>
                  <c:pt idx="1">
                    <c:v>4.0106376755835345E-3</c:v>
                  </c:pt>
                  <c:pt idx="2">
                    <c:v>8.3744199553674129E-3</c:v>
                  </c:pt>
                  <c:pt idx="3">
                    <c:v>9.3178231216881086E-3</c:v>
                  </c:pt>
                  <c:pt idx="4">
                    <c:v>1.0242721740921907E-2</c:v>
                  </c:pt>
                  <c:pt idx="5">
                    <c:v>1.6142987375910009E-2</c:v>
                  </c:pt>
                  <c:pt idx="6">
                    <c:v>2.5798238398309536E-2</c:v>
                  </c:pt>
                  <c:pt idx="7">
                    <c:v>3.4351826764845196E-2</c:v>
                  </c:pt>
                  <c:pt idx="8">
                    <c:v>3.8114202085896783E-2</c:v>
                  </c:pt>
                  <c:pt idx="9">
                    <c:v>3.3374596651137872E-2</c:v>
                  </c:pt>
                  <c:pt idx="10">
                    <c:v>2.1998622034068722E-2</c:v>
                  </c:pt>
                  <c:pt idx="11">
                    <c:v>2.5520916807592213E-2</c:v>
                  </c:pt>
                  <c:pt idx="12">
                    <c:v>3.4519259150955425E-2</c:v>
                  </c:pt>
                  <c:pt idx="13">
                    <c:v>5.0934663430347638E-2</c:v>
                  </c:pt>
                  <c:pt idx="14">
                    <c:v>5.5329226672843367E-2</c:v>
                  </c:pt>
                  <c:pt idx="15">
                    <c:v>5.634162456350339E-2</c:v>
                  </c:pt>
                  <c:pt idx="16">
                    <c:v>6.0780016079257738E-2</c:v>
                  </c:pt>
                  <c:pt idx="17">
                    <c:v>9.2571498538171301E-2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SuppSheet14!$C$6:$C$23</c:f>
              <c:numCache>
                <c:formatCode>0.0</c:formatCode>
                <c:ptCount val="18"/>
                <c:pt idx="0">
                  <c:v>0</c:v>
                </c:pt>
                <c:pt idx="1">
                  <c:v>2.9833333332790062</c:v>
                </c:pt>
                <c:pt idx="2">
                  <c:v>6.0499999999883585</c:v>
                </c:pt>
                <c:pt idx="3">
                  <c:v>9.2333333332207985</c:v>
                </c:pt>
                <c:pt idx="4">
                  <c:v>12.899999999965075</c:v>
                </c:pt>
                <c:pt idx="5">
                  <c:v>20.850000000034925</c:v>
                </c:pt>
                <c:pt idx="6">
                  <c:v>29.449999999953434</c:v>
                </c:pt>
                <c:pt idx="7">
                  <c:v>46.166666666627862</c:v>
                </c:pt>
                <c:pt idx="8">
                  <c:v>61.350000000034925</c:v>
                </c:pt>
                <c:pt idx="9">
                  <c:v>77.083333333313931</c:v>
                </c:pt>
                <c:pt idx="10">
                  <c:v>98.733333333337214</c:v>
                </c:pt>
                <c:pt idx="11">
                  <c:v>130.19999999989523</c:v>
                </c:pt>
                <c:pt idx="12">
                  <c:v>157.69999999995343</c:v>
                </c:pt>
                <c:pt idx="13">
                  <c:v>190.8833333333605</c:v>
                </c:pt>
                <c:pt idx="14">
                  <c:v>216.18333333323244</c:v>
                </c:pt>
                <c:pt idx="15">
                  <c:v>239.6166666666395</c:v>
                </c:pt>
                <c:pt idx="16">
                  <c:v>262.8666666666395</c:v>
                </c:pt>
                <c:pt idx="17">
                  <c:v>363.28333333320916</c:v>
                </c:pt>
              </c:numCache>
            </c:numRef>
          </c:xVal>
          <c:yVal>
            <c:numRef>
              <c:f>SuppSheet14!$N$6:$N$23</c:f>
              <c:numCache>
                <c:formatCode>0.000</c:formatCode>
                <c:ptCount val="18"/>
                <c:pt idx="0">
                  <c:v>4.1333333333333333E-2</c:v>
                </c:pt>
                <c:pt idx="1">
                  <c:v>6.9797074068837853E-2</c:v>
                </c:pt>
                <c:pt idx="2">
                  <c:v>0.11192281393629712</c:v>
                </c:pt>
                <c:pt idx="3">
                  <c:v>0.15433017649761602</c:v>
                </c:pt>
                <c:pt idx="4">
                  <c:v>0.17518016785569371</c:v>
                </c:pt>
                <c:pt idx="5">
                  <c:v>0.21131964851913976</c:v>
                </c:pt>
                <c:pt idx="6">
                  <c:v>0.24321990154929843</c:v>
                </c:pt>
                <c:pt idx="7">
                  <c:v>0.27646318687888144</c:v>
                </c:pt>
                <c:pt idx="8">
                  <c:v>0.29361029074413997</c:v>
                </c:pt>
                <c:pt idx="9">
                  <c:v>0.30704628919046867</c:v>
                </c:pt>
                <c:pt idx="10">
                  <c:v>0.33379239701050278</c:v>
                </c:pt>
                <c:pt idx="11">
                  <c:v>0.36146406901846434</c:v>
                </c:pt>
                <c:pt idx="12">
                  <c:v>0.38829917337329389</c:v>
                </c:pt>
                <c:pt idx="13">
                  <c:v>0.42169740157464936</c:v>
                </c:pt>
                <c:pt idx="14">
                  <c:v>0.43231168957372335</c:v>
                </c:pt>
                <c:pt idx="15">
                  <c:v>0.43844022666589683</c:v>
                </c:pt>
                <c:pt idx="16">
                  <c:v>0.44783071256594176</c:v>
                </c:pt>
                <c:pt idx="17">
                  <c:v>0.55005024127681967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D4-4DF4-9227-02922735B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22320"/>
        <c:axId val="755930192"/>
      </c:scatterChart>
      <c:valAx>
        <c:axId val="7529047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09320"/>
        <c:crosses val="autoZero"/>
        <c:crossBetween val="midCat"/>
      </c:valAx>
      <c:valAx>
        <c:axId val="752909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Metabolites</a:t>
                </a:r>
                <a:r>
                  <a:rPr lang="en-US" baseline="0"/>
                  <a:t> (mM) or pH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04728"/>
        <c:crosses val="autoZero"/>
        <c:crossBetween val="midCat"/>
      </c:valAx>
      <c:valAx>
        <c:axId val="755930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22320"/>
        <c:crosses val="max"/>
        <c:crossBetween val="midCat"/>
      </c:valAx>
      <c:valAx>
        <c:axId val="7559223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75593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</a:t>
            </a:r>
            <a:r>
              <a:rPr lang="en-US" baseline="0"/>
              <a:t> inhibition at </a:t>
            </a:r>
            <a:r>
              <a:rPr lang="en-US"/>
              <a:t>pH5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384644694459101"/>
          <c:y val="6.6611205357543599E-2"/>
          <c:w val="0.80241280429046702"/>
          <c:h val="0.72309122629489697"/>
        </c:manualLayout>
      </c:layout>
      <c:scatterChart>
        <c:scatterStyle val="lineMarker"/>
        <c:varyColors val="0"/>
        <c:ser>
          <c:idx val="1"/>
          <c:order val="0"/>
          <c:tx>
            <c:v>307G100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[1]Data!$AU$28:$AU$34</c:f>
                <c:numCache>
                  <c:formatCode>General</c:formatCode>
                  <c:ptCount val="7"/>
                  <c:pt idx="0">
                    <c:v>3.8682468035705114E-3</c:v>
                  </c:pt>
                  <c:pt idx="1">
                    <c:v>3.1176914536239801E-3</c:v>
                  </c:pt>
                  <c:pt idx="2">
                    <c:v>3.3381631675718543E-3</c:v>
                  </c:pt>
                  <c:pt idx="3">
                    <c:v>2.0526405757787516E-3</c:v>
                  </c:pt>
                  <c:pt idx="4">
                    <c:v>3.4933269720043856E-3</c:v>
                  </c:pt>
                  <c:pt idx="5">
                    <c:v>7.8809897855535802E-3</c:v>
                  </c:pt>
                  <c:pt idx="6">
                    <c:v>2.6633312473917569E-3</c:v>
                  </c:pt>
                </c:numCache>
              </c:numRef>
            </c:plus>
            <c:minus>
              <c:numRef>
                <c:f>[1]Data!$AU$28:$AU$34</c:f>
                <c:numCache>
                  <c:formatCode>General</c:formatCode>
                  <c:ptCount val="7"/>
                  <c:pt idx="0">
                    <c:v>3.8682468035705114E-3</c:v>
                  </c:pt>
                  <c:pt idx="1">
                    <c:v>3.1176914536239801E-3</c:v>
                  </c:pt>
                  <c:pt idx="2">
                    <c:v>3.3381631675718543E-3</c:v>
                  </c:pt>
                  <c:pt idx="3">
                    <c:v>2.0526405757787516E-3</c:v>
                  </c:pt>
                  <c:pt idx="4">
                    <c:v>3.4933269720043856E-3</c:v>
                  </c:pt>
                  <c:pt idx="5">
                    <c:v>7.8809897855535802E-3</c:v>
                  </c:pt>
                  <c:pt idx="6">
                    <c:v>2.6633312473917569E-3</c:v>
                  </c:pt>
                </c:numCache>
              </c:numRef>
            </c:minus>
          </c:errBars>
          <c:xVal>
            <c:numRef>
              <c:f>[1]Data!$AS$28:$AS$34</c:f>
              <c:numCache>
                <c:formatCode>General</c:formatCode>
                <c:ptCount val="7"/>
                <c:pt idx="0">
                  <c:v>0</c:v>
                </c:pt>
                <c:pt idx="1">
                  <c:v>7.0000000000000007E-2</c:v>
                </c:pt>
                <c:pt idx="2">
                  <c:v>0.17499999999999999</c:v>
                </c:pt>
                <c:pt idx="3">
                  <c:v>0.35</c:v>
                </c:pt>
                <c:pt idx="4">
                  <c:v>0.7</c:v>
                </c:pt>
                <c:pt idx="5">
                  <c:v>1.4</c:v>
                </c:pt>
                <c:pt idx="6">
                  <c:v>3.5</c:v>
                </c:pt>
              </c:numCache>
            </c:numRef>
          </c:xVal>
          <c:yVal>
            <c:numRef>
              <c:f>[1]Data!$AT$28:$AT$34</c:f>
              <c:numCache>
                <c:formatCode>General</c:formatCode>
                <c:ptCount val="7"/>
                <c:pt idx="0">
                  <c:v>0.26226666666666665</c:v>
                </c:pt>
                <c:pt idx="1">
                  <c:v>0.12100000000000001</c:v>
                </c:pt>
                <c:pt idx="2">
                  <c:v>8.5966666666666677E-2</c:v>
                </c:pt>
                <c:pt idx="3">
                  <c:v>5.2433333333333332E-2</c:v>
                </c:pt>
                <c:pt idx="4">
                  <c:v>2.0866666666666662E-2</c:v>
                </c:pt>
                <c:pt idx="5">
                  <c:v>2.1000000000000001E-2</c:v>
                </c:pt>
                <c:pt idx="6">
                  <c:v>2.3833333333333335E-2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7-4000-8D5C-E4D2BB904CCB}"/>
            </c:ext>
          </c:extLst>
        </c:ser>
        <c:ser>
          <c:idx val="2"/>
          <c:order val="1"/>
          <c:tx>
            <c:v>WT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00B05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[1]Data!$AG$17:$AG$24</c:f>
                <c:numCache>
                  <c:formatCode>General</c:formatCode>
                  <c:ptCount val="8"/>
                  <c:pt idx="0">
                    <c:v>4.1867847647886914E-3</c:v>
                  </c:pt>
                  <c:pt idx="1">
                    <c:v>9.3541434669348715E-3</c:v>
                  </c:pt>
                  <c:pt idx="2">
                    <c:v>7.6216249361055911E-3</c:v>
                  </c:pt>
                  <c:pt idx="3">
                    <c:v>1.6881745565353514E-2</c:v>
                  </c:pt>
                  <c:pt idx="4">
                    <c:v>1.4719601443879758E-3</c:v>
                  </c:pt>
                  <c:pt idx="5">
                    <c:v>1.9362764954072909E-3</c:v>
                  </c:pt>
                  <c:pt idx="6">
                    <c:v>1.4885675440951022E-3</c:v>
                  </c:pt>
                  <c:pt idx="7">
                    <c:v>9.3364429343657483E-3</c:v>
                  </c:pt>
                </c:numCache>
              </c:numRef>
            </c:plus>
            <c:minus>
              <c:numRef>
                <c:f>[1]Data!$AG$17:$AG$24</c:f>
                <c:numCache>
                  <c:formatCode>General</c:formatCode>
                  <c:ptCount val="8"/>
                  <c:pt idx="0">
                    <c:v>4.1867847647886914E-3</c:v>
                  </c:pt>
                  <c:pt idx="1">
                    <c:v>9.3541434669348715E-3</c:v>
                  </c:pt>
                  <c:pt idx="2">
                    <c:v>7.6216249361055911E-3</c:v>
                  </c:pt>
                  <c:pt idx="3">
                    <c:v>1.6881745565353514E-2</c:v>
                  </c:pt>
                  <c:pt idx="4">
                    <c:v>1.4719601443879758E-3</c:v>
                  </c:pt>
                  <c:pt idx="5">
                    <c:v>1.9362764954072909E-3</c:v>
                  </c:pt>
                  <c:pt idx="6">
                    <c:v>1.4885675440951022E-3</c:v>
                  </c:pt>
                  <c:pt idx="7">
                    <c:v>9.3364429343657483E-3</c:v>
                  </c:pt>
                </c:numCache>
              </c:numRef>
            </c:minus>
          </c:errBars>
          <c:xVal>
            <c:numRef>
              <c:f>[1]Data!$AS$17:$AS$25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0.35</c:v>
                </c:pt>
                <c:pt idx="3">
                  <c:v>0.7</c:v>
                </c:pt>
                <c:pt idx="4">
                  <c:v>1.4</c:v>
                </c:pt>
                <c:pt idx="5">
                  <c:v>3.5</c:v>
                </c:pt>
                <c:pt idx="6">
                  <c:v>5.6</c:v>
                </c:pt>
                <c:pt idx="7">
                  <c:v>7</c:v>
                </c:pt>
                <c:pt idx="8">
                  <c:v>10.5</c:v>
                </c:pt>
              </c:numCache>
            </c:numRef>
          </c:xVal>
          <c:yVal>
            <c:numRef>
              <c:f>[1]Data!$AT$17:$AT$25</c:f>
              <c:numCache>
                <c:formatCode>General</c:formatCode>
                <c:ptCount val="9"/>
                <c:pt idx="0">
                  <c:v>0.219</c:v>
                </c:pt>
                <c:pt idx="1">
                  <c:v>0.128</c:v>
                </c:pt>
                <c:pt idx="2">
                  <c:v>4.5999999999999999E-2</c:v>
                </c:pt>
                <c:pt idx="3">
                  <c:v>2.3E-2</c:v>
                </c:pt>
                <c:pt idx="4">
                  <c:v>1.9E-2</c:v>
                </c:pt>
                <c:pt idx="5">
                  <c:v>1.4999999999999999E-2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7-4000-8D5C-E4D2BB904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02240"/>
        <c:axId val="547402816"/>
      </c:scatterChart>
      <c:valAx>
        <c:axId val="54740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 Concentration (g/L)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402816"/>
        <c:crosses val="autoZero"/>
        <c:crossBetween val="midCat"/>
      </c:valAx>
      <c:valAx>
        <c:axId val="547402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Avg Mu (1/h)</a:t>
                </a:r>
              </a:p>
              <a:p>
                <a:pPr>
                  <a:defRPr b="1"/>
                </a:pPr>
                <a:endParaRPr lang="en-US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402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589586921427795"/>
          <c:y val="0.30751359014659402"/>
          <c:w val="0.23288998253973101"/>
          <c:h val="0.328673475666625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OD600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SuppSheet14!$J$6:$J$23</c:f>
                <c:numCache>
                  <c:formatCode>General</c:formatCode>
                  <c:ptCount val="18"/>
                  <c:pt idx="0">
                    <c:v>2.0816659994661317E-3</c:v>
                  </c:pt>
                  <c:pt idx="1">
                    <c:v>4.0414518843273767E-3</c:v>
                  </c:pt>
                  <c:pt idx="2">
                    <c:v>8.5049005481153839E-3</c:v>
                  </c:pt>
                  <c:pt idx="3">
                    <c:v>9.5393920141694649E-3</c:v>
                  </c:pt>
                  <c:pt idx="4">
                    <c:v>1.0583005244258356E-2</c:v>
                  </c:pt>
                  <c:pt idx="5">
                    <c:v>1.7009801096230768E-2</c:v>
                  </c:pt>
                  <c:pt idx="6">
                    <c:v>2.7754879450888136E-2</c:v>
                  </c:pt>
                  <c:pt idx="7">
                    <c:v>3.8436094147732525E-2</c:v>
                  </c:pt>
                  <c:pt idx="8">
                    <c:v>4.4136152981427569E-2</c:v>
                  </c:pt>
                  <c:pt idx="9">
                    <c:v>3.999999999999998E-2</c:v>
                  </c:pt>
                  <c:pt idx="10">
                    <c:v>2.7592269448766509E-2</c:v>
                  </c:pt>
                  <c:pt idx="11">
                    <c:v>3.4078341117685484E-2</c:v>
                  </c:pt>
                  <c:pt idx="12">
                    <c:v>4.8538644398046372E-2</c:v>
                  </c:pt>
                  <c:pt idx="13">
                    <c:v>7.5973679652890314E-2</c:v>
                  </c:pt>
                  <c:pt idx="14">
                    <c:v>8.6133617130595141E-2</c:v>
                  </c:pt>
                  <c:pt idx="15">
                    <c:v>9.1109823839144219E-2</c:v>
                  </c:pt>
                  <c:pt idx="16">
                    <c:v>0.10192644406629814</c:v>
                  </c:pt>
                  <c:pt idx="17">
                    <c:v>0.17917961193543661</c:v>
                  </c:pt>
                </c:numCache>
              </c:numRef>
            </c:plus>
            <c:minus>
              <c:numRef>
                <c:f>SuppSheet14!$J$6:$J$23</c:f>
                <c:numCache>
                  <c:formatCode>General</c:formatCode>
                  <c:ptCount val="18"/>
                  <c:pt idx="0">
                    <c:v>2.0816659994661317E-3</c:v>
                  </c:pt>
                  <c:pt idx="1">
                    <c:v>4.0414518843273767E-3</c:v>
                  </c:pt>
                  <c:pt idx="2">
                    <c:v>8.5049005481153839E-3</c:v>
                  </c:pt>
                  <c:pt idx="3">
                    <c:v>9.5393920141694649E-3</c:v>
                  </c:pt>
                  <c:pt idx="4">
                    <c:v>1.0583005244258356E-2</c:v>
                  </c:pt>
                  <c:pt idx="5">
                    <c:v>1.7009801096230768E-2</c:v>
                  </c:pt>
                  <c:pt idx="6">
                    <c:v>2.7754879450888136E-2</c:v>
                  </c:pt>
                  <c:pt idx="7">
                    <c:v>3.8436094147732525E-2</c:v>
                  </c:pt>
                  <c:pt idx="8">
                    <c:v>4.4136152981427569E-2</c:v>
                  </c:pt>
                  <c:pt idx="9">
                    <c:v>3.999999999999998E-2</c:v>
                  </c:pt>
                  <c:pt idx="10">
                    <c:v>2.7592269448766509E-2</c:v>
                  </c:pt>
                  <c:pt idx="11">
                    <c:v>3.4078341117685484E-2</c:v>
                  </c:pt>
                  <c:pt idx="12">
                    <c:v>4.8538644398046372E-2</c:v>
                  </c:pt>
                  <c:pt idx="13">
                    <c:v>7.5973679652890314E-2</c:v>
                  </c:pt>
                  <c:pt idx="14">
                    <c:v>8.6133617130595141E-2</c:v>
                  </c:pt>
                  <c:pt idx="15">
                    <c:v>9.1109823839144219E-2</c:v>
                  </c:pt>
                  <c:pt idx="16">
                    <c:v>0.10192644406629814</c:v>
                  </c:pt>
                  <c:pt idx="17">
                    <c:v>0.17917961193543661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SuppSheet14!$C$6:$C$23</c:f>
              <c:numCache>
                <c:formatCode>0.0</c:formatCode>
                <c:ptCount val="18"/>
                <c:pt idx="0">
                  <c:v>0</c:v>
                </c:pt>
                <c:pt idx="1">
                  <c:v>2.9833333332790062</c:v>
                </c:pt>
                <c:pt idx="2">
                  <c:v>6.0499999999883585</c:v>
                </c:pt>
                <c:pt idx="3">
                  <c:v>9.2333333332207985</c:v>
                </c:pt>
                <c:pt idx="4">
                  <c:v>12.899999999965075</c:v>
                </c:pt>
                <c:pt idx="5">
                  <c:v>20.850000000034925</c:v>
                </c:pt>
                <c:pt idx="6">
                  <c:v>29.449999999953434</c:v>
                </c:pt>
                <c:pt idx="7">
                  <c:v>46.166666666627862</c:v>
                </c:pt>
                <c:pt idx="8">
                  <c:v>61.350000000034925</c:v>
                </c:pt>
                <c:pt idx="9">
                  <c:v>77.083333333313931</c:v>
                </c:pt>
                <c:pt idx="10">
                  <c:v>98.733333333337214</c:v>
                </c:pt>
                <c:pt idx="11">
                  <c:v>130.19999999989523</c:v>
                </c:pt>
                <c:pt idx="12">
                  <c:v>157.69999999995343</c:v>
                </c:pt>
                <c:pt idx="13">
                  <c:v>190.8833333333605</c:v>
                </c:pt>
                <c:pt idx="14">
                  <c:v>216.18333333323244</c:v>
                </c:pt>
                <c:pt idx="15">
                  <c:v>239.6166666666395</c:v>
                </c:pt>
                <c:pt idx="16">
                  <c:v>262.8666666666395</c:v>
                </c:pt>
                <c:pt idx="17">
                  <c:v>363.28333333320916</c:v>
                </c:pt>
              </c:numCache>
            </c:numRef>
          </c:xVal>
          <c:yVal>
            <c:numRef>
              <c:f>SuppSheet14!$I$6:$I$23</c:f>
              <c:numCache>
                <c:formatCode>0.000</c:formatCode>
                <c:ptCount val="18"/>
                <c:pt idx="0">
                  <c:v>4.1333333333333333E-2</c:v>
                </c:pt>
                <c:pt idx="1">
                  <c:v>7.0333333333333331E-2</c:v>
                </c:pt>
                <c:pt idx="2">
                  <c:v>0.11366666666666665</c:v>
                </c:pt>
                <c:pt idx="3">
                  <c:v>0.158</c:v>
                </c:pt>
                <c:pt idx="4">
                  <c:v>0.18100000000000002</c:v>
                </c:pt>
                <c:pt idx="5">
                  <c:v>0.22266666666666665</c:v>
                </c:pt>
                <c:pt idx="6">
                  <c:v>0.26166666666666666</c:v>
                </c:pt>
                <c:pt idx="7">
                  <c:v>0.30933333333333329</c:v>
                </c:pt>
                <c:pt idx="8">
                  <c:v>0.34</c:v>
                </c:pt>
                <c:pt idx="9">
                  <c:v>0.36800000000000005</c:v>
                </c:pt>
                <c:pt idx="10">
                  <c:v>0.41866666666666669</c:v>
                </c:pt>
                <c:pt idx="11">
                  <c:v>0.48266666666666663</c:v>
                </c:pt>
                <c:pt idx="12">
                  <c:v>0.54599999999999993</c:v>
                </c:pt>
                <c:pt idx="13">
                  <c:v>0.62899999999999989</c:v>
                </c:pt>
                <c:pt idx="14">
                  <c:v>0.67300000000000004</c:v>
                </c:pt>
                <c:pt idx="15">
                  <c:v>0.70900000000000007</c:v>
                </c:pt>
                <c:pt idx="16">
                  <c:v>0.75099999999999989</c:v>
                </c:pt>
                <c:pt idx="17">
                  <c:v>1.0646666666666667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C-4F51-8C17-241BCF67A840}"/>
            </c:ext>
          </c:extLst>
        </c:ser>
        <c:ser>
          <c:idx val="1"/>
          <c:order val="1"/>
          <c:tx>
            <c:v>OD600 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SuppSheet14!$O$6:$O$23</c:f>
                <c:numCache>
                  <c:formatCode>General</c:formatCode>
                  <c:ptCount val="18"/>
                  <c:pt idx="0">
                    <c:v>2.0816659994661317E-3</c:v>
                  </c:pt>
                  <c:pt idx="1">
                    <c:v>4.0106376755835345E-3</c:v>
                  </c:pt>
                  <c:pt idx="2">
                    <c:v>8.3744199553674129E-3</c:v>
                  </c:pt>
                  <c:pt idx="3">
                    <c:v>9.3178231216881086E-3</c:v>
                  </c:pt>
                  <c:pt idx="4">
                    <c:v>1.0242721740921907E-2</c:v>
                  </c:pt>
                  <c:pt idx="5">
                    <c:v>1.6142987375910009E-2</c:v>
                  </c:pt>
                  <c:pt idx="6">
                    <c:v>2.5798238398309536E-2</c:v>
                  </c:pt>
                  <c:pt idx="7">
                    <c:v>3.4351826764845196E-2</c:v>
                  </c:pt>
                  <c:pt idx="8">
                    <c:v>3.8114202085896783E-2</c:v>
                  </c:pt>
                  <c:pt idx="9">
                    <c:v>3.3374596651137872E-2</c:v>
                  </c:pt>
                  <c:pt idx="10">
                    <c:v>2.1998622034068722E-2</c:v>
                  </c:pt>
                  <c:pt idx="11">
                    <c:v>2.5520916807592213E-2</c:v>
                  </c:pt>
                  <c:pt idx="12">
                    <c:v>3.4519259150955425E-2</c:v>
                  </c:pt>
                  <c:pt idx="13">
                    <c:v>5.0934663430347638E-2</c:v>
                  </c:pt>
                  <c:pt idx="14">
                    <c:v>5.5329226672843367E-2</c:v>
                  </c:pt>
                  <c:pt idx="15">
                    <c:v>5.634162456350339E-2</c:v>
                  </c:pt>
                  <c:pt idx="16">
                    <c:v>6.0780016079257738E-2</c:v>
                  </c:pt>
                  <c:pt idx="17">
                    <c:v>9.2571498538171301E-2</c:v>
                  </c:pt>
                </c:numCache>
              </c:numRef>
            </c:plus>
            <c:minus>
              <c:numRef>
                <c:f>SuppSheet14!$O$6:$O$23</c:f>
                <c:numCache>
                  <c:formatCode>General</c:formatCode>
                  <c:ptCount val="18"/>
                  <c:pt idx="0">
                    <c:v>2.0816659994661317E-3</c:v>
                  </c:pt>
                  <c:pt idx="1">
                    <c:v>4.0106376755835345E-3</c:v>
                  </c:pt>
                  <c:pt idx="2">
                    <c:v>8.3744199553674129E-3</c:v>
                  </c:pt>
                  <c:pt idx="3">
                    <c:v>9.3178231216881086E-3</c:v>
                  </c:pt>
                  <c:pt idx="4">
                    <c:v>1.0242721740921907E-2</c:v>
                  </c:pt>
                  <c:pt idx="5">
                    <c:v>1.6142987375910009E-2</c:v>
                  </c:pt>
                  <c:pt idx="6">
                    <c:v>2.5798238398309536E-2</c:v>
                  </c:pt>
                  <c:pt idx="7">
                    <c:v>3.4351826764845196E-2</c:v>
                  </c:pt>
                  <c:pt idx="8">
                    <c:v>3.8114202085896783E-2</c:v>
                  </c:pt>
                  <c:pt idx="9">
                    <c:v>3.3374596651137872E-2</c:v>
                  </c:pt>
                  <c:pt idx="10">
                    <c:v>2.1998622034068722E-2</c:v>
                  </c:pt>
                  <c:pt idx="11">
                    <c:v>2.5520916807592213E-2</c:v>
                  </c:pt>
                  <c:pt idx="12">
                    <c:v>3.4519259150955425E-2</c:v>
                  </c:pt>
                  <c:pt idx="13">
                    <c:v>5.0934663430347638E-2</c:v>
                  </c:pt>
                  <c:pt idx="14">
                    <c:v>5.5329226672843367E-2</c:v>
                  </c:pt>
                  <c:pt idx="15">
                    <c:v>5.634162456350339E-2</c:v>
                  </c:pt>
                  <c:pt idx="16">
                    <c:v>6.0780016079257738E-2</c:v>
                  </c:pt>
                  <c:pt idx="17">
                    <c:v>9.2571498538171301E-2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SuppSheet14!$C$6:$C$23</c:f>
              <c:numCache>
                <c:formatCode>0.0</c:formatCode>
                <c:ptCount val="18"/>
                <c:pt idx="0">
                  <c:v>0</c:v>
                </c:pt>
                <c:pt idx="1">
                  <c:v>2.9833333332790062</c:v>
                </c:pt>
                <c:pt idx="2">
                  <c:v>6.0499999999883585</c:v>
                </c:pt>
                <c:pt idx="3">
                  <c:v>9.2333333332207985</c:v>
                </c:pt>
                <c:pt idx="4">
                  <c:v>12.899999999965075</c:v>
                </c:pt>
                <c:pt idx="5">
                  <c:v>20.850000000034925</c:v>
                </c:pt>
                <c:pt idx="6">
                  <c:v>29.449999999953434</c:v>
                </c:pt>
                <c:pt idx="7">
                  <c:v>46.166666666627862</c:v>
                </c:pt>
                <c:pt idx="8">
                  <c:v>61.350000000034925</c:v>
                </c:pt>
                <c:pt idx="9">
                  <c:v>77.083333333313931</c:v>
                </c:pt>
                <c:pt idx="10">
                  <c:v>98.733333333337214</c:v>
                </c:pt>
                <c:pt idx="11">
                  <c:v>130.19999999989523</c:v>
                </c:pt>
                <c:pt idx="12">
                  <c:v>157.69999999995343</c:v>
                </c:pt>
                <c:pt idx="13">
                  <c:v>190.8833333333605</c:v>
                </c:pt>
                <c:pt idx="14">
                  <c:v>216.18333333323244</c:v>
                </c:pt>
                <c:pt idx="15">
                  <c:v>239.6166666666395</c:v>
                </c:pt>
                <c:pt idx="16">
                  <c:v>262.8666666666395</c:v>
                </c:pt>
                <c:pt idx="17">
                  <c:v>363.28333333320916</c:v>
                </c:pt>
              </c:numCache>
            </c:numRef>
          </c:xVal>
          <c:yVal>
            <c:numRef>
              <c:f>SuppSheet14!$N$6:$N$23</c:f>
              <c:numCache>
                <c:formatCode>0.000</c:formatCode>
                <c:ptCount val="18"/>
                <c:pt idx="0">
                  <c:v>4.1333333333333333E-2</c:v>
                </c:pt>
                <c:pt idx="1">
                  <c:v>6.9797074068837853E-2</c:v>
                </c:pt>
                <c:pt idx="2">
                  <c:v>0.11192281393629712</c:v>
                </c:pt>
                <c:pt idx="3">
                  <c:v>0.15433017649761602</c:v>
                </c:pt>
                <c:pt idx="4">
                  <c:v>0.17518016785569371</c:v>
                </c:pt>
                <c:pt idx="5">
                  <c:v>0.21131964851913976</c:v>
                </c:pt>
                <c:pt idx="6">
                  <c:v>0.24321990154929843</c:v>
                </c:pt>
                <c:pt idx="7">
                  <c:v>0.27646318687888144</c:v>
                </c:pt>
                <c:pt idx="8">
                  <c:v>0.29361029074413997</c:v>
                </c:pt>
                <c:pt idx="9">
                  <c:v>0.30704628919046867</c:v>
                </c:pt>
                <c:pt idx="10">
                  <c:v>0.33379239701050278</c:v>
                </c:pt>
                <c:pt idx="11">
                  <c:v>0.36146406901846434</c:v>
                </c:pt>
                <c:pt idx="12">
                  <c:v>0.38829917337329389</c:v>
                </c:pt>
                <c:pt idx="13">
                  <c:v>0.42169740157464936</c:v>
                </c:pt>
                <c:pt idx="14">
                  <c:v>0.43231168957372335</c:v>
                </c:pt>
                <c:pt idx="15">
                  <c:v>0.43844022666589683</c:v>
                </c:pt>
                <c:pt idx="16">
                  <c:v>0.44783071256594176</c:v>
                </c:pt>
                <c:pt idx="17">
                  <c:v>0.55005024127681967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C-4F51-8C17-241BCF67A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64704"/>
        <c:axId val="697957160"/>
      </c:scatterChart>
      <c:valAx>
        <c:axId val="69796470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57160"/>
        <c:crosses val="autoZero"/>
        <c:crossBetween val="midCat"/>
      </c:valAx>
      <c:valAx>
        <c:axId val="697957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6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045341207349081"/>
          <c:y val="7.4652230971128636E-2"/>
          <c:w val="0.21787992125984251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OD600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SuppSheet14!$J$6:$J$23</c:f>
                <c:numCache>
                  <c:formatCode>General</c:formatCode>
                  <c:ptCount val="18"/>
                  <c:pt idx="0">
                    <c:v>2.0816659994661317E-3</c:v>
                  </c:pt>
                  <c:pt idx="1">
                    <c:v>4.0414518843273767E-3</c:v>
                  </c:pt>
                  <c:pt idx="2">
                    <c:v>8.5049005481153839E-3</c:v>
                  </c:pt>
                  <c:pt idx="3">
                    <c:v>9.5393920141694649E-3</c:v>
                  </c:pt>
                  <c:pt idx="4">
                    <c:v>1.0583005244258356E-2</c:v>
                  </c:pt>
                  <c:pt idx="5">
                    <c:v>1.7009801096230768E-2</c:v>
                  </c:pt>
                  <c:pt idx="6">
                    <c:v>2.7754879450888136E-2</c:v>
                  </c:pt>
                  <c:pt idx="7">
                    <c:v>3.8436094147732525E-2</c:v>
                  </c:pt>
                  <c:pt idx="8">
                    <c:v>4.4136152981427569E-2</c:v>
                  </c:pt>
                  <c:pt idx="9">
                    <c:v>3.999999999999998E-2</c:v>
                  </c:pt>
                  <c:pt idx="10">
                    <c:v>2.7592269448766509E-2</c:v>
                  </c:pt>
                  <c:pt idx="11">
                    <c:v>3.4078341117685484E-2</c:v>
                  </c:pt>
                  <c:pt idx="12">
                    <c:v>4.8538644398046372E-2</c:v>
                  </c:pt>
                  <c:pt idx="13">
                    <c:v>7.5973679652890314E-2</c:v>
                  </c:pt>
                  <c:pt idx="14">
                    <c:v>8.6133617130595141E-2</c:v>
                  </c:pt>
                  <c:pt idx="15">
                    <c:v>9.1109823839144219E-2</c:v>
                  </c:pt>
                  <c:pt idx="16">
                    <c:v>0.10192644406629814</c:v>
                  </c:pt>
                  <c:pt idx="17">
                    <c:v>0.17917961193543661</c:v>
                  </c:pt>
                </c:numCache>
              </c:numRef>
            </c:plus>
            <c:minus>
              <c:numRef>
                <c:f>SuppSheet14!$J$6:$J$23</c:f>
                <c:numCache>
                  <c:formatCode>General</c:formatCode>
                  <c:ptCount val="18"/>
                  <c:pt idx="0">
                    <c:v>2.0816659994661317E-3</c:v>
                  </c:pt>
                  <c:pt idx="1">
                    <c:v>4.0414518843273767E-3</c:v>
                  </c:pt>
                  <c:pt idx="2">
                    <c:v>8.5049005481153839E-3</c:v>
                  </c:pt>
                  <c:pt idx="3">
                    <c:v>9.5393920141694649E-3</c:v>
                  </c:pt>
                  <c:pt idx="4">
                    <c:v>1.0583005244258356E-2</c:v>
                  </c:pt>
                  <c:pt idx="5">
                    <c:v>1.7009801096230768E-2</c:v>
                  </c:pt>
                  <c:pt idx="6">
                    <c:v>2.7754879450888136E-2</c:v>
                  </c:pt>
                  <c:pt idx="7">
                    <c:v>3.8436094147732525E-2</c:v>
                  </c:pt>
                  <c:pt idx="8">
                    <c:v>4.4136152981427569E-2</c:v>
                  </c:pt>
                  <c:pt idx="9">
                    <c:v>3.999999999999998E-2</c:v>
                  </c:pt>
                  <c:pt idx="10">
                    <c:v>2.7592269448766509E-2</c:v>
                  </c:pt>
                  <c:pt idx="11">
                    <c:v>3.4078341117685484E-2</c:v>
                  </c:pt>
                  <c:pt idx="12">
                    <c:v>4.8538644398046372E-2</c:v>
                  </c:pt>
                  <c:pt idx="13">
                    <c:v>7.5973679652890314E-2</c:v>
                  </c:pt>
                  <c:pt idx="14">
                    <c:v>8.6133617130595141E-2</c:v>
                  </c:pt>
                  <c:pt idx="15">
                    <c:v>9.1109823839144219E-2</c:v>
                  </c:pt>
                  <c:pt idx="16">
                    <c:v>0.10192644406629814</c:v>
                  </c:pt>
                  <c:pt idx="17">
                    <c:v>0.17917961193543661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SuppSheet14!$C$6:$C$23</c:f>
              <c:numCache>
                <c:formatCode>0.0</c:formatCode>
                <c:ptCount val="18"/>
                <c:pt idx="0">
                  <c:v>0</c:v>
                </c:pt>
                <c:pt idx="1">
                  <c:v>2.9833333332790062</c:v>
                </c:pt>
                <c:pt idx="2">
                  <c:v>6.0499999999883585</c:v>
                </c:pt>
                <c:pt idx="3">
                  <c:v>9.2333333332207985</c:v>
                </c:pt>
                <c:pt idx="4">
                  <c:v>12.899999999965075</c:v>
                </c:pt>
                <c:pt idx="5">
                  <c:v>20.850000000034925</c:v>
                </c:pt>
                <c:pt idx="6">
                  <c:v>29.449999999953434</c:v>
                </c:pt>
                <c:pt idx="7">
                  <c:v>46.166666666627862</c:v>
                </c:pt>
                <c:pt idx="8">
                  <c:v>61.350000000034925</c:v>
                </c:pt>
                <c:pt idx="9">
                  <c:v>77.083333333313931</c:v>
                </c:pt>
                <c:pt idx="10">
                  <c:v>98.733333333337214</c:v>
                </c:pt>
                <c:pt idx="11">
                  <c:v>130.19999999989523</c:v>
                </c:pt>
                <c:pt idx="12">
                  <c:v>157.69999999995343</c:v>
                </c:pt>
                <c:pt idx="13">
                  <c:v>190.8833333333605</c:v>
                </c:pt>
                <c:pt idx="14">
                  <c:v>216.18333333323244</c:v>
                </c:pt>
                <c:pt idx="15">
                  <c:v>239.6166666666395</c:v>
                </c:pt>
                <c:pt idx="16">
                  <c:v>262.8666666666395</c:v>
                </c:pt>
                <c:pt idx="17">
                  <c:v>363.28333333320916</c:v>
                </c:pt>
              </c:numCache>
            </c:numRef>
          </c:xVal>
          <c:yVal>
            <c:numRef>
              <c:f>SuppSheet14!$I$6:$I$23</c:f>
              <c:numCache>
                <c:formatCode>0.000</c:formatCode>
                <c:ptCount val="18"/>
                <c:pt idx="0">
                  <c:v>4.1333333333333333E-2</c:v>
                </c:pt>
                <c:pt idx="1">
                  <c:v>7.0333333333333331E-2</c:v>
                </c:pt>
                <c:pt idx="2">
                  <c:v>0.11366666666666665</c:v>
                </c:pt>
                <c:pt idx="3">
                  <c:v>0.158</c:v>
                </c:pt>
                <c:pt idx="4">
                  <c:v>0.18100000000000002</c:v>
                </c:pt>
                <c:pt idx="5">
                  <c:v>0.22266666666666665</c:v>
                </c:pt>
                <c:pt idx="6">
                  <c:v>0.26166666666666666</c:v>
                </c:pt>
                <c:pt idx="7">
                  <c:v>0.30933333333333329</c:v>
                </c:pt>
                <c:pt idx="8">
                  <c:v>0.34</c:v>
                </c:pt>
                <c:pt idx="9">
                  <c:v>0.36800000000000005</c:v>
                </c:pt>
                <c:pt idx="10">
                  <c:v>0.41866666666666669</c:v>
                </c:pt>
                <c:pt idx="11">
                  <c:v>0.48266666666666663</c:v>
                </c:pt>
                <c:pt idx="12">
                  <c:v>0.54599999999999993</c:v>
                </c:pt>
                <c:pt idx="13">
                  <c:v>0.62899999999999989</c:v>
                </c:pt>
                <c:pt idx="14">
                  <c:v>0.67300000000000004</c:v>
                </c:pt>
                <c:pt idx="15">
                  <c:v>0.70900000000000007</c:v>
                </c:pt>
                <c:pt idx="16">
                  <c:v>0.75099999999999989</c:v>
                </c:pt>
                <c:pt idx="17">
                  <c:v>1.0646666666666667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2-4004-86D9-AC1365A44C05}"/>
            </c:ext>
          </c:extLst>
        </c:ser>
        <c:ser>
          <c:idx val="1"/>
          <c:order val="1"/>
          <c:tx>
            <c:v>OD600 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SuppSheet14!$O$6:$O$23</c:f>
                <c:numCache>
                  <c:formatCode>General</c:formatCode>
                  <c:ptCount val="18"/>
                  <c:pt idx="0">
                    <c:v>2.0816659994661317E-3</c:v>
                  </c:pt>
                  <c:pt idx="1">
                    <c:v>4.0106376755835345E-3</c:v>
                  </c:pt>
                  <c:pt idx="2">
                    <c:v>8.3744199553674129E-3</c:v>
                  </c:pt>
                  <c:pt idx="3">
                    <c:v>9.3178231216881086E-3</c:v>
                  </c:pt>
                  <c:pt idx="4">
                    <c:v>1.0242721740921907E-2</c:v>
                  </c:pt>
                  <c:pt idx="5">
                    <c:v>1.6142987375910009E-2</c:v>
                  </c:pt>
                  <c:pt idx="6">
                    <c:v>2.5798238398309536E-2</c:v>
                  </c:pt>
                  <c:pt idx="7">
                    <c:v>3.4351826764845196E-2</c:v>
                  </c:pt>
                  <c:pt idx="8">
                    <c:v>3.8114202085896783E-2</c:v>
                  </c:pt>
                  <c:pt idx="9">
                    <c:v>3.3374596651137872E-2</c:v>
                  </c:pt>
                  <c:pt idx="10">
                    <c:v>2.1998622034068722E-2</c:v>
                  </c:pt>
                  <c:pt idx="11">
                    <c:v>2.5520916807592213E-2</c:v>
                  </c:pt>
                  <c:pt idx="12">
                    <c:v>3.4519259150955425E-2</c:v>
                  </c:pt>
                  <c:pt idx="13">
                    <c:v>5.0934663430347638E-2</c:v>
                  </c:pt>
                  <c:pt idx="14">
                    <c:v>5.5329226672843367E-2</c:v>
                  </c:pt>
                  <c:pt idx="15">
                    <c:v>5.634162456350339E-2</c:v>
                  </c:pt>
                  <c:pt idx="16">
                    <c:v>6.0780016079257738E-2</c:v>
                  </c:pt>
                  <c:pt idx="17">
                    <c:v>9.2571498538171301E-2</c:v>
                  </c:pt>
                </c:numCache>
              </c:numRef>
            </c:plus>
            <c:minus>
              <c:numRef>
                <c:f>SuppSheet14!$O$6:$O$23</c:f>
                <c:numCache>
                  <c:formatCode>General</c:formatCode>
                  <c:ptCount val="18"/>
                  <c:pt idx="0">
                    <c:v>2.0816659994661317E-3</c:v>
                  </c:pt>
                  <c:pt idx="1">
                    <c:v>4.0106376755835345E-3</c:v>
                  </c:pt>
                  <c:pt idx="2">
                    <c:v>8.3744199553674129E-3</c:v>
                  </c:pt>
                  <c:pt idx="3">
                    <c:v>9.3178231216881086E-3</c:v>
                  </c:pt>
                  <c:pt idx="4">
                    <c:v>1.0242721740921907E-2</c:v>
                  </c:pt>
                  <c:pt idx="5">
                    <c:v>1.6142987375910009E-2</c:v>
                  </c:pt>
                  <c:pt idx="6">
                    <c:v>2.5798238398309536E-2</c:v>
                  </c:pt>
                  <c:pt idx="7">
                    <c:v>3.4351826764845196E-2</c:v>
                  </c:pt>
                  <c:pt idx="8">
                    <c:v>3.8114202085896783E-2</c:v>
                  </c:pt>
                  <c:pt idx="9">
                    <c:v>3.3374596651137872E-2</c:v>
                  </c:pt>
                  <c:pt idx="10">
                    <c:v>2.1998622034068722E-2</c:v>
                  </c:pt>
                  <c:pt idx="11">
                    <c:v>2.5520916807592213E-2</c:v>
                  </c:pt>
                  <c:pt idx="12">
                    <c:v>3.4519259150955425E-2</c:v>
                  </c:pt>
                  <c:pt idx="13">
                    <c:v>5.0934663430347638E-2</c:v>
                  </c:pt>
                  <c:pt idx="14">
                    <c:v>5.5329226672843367E-2</c:v>
                  </c:pt>
                  <c:pt idx="15">
                    <c:v>5.634162456350339E-2</c:v>
                  </c:pt>
                  <c:pt idx="16">
                    <c:v>6.0780016079257738E-2</c:v>
                  </c:pt>
                  <c:pt idx="17">
                    <c:v>9.2571498538171301E-2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SuppSheet14!$C$6:$C$23</c:f>
              <c:numCache>
                <c:formatCode>0.0</c:formatCode>
                <c:ptCount val="18"/>
                <c:pt idx="0">
                  <c:v>0</c:v>
                </c:pt>
                <c:pt idx="1">
                  <c:v>2.9833333332790062</c:v>
                </c:pt>
                <c:pt idx="2">
                  <c:v>6.0499999999883585</c:v>
                </c:pt>
                <c:pt idx="3">
                  <c:v>9.2333333332207985</c:v>
                </c:pt>
                <c:pt idx="4">
                  <c:v>12.899999999965075</c:v>
                </c:pt>
                <c:pt idx="5">
                  <c:v>20.850000000034925</c:v>
                </c:pt>
                <c:pt idx="6">
                  <c:v>29.449999999953434</c:v>
                </c:pt>
                <c:pt idx="7">
                  <c:v>46.166666666627862</c:v>
                </c:pt>
                <c:pt idx="8">
                  <c:v>61.350000000034925</c:v>
                </c:pt>
                <c:pt idx="9">
                  <c:v>77.083333333313931</c:v>
                </c:pt>
                <c:pt idx="10">
                  <c:v>98.733333333337214</c:v>
                </c:pt>
                <c:pt idx="11">
                  <c:v>130.19999999989523</c:v>
                </c:pt>
                <c:pt idx="12">
                  <c:v>157.69999999995343</c:v>
                </c:pt>
                <c:pt idx="13">
                  <c:v>190.8833333333605</c:v>
                </c:pt>
                <c:pt idx="14">
                  <c:v>216.18333333323244</c:v>
                </c:pt>
                <c:pt idx="15">
                  <c:v>239.6166666666395</c:v>
                </c:pt>
                <c:pt idx="16">
                  <c:v>262.8666666666395</c:v>
                </c:pt>
                <c:pt idx="17">
                  <c:v>363.28333333320916</c:v>
                </c:pt>
              </c:numCache>
            </c:numRef>
          </c:xVal>
          <c:yVal>
            <c:numRef>
              <c:f>SuppSheet14!$N$6:$N$23</c:f>
              <c:numCache>
                <c:formatCode>0.000</c:formatCode>
                <c:ptCount val="18"/>
                <c:pt idx="0">
                  <c:v>4.1333333333333333E-2</c:v>
                </c:pt>
                <c:pt idx="1">
                  <c:v>6.9797074068837853E-2</c:v>
                </c:pt>
                <c:pt idx="2">
                  <c:v>0.11192281393629712</c:v>
                </c:pt>
                <c:pt idx="3">
                  <c:v>0.15433017649761602</c:v>
                </c:pt>
                <c:pt idx="4">
                  <c:v>0.17518016785569371</c:v>
                </c:pt>
                <c:pt idx="5">
                  <c:v>0.21131964851913976</c:v>
                </c:pt>
                <c:pt idx="6">
                  <c:v>0.24321990154929843</c:v>
                </c:pt>
                <c:pt idx="7">
                  <c:v>0.27646318687888144</c:v>
                </c:pt>
                <c:pt idx="8">
                  <c:v>0.29361029074413997</c:v>
                </c:pt>
                <c:pt idx="9">
                  <c:v>0.30704628919046867</c:v>
                </c:pt>
                <c:pt idx="10">
                  <c:v>0.33379239701050278</c:v>
                </c:pt>
                <c:pt idx="11">
                  <c:v>0.36146406901846434</c:v>
                </c:pt>
                <c:pt idx="12">
                  <c:v>0.38829917337329389</c:v>
                </c:pt>
                <c:pt idx="13">
                  <c:v>0.42169740157464936</c:v>
                </c:pt>
                <c:pt idx="14">
                  <c:v>0.43231168957372335</c:v>
                </c:pt>
                <c:pt idx="15">
                  <c:v>0.43844022666589683</c:v>
                </c:pt>
                <c:pt idx="16">
                  <c:v>0.44783071256594176</c:v>
                </c:pt>
                <c:pt idx="17">
                  <c:v>0.55005024127681967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92-4004-86D9-AC1365A44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64704"/>
        <c:axId val="697957160"/>
      </c:scatterChart>
      <c:valAx>
        <c:axId val="6979647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57160"/>
        <c:crosses val="autoZero"/>
        <c:crossBetween val="midCat"/>
      </c:valAx>
      <c:valAx>
        <c:axId val="69795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6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045341207349081"/>
          <c:y val="7.4652230971128636E-2"/>
          <c:w val="0.21787992125984251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SuppSheet14!$CB$6:$CB$23</c:f>
                <c:numCache>
                  <c:formatCode>General</c:formatCode>
                  <c:ptCount val="18"/>
                  <c:pt idx="0">
                    <c:v>6.8835252676366684E-2</c:v>
                  </c:pt>
                  <c:pt idx="2">
                    <c:v>9.9204764725328243E-2</c:v>
                  </c:pt>
                  <c:pt idx="4">
                    <c:v>7.9116696992307861E-2</c:v>
                  </c:pt>
                  <c:pt idx="6">
                    <c:v>0.1238629707919449</c:v>
                  </c:pt>
                  <c:pt idx="8">
                    <c:v>6.3526583120479083E-2</c:v>
                  </c:pt>
                  <c:pt idx="12">
                    <c:v>0.19407718127666332</c:v>
                  </c:pt>
                  <c:pt idx="15">
                    <c:v>9.0469596952859263E-2</c:v>
                  </c:pt>
                  <c:pt idx="17">
                    <c:v>0.80909511143943114</c:v>
                  </c:pt>
                </c:numCache>
              </c:numRef>
            </c:plus>
            <c:minus>
              <c:numRef>
                <c:f>SuppSheet14!$CB$6:$CB$23</c:f>
                <c:numCache>
                  <c:formatCode>General</c:formatCode>
                  <c:ptCount val="18"/>
                  <c:pt idx="0">
                    <c:v>6.8835252676366684E-2</c:v>
                  </c:pt>
                  <c:pt idx="2">
                    <c:v>9.9204764725328243E-2</c:v>
                  </c:pt>
                  <c:pt idx="4">
                    <c:v>7.9116696992307861E-2</c:v>
                  </c:pt>
                  <c:pt idx="6">
                    <c:v>0.1238629707919449</c:v>
                  </c:pt>
                  <c:pt idx="8">
                    <c:v>6.3526583120479083E-2</c:v>
                  </c:pt>
                  <c:pt idx="12">
                    <c:v>0.19407718127666332</c:v>
                  </c:pt>
                  <c:pt idx="15">
                    <c:v>9.0469596952859263E-2</c:v>
                  </c:pt>
                  <c:pt idx="17">
                    <c:v>0.80909511143943114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SuppSheet14!$C$6:$C$23</c:f>
              <c:numCache>
                <c:formatCode>0.0</c:formatCode>
                <c:ptCount val="18"/>
                <c:pt idx="0">
                  <c:v>0</c:v>
                </c:pt>
                <c:pt idx="1">
                  <c:v>2.9833333332790062</c:v>
                </c:pt>
                <c:pt idx="2">
                  <c:v>6.0499999999883585</c:v>
                </c:pt>
                <c:pt idx="3">
                  <c:v>9.2333333332207985</c:v>
                </c:pt>
                <c:pt idx="4">
                  <c:v>12.899999999965075</c:v>
                </c:pt>
                <c:pt idx="5">
                  <c:v>20.850000000034925</c:v>
                </c:pt>
                <c:pt idx="6">
                  <c:v>29.449999999953434</c:v>
                </c:pt>
                <c:pt idx="7">
                  <c:v>46.166666666627862</c:v>
                </c:pt>
                <c:pt idx="8">
                  <c:v>61.350000000034925</c:v>
                </c:pt>
                <c:pt idx="9">
                  <c:v>77.083333333313931</c:v>
                </c:pt>
                <c:pt idx="10">
                  <c:v>98.733333333337214</c:v>
                </c:pt>
                <c:pt idx="11">
                  <c:v>130.19999999989523</c:v>
                </c:pt>
                <c:pt idx="12">
                  <c:v>157.69999999995343</c:v>
                </c:pt>
                <c:pt idx="13">
                  <c:v>190.8833333333605</c:v>
                </c:pt>
                <c:pt idx="14">
                  <c:v>216.18333333323244</c:v>
                </c:pt>
                <c:pt idx="15">
                  <c:v>239.6166666666395</c:v>
                </c:pt>
                <c:pt idx="16">
                  <c:v>262.8666666666395</c:v>
                </c:pt>
                <c:pt idx="17">
                  <c:v>363.28333333320916</c:v>
                </c:pt>
              </c:numCache>
            </c:numRef>
          </c:xVal>
          <c:yVal>
            <c:numRef>
              <c:f>SuppSheet14!$CA$6:$CA$23</c:f>
              <c:numCache>
                <c:formatCode>0.00</c:formatCode>
                <c:ptCount val="18"/>
                <c:pt idx="0">
                  <c:v>0.35151515151515156</c:v>
                </c:pt>
                <c:pt idx="2">
                  <c:v>0.38626651126651129</c:v>
                </c:pt>
                <c:pt idx="4">
                  <c:v>0.3627995794623125</c:v>
                </c:pt>
                <c:pt idx="6">
                  <c:v>0.12413961495547787</c:v>
                </c:pt>
                <c:pt idx="8">
                  <c:v>0.10487483530961793</c:v>
                </c:pt>
                <c:pt idx="12">
                  <c:v>-0.19153727229952275</c:v>
                </c:pt>
                <c:pt idx="15">
                  <c:v>-0.15853139108953063</c:v>
                </c:pt>
                <c:pt idx="17">
                  <c:v>-0.78625134264232022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2-4B84-B3F3-497DD5FEF492}"/>
            </c:ext>
          </c:extLst>
        </c:ser>
        <c:ser>
          <c:idx val="1"/>
          <c:order val="1"/>
          <c:tx>
            <c:v>403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SuppSheet14!$CG$6:$CG$23</c:f>
                <c:numCache>
                  <c:formatCode>General</c:formatCode>
                  <c:ptCount val="18"/>
                  <c:pt idx="0">
                    <c:v>6.8835252676366976E-2</c:v>
                  </c:pt>
                  <c:pt idx="2">
                    <c:v>9.9204764725327826E-2</c:v>
                  </c:pt>
                  <c:pt idx="4">
                    <c:v>7.9116696992308208E-2</c:v>
                  </c:pt>
                  <c:pt idx="6">
                    <c:v>0.12386297079194396</c:v>
                  </c:pt>
                  <c:pt idx="8">
                    <c:v>6.3526583120479069E-2</c:v>
                  </c:pt>
                  <c:pt idx="12">
                    <c:v>0.19407718127666337</c:v>
                  </c:pt>
                  <c:pt idx="15">
                    <c:v>9.0469596952859305E-2</c:v>
                  </c:pt>
                  <c:pt idx="17">
                    <c:v>0.8090951114394318</c:v>
                  </c:pt>
                </c:numCache>
              </c:numRef>
            </c:plus>
            <c:minus>
              <c:numRef>
                <c:f>SuppSheet14!$CG$6:$CG$23</c:f>
                <c:numCache>
                  <c:formatCode>General</c:formatCode>
                  <c:ptCount val="18"/>
                  <c:pt idx="0">
                    <c:v>6.8835252676366976E-2</c:v>
                  </c:pt>
                  <c:pt idx="2">
                    <c:v>9.9204764725327826E-2</c:v>
                  </c:pt>
                  <c:pt idx="4">
                    <c:v>7.9116696992308208E-2</c:v>
                  </c:pt>
                  <c:pt idx="6">
                    <c:v>0.12386297079194396</c:v>
                  </c:pt>
                  <c:pt idx="8">
                    <c:v>6.3526583120479069E-2</c:v>
                  </c:pt>
                  <c:pt idx="12">
                    <c:v>0.19407718127666337</c:v>
                  </c:pt>
                  <c:pt idx="15">
                    <c:v>9.0469596952859305E-2</c:v>
                  </c:pt>
                  <c:pt idx="17">
                    <c:v>0.8090951114394318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SuppSheet14!$C$6:$C$23</c:f>
              <c:numCache>
                <c:formatCode>0.0</c:formatCode>
                <c:ptCount val="18"/>
                <c:pt idx="0">
                  <c:v>0</c:v>
                </c:pt>
                <c:pt idx="1">
                  <c:v>2.9833333332790062</c:v>
                </c:pt>
                <c:pt idx="2">
                  <c:v>6.0499999999883585</c:v>
                </c:pt>
                <c:pt idx="3">
                  <c:v>9.2333333332207985</c:v>
                </c:pt>
                <c:pt idx="4">
                  <c:v>12.899999999965075</c:v>
                </c:pt>
                <c:pt idx="5">
                  <c:v>20.850000000034925</c:v>
                </c:pt>
                <c:pt idx="6">
                  <c:v>29.449999999953434</c:v>
                </c:pt>
                <c:pt idx="7">
                  <c:v>46.166666666627862</c:v>
                </c:pt>
                <c:pt idx="8">
                  <c:v>61.350000000034925</c:v>
                </c:pt>
                <c:pt idx="9">
                  <c:v>77.083333333313931</c:v>
                </c:pt>
                <c:pt idx="10">
                  <c:v>98.733333333337214</c:v>
                </c:pt>
                <c:pt idx="11">
                  <c:v>130.19999999989523</c:v>
                </c:pt>
                <c:pt idx="12">
                  <c:v>157.69999999995343</c:v>
                </c:pt>
                <c:pt idx="13">
                  <c:v>190.8833333333605</c:v>
                </c:pt>
                <c:pt idx="14">
                  <c:v>216.18333333323244</c:v>
                </c:pt>
                <c:pt idx="15">
                  <c:v>239.6166666666395</c:v>
                </c:pt>
                <c:pt idx="16">
                  <c:v>262.8666666666395</c:v>
                </c:pt>
                <c:pt idx="17">
                  <c:v>363.28333333320916</c:v>
                </c:pt>
              </c:numCache>
            </c:numRef>
          </c:xVal>
          <c:yVal>
            <c:numRef>
              <c:f>SuppSheet14!$CF$6:$CF$23</c:f>
              <c:numCache>
                <c:formatCode>0.00</c:formatCode>
                <c:ptCount val="18"/>
                <c:pt idx="0">
                  <c:v>0.64848484848484844</c:v>
                </c:pt>
                <c:pt idx="2">
                  <c:v>0.61373348873348876</c:v>
                </c:pt>
                <c:pt idx="4">
                  <c:v>0.63720042053768744</c:v>
                </c:pt>
                <c:pt idx="6">
                  <c:v>0.87586038504452224</c:v>
                </c:pt>
                <c:pt idx="8">
                  <c:v>0.89512516469038206</c:v>
                </c:pt>
                <c:pt idx="12">
                  <c:v>1.1915372722995228</c:v>
                </c:pt>
                <c:pt idx="15">
                  <c:v>1.1585313910895305</c:v>
                </c:pt>
                <c:pt idx="17">
                  <c:v>1.7862513426423199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2-4B84-B3F3-497DD5FEF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35640"/>
        <c:axId val="529835968"/>
      </c:scatterChart>
      <c:valAx>
        <c:axId val="5298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35968"/>
        <c:crosses val="autoZero"/>
        <c:crossBetween val="midCat"/>
      </c:valAx>
      <c:valAx>
        <c:axId val="5298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3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OD600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SuppSheet15!$J$6:$J$20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1.0000000000000009E-3</c:v>
                  </c:pt>
                  <c:pt idx="2">
                    <c:v>2.3094010767585049E-3</c:v>
                  </c:pt>
                  <c:pt idx="3">
                    <c:v>3.2145502536643214E-3</c:v>
                  </c:pt>
                  <c:pt idx="4">
                    <c:v>5.5677643628300206E-3</c:v>
                  </c:pt>
                  <c:pt idx="5">
                    <c:v>2.6576932353703328E-2</c:v>
                  </c:pt>
                  <c:pt idx="6">
                    <c:v>3.1432467291003574E-2</c:v>
                  </c:pt>
                  <c:pt idx="7">
                    <c:v>3.7634204300520627E-2</c:v>
                  </c:pt>
                  <c:pt idx="8">
                    <c:v>4.6292547996410888E-2</c:v>
                  </c:pt>
                  <c:pt idx="9">
                    <c:v>5.0737888538382549E-2</c:v>
                  </c:pt>
                  <c:pt idx="10">
                    <c:v>6.1652250567193624E-2</c:v>
                  </c:pt>
                  <c:pt idx="11">
                    <c:v>6.9541354602854696E-2</c:v>
                  </c:pt>
                  <c:pt idx="12">
                    <c:v>7.4645830426086052E-2</c:v>
                  </c:pt>
                  <c:pt idx="13">
                    <c:v>8.0987653380006075E-2</c:v>
                  </c:pt>
                  <c:pt idx="14">
                    <c:v>0.10368381423025178</c:v>
                  </c:pt>
                </c:numCache>
              </c:numRef>
            </c:plus>
            <c:minus>
              <c:numRef>
                <c:f>SuppSheet15!$J$6:$J$20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1.0000000000000009E-3</c:v>
                  </c:pt>
                  <c:pt idx="2">
                    <c:v>2.3094010767585049E-3</c:v>
                  </c:pt>
                  <c:pt idx="3">
                    <c:v>3.2145502536643214E-3</c:v>
                  </c:pt>
                  <c:pt idx="4">
                    <c:v>5.5677643628300206E-3</c:v>
                  </c:pt>
                  <c:pt idx="5">
                    <c:v>2.6576932353703328E-2</c:v>
                  </c:pt>
                  <c:pt idx="6">
                    <c:v>3.1432467291003574E-2</c:v>
                  </c:pt>
                  <c:pt idx="7">
                    <c:v>3.7634204300520627E-2</c:v>
                  </c:pt>
                  <c:pt idx="8">
                    <c:v>4.6292547996410888E-2</c:v>
                  </c:pt>
                  <c:pt idx="9">
                    <c:v>5.0737888538382549E-2</c:v>
                  </c:pt>
                  <c:pt idx="10">
                    <c:v>6.1652250567193624E-2</c:v>
                  </c:pt>
                  <c:pt idx="11">
                    <c:v>6.9541354602854696E-2</c:v>
                  </c:pt>
                  <c:pt idx="12">
                    <c:v>7.4645830426086052E-2</c:v>
                  </c:pt>
                  <c:pt idx="13">
                    <c:v>8.0987653380006075E-2</c:v>
                  </c:pt>
                  <c:pt idx="14">
                    <c:v>0.10368381423025178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SuppSheet15!$C$6:$C$20</c:f>
              <c:numCache>
                <c:formatCode>0.0</c:formatCode>
                <c:ptCount val="15"/>
                <c:pt idx="0">
                  <c:v>0</c:v>
                </c:pt>
                <c:pt idx="1">
                  <c:v>4.21666666661622</c:v>
                </c:pt>
                <c:pt idx="2">
                  <c:v>8.8833333333022892</c:v>
                </c:pt>
                <c:pt idx="3">
                  <c:v>12.550000000046566</c:v>
                </c:pt>
                <c:pt idx="4">
                  <c:v>16.666666666686069</c:v>
                </c:pt>
                <c:pt idx="5">
                  <c:v>22.099999999918509</c:v>
                </c:pt>
                <c:pt idx="6">
                  <c:v>26.299999999988358</c:v>
                </c:pt>
                <c:pt idx="7">
                  <c:v>34.466666666558012</c:v>
                </c:pt>
                <c:pt idx="8">
                  <c:v>49.799999999930151</c:v>
                </c:pt>
                <c:pt idx="9">
                  <c:v>63.799999999988358</c:v>
                </c:pt>
                <c:pt idx="10">
                  <c:v>81.449999999895226</c:v>
                </c:pt>
                <c:pt idx="11">
                  <c:v>106.14999999990687</c:v>
                </c:pt>
                <c:pt idx="12">
                  <c:v>145.91666666662786</c:v>
                </c:pt>
                <c:pt idx="13">
                  <c:v>175.8833333333605</c:v>
                </c:pt>
                <c:pt idx="14">
                  <c:v>243.13333333324408</c:v>
                </c:pt>
              </c:numCache>
            </c:numRef>
          </c:xVal>
          <c:yVal>
            <c:numRef>
              <c:f>SuppSheet15!$I$6:$I$20</c:f>
              <c:numCache>
                <c:formatCode>0.000</c:formatCode>
                <c:ptCount val="15"/>
                <c:pt idx="0">
                  <c:v>2.1000000000000001E-2</c:v>
                </c:pt>
                <c:pt idx="1">
                  <c:v>3.3000000000000002E-2</c:v>
                </c:pt>
                <c:pt idx="2">
                  <c:v>6.6666666666666666E-2</c:v>
                </c:pt>
                <c:pt idx="3">
                  <c:v>6.7666666666666667E-2</c:v>
                </c:pt>
                <c:pt idx="4">
                  <c:v>8.3000000000000004E-2</c:v>
                </c:pt>
                <c:pt idx="5">
                  <c:v>0.15966666666666668</c:v>
                </c:pt>
                <c:pt idx="6">
                  <c:v>0.18599999999999997</c:v>
                </c:pt>
                <c:pt idx="7">
                  <c:v>0.20933333333333334</c:v>
                </c:pt>
                <c:pt idx="8">
                  <c:v>0.23399999999999999</c:v>
                </c:pt>
                <c:pt idx="9">
                  <c:v>0.25133333333333335</c:v>
                </c:pt>
                <c:pt idx="10">
                  <c:v>0.27099999999999996</c:v>
                </c:pt>
                <c:pt idx="11">
                  <c:v>0.29399999999999998</c:v>
                </c:pt>
                <c:pt idx="12">
                  <c:v>0.32200000000000001</c:v>
                </c:pt>
                <c:pt idx="13">
                  <c:v>0.35099999999999998</c:v>
                </c:pt>
                <c:pt idx="14">
                  <c:v>0.46033333333333326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4-4AE2-B6D0-7B4213689254}"/>
            </c:ext>
          </c:extLst>
        </c:ser>
        <c:ser>
          <c:idx val="1"/>
          <c:order val="1"/>
          <c:tx>
            <c:v>OD600 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SuppSheet15!$O$6:$O$20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9.9212778795426323E-4</c:v>
                  </c:pt>
                  <c:pt idx="2">
                    <c:v>2.271431521844728E-3</c:v>
                  </c:pt>
                  <c:pt idx="3">
                    <c:v>3.1403873301253564E-3</c:v>
                  </c:pt>
                  <c:pt idx="4">
                    <c:v>5.398456073843004E-3</c:v>
                  </c:pt>
                  <c:pt idx="5">
                    <c:v>2.5515819221269997E-2</c:v>
                  </c:pt>
                  <c:pt idx="6">
                    <c:v>2.9950236262524639E-2</c:v>
                  </c:pt>
                  <c:pt idx="7">
                    <c:v>3.5342014954734713E-2</c:v>
                  </c:pt>
                  <c:pt idx="8">
                    <c:v>4.2326135648505722E-2</c:v>
                  </c:pt>
                  <c:pt idx="9">
                    <c:v>4.5299458024632644E-2</c:v>
                  </c:pt>
                  <c:pt idx="10">
                    <c:v>5.3458745102126282E-2</c:v>
                  </c:pt>
                  <c:pt idx="11">
                    <c:v>5.7963357611136954E-2</c:v>
                  </c:pt>
                  <c:pt idx="12">
                    <c:v>5.8565160516213056E-2</c:v>
                  </c:pt>
                  <c:pt idx="13">
                    <c:v>6.0848735027762536E-2</c:v>
                  </c:pt>
                  <c:pt idx="14">
                    <c:v>7.1137438869404906E-2</c:v>
                  </c:pt>
                </c:numCache>
              </c:numRef>
            </c:plus>
            <c:minus>
              <c:numRef>
                <c:f>SuppSheet15!$O$6:$O$20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9.9212778795426323E-4</c:v>
                  </c:pt>
                  <c:pt idx="2">
                    <c:v>2.271431521844728E-3</c:v>
                  </c:pt>
                  <c:pt idx="3">
                    <c:v>3.1403873301253564E-3</c:v>
                  </c:pt>
                  <c:pt idx="4">
                    <c:v>5.398456073843004E-3</c:v>
                  </c:pt>
                  <c:pt idx="5">
                    <c:v>2.5515819221269997E-2</c:v>
                  </c:pt>
                  <c:pt idx="6">
                    <c:v>2.9950236262524639E-2</c:v>
                  </c:pt>
                  <c:pt idx="7">
                    <c:v>3.5342014954734713E-2</c:v>
                  </c:pt>
                  <c:pt idx="8">
                    <c:v>4.2326135648505722E-2</c:v>
                  </c:pt>
                  <c:pt idx="9">
                    <c:v>4.5299458024632644E-2</c:v>
                  </c:pt>
                  <c:pt idx="10">
                    <c:v>5.3458745102126282E-2</c:v>
                  </c:pt>
                  <c:pt idx="11">
                    <c:v>5.7963357611136954E-2</c:v>
                  </c:pt>
                  <c:pt idx="12">
                    <c:v>5.8565160516213056E-2</c:v>
                  </c:pt>
                  <c:pt idx="13">
                    <c:v>6.0848735027762536E-2</c:v>
                  </c:pt>
                  <c:pt idx="14">
                    <c:v>7.1137438869404906E-2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SuppSheet15!$C$6:$C$20</c:f>
              <c:numCache>
                <c:formatCode>0.0</c:formatCode>
                <c:ptCount val="15"/>
                <c:pt idx="0">
                  <c:v>0</c:v>
                </c:pt>
                <c:pt idx="1">
                  <c:v>4.21666666661622</c:v>
                </c:pt>
                <c:pt idx="2">
                  <c:v>8.8833333333022892</c:v>
                </c:pt>
                <c:pt idx="3">
                  <c:v>12.550000000046566</c:v>
                </c:pt>
                <c:pt idx="4">
                  <c:v>16.666666666686069</c:v>
                </c:pt>
                <c:pt idx="5">
                  <c:v>22.099999999918509</c:v>
                </c:pt>
                <c:pt idx="6">
                  <c:v>26.299999999988358</c:v>
                </c:pt>
                <c:pt idx="7">
                  <c:v>34.466666666558012</c:v>
                </c:pt>
                <c:pt idx="8">
                  <c:v>49.799999999930151</c:v>
                </c:pt>
                <c:pt idx="9">
                  <c:v>63.799999999988358</c:v>
                </c:pt>
                <c:pt idx="10">
                  <c:v>81.449999999895226</c:v>
                </c:pt>
                <c:pt idx="11">
                  <c:v>106.14999999990687</c:v>
                </c:pt>
                <c:pt idx="12">
                  <c:v>145.91666666662786</c:v>
                </c:pt>
                <c:pt idx="13">
                  <c:v>175.8833333333605</c:v>
                </c:pt>
                <c:pt idx="14">
                  <c:v>243.13333333324408</c:v>
                </c:pt>
              </c:numCache>
            </c:numRef>
          </c:xVal>
          <c:yVal>
            <c:numRef>
              <c:f>SuppSheet15!$N$6:$N$20</c:f>
              <c:numCache>
                <c:formatCode>0.000</c:formatCode>
                <c:ptCount val="15"/>
                <c:pt idx="0">
                  <c:v>2.1000000000000001E-2</c:v>
                </c:pt>
                <c:pt idx="1">
                  <c:v>3.2740217002490614E-2</c:v>
                </c:pt>
                <c:pt idx="2">
                  <c:v>6.5570580029142775E-2</c:v>
                </c:pt>
                <c:pt idx="3">
                  <c:v>6.610552827089379E-2</c:v>
                </c:pt>
                <c:pt idx="4">
                  <c:v>8.0476080690530624E-2</c:v>
                </c:pt>
                <c:pt idx="5">
                  <c:v>0.15329180012612478</c:v>
                </c:pt>
                <c:pt idx="6">
                  <c:v>0.17722897452673092</c:v>
                </c:pt>
                <c:pt idx="7">
                  <c:v>0.1965834520670007</c:v>
                </c:pt>
                <c:pt idx="8">
                  <c:v>0.21395054215892886</c:v>
                </c:pt>
                <c:pt idx="9">
                  <c:v>0.22439372452228742</c:v>
                </c:pt>
                <c:pt idx="10">
                  <c:v>0.23498444565112531</c:v>
                </c:pt>
                <c:pt idx="11">
                  <c:v>0.24505169959652517</c:v>
                </c:pt>
                <c:pt idx="12">
                  <c:v>0.25263275361232246</c:v>
                </c:pt>
                <c:pt idx="13">
                  <c:v>0.26371804964554574</c:v>
                </c:pt>
                <c:pt idx="14">
                  <c:v>0.31583458423730482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4-4AE2-B6D0-7B4213689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20344"/>
        <c:axId val="697722640"/>
      </c:scatterChart>
      <c:valAx>
        <c:axId val="6977203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2640"/>
        <c:crosses val="autoZero"/>
        <c:crossBetween val="midCat"/>
      </c:valAx>
      <c:valAx>
        <c:axId val="6977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267563429571307"/>
          <c:y val="7.9281860600758258E-2"/>
          <c:w val="0.21787992125984251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OD600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SuppSheet15!$J$6:$J$20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1.0000000000000009E-3</c:v>
                  </c:pt>
                  <c:pt idx="2">
                    <c:v>2.3094010767585049E-3</c:v>
                  </c:pt>
                  <c:pt idx="3">
                    <c:v>3.2145502536643214E-3</c:v>
                  </c:pt>
                  <c:pt idx="4">
                    <c:v>5.5677643628300206E-3</c:v>
                  </c:pt>
                  <c:pt idx="5">
                    <c:v>2.6576932353703328E-2</c:v>
                  </c:pt>
                  <c:pt idx="6">
                    <c:v>3.1432467291003574E-2</c:v>
                  </c:pt>
                  <c:pt idx="7">
                    <c:v>3.7634204300520627E-2</c:v>
                  </c:pt>
                  <c:pt idx="8">
                    <c:v>4.6292547996410888E-2</c:v>
                  </c:pt>
                  <c:pt idx="9">
                    <c:v>5.0737888538382549E-2</c:v>
                  </c:pt>
                  <c:pt idx="10">
                    <c:v>6.1652250567193624E-2</c:v>
                  </c:pt>
                  <c:pt idx="11">
                    <c:v>6.9541354602854696E-2</c:v>
                  </c:pt>
                  <c:pt idx="12">
                    <c:v>7.4645830426086052E-2</c:v>
                  </c:pt>
                  <c:pt idx="13">
                    <c:v>8.0987653380006075E-2</c:v>
                  </c:pt>
                  <c:pt idx="14">
                    <c:v>0.10368381423025178</c:v>
                  </c:pt>
                </c:numCache>
              </c:numRef>
            </c:plus>
            <c:minus>
              <c:numRef>
                <c:f>SuppSheet15!$J$6:$J$20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1.0000000000000009E-3</c:v>
                  </c:pt>
                  <c:pt idx="2">
                    <c:v>2.3094010767585049E-3</c:v>
                  </c:pt>
                  <c:pt idx="3">
                    <c:v>3.2145502536643214E-3</c:v>
                  </c:pt>
                  <c:pt idx="4">
                    <c:v>5.5677643628300206E-3</c:v>
                  </c:pt>
                  <c:pt idx="5">
                    <c:v>2.6576932353703328E-2</c:v>
                  </c:pt>
                  <c:pt idx="6">
                    <c:v>3.1432467291003574E-2</c:v>
                  </c:pt>
                  <c:pt idx="7">
                    <c:v>3.7634204300520627E-2</c:v>
                  </c:pt>
                  <c:pt idx="8">
                    <c:v>4.6292547996410888E-2</c:v>
                  </c:pt>
                  <c:pt idx="9">
                    <c:v>5.0737888538382549E-2</c:v>
                  </c:pt>
                  <c:pt idx="10">
                    <c:v>6.1652250567193624E-2</c:v>
                  </c:pt>
                  <c:pt idx="11">
                    <c:v>6.9541354602854696E-2</c:v>
                  </c:pt>
                  <c:pt idx="12">
                    <c:v>7.4645830426086052E-2</c:v>
                  </c:pt>
                  <c:pt idx="13">
                    <c:v>8.0987653380006075E-2</c:v>
                  </c:pt>
                  <c:pt idx="14">
                    <c:v>0.10368381423025178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SuppSheet15!$C$6:$C$20</c:f>
              <c:numCache>
                <c:formatCode>0.0</c:formatCode>
                <c:ptCount val="15"/>
                <c:pt idx="0">
                  <c:v>0</c:v>
                </c:pt>
                <c:pt idx="1">
                  <c:v>4.21666666661622</c:v>
                </c:pt>
                <c:pt idx="2">
                  <c:v>8.8833333333022892</c:v>
                </c:pt>
                <c:pt idx="3">
                  <c:v>12.550000000046566</c:v>
                </c:pt>
                <c:pt idx="4">
                  <c:v>16.666666666686069</c:v>
                </c:pt>
                <c:pt idx="5">
                  <c:v>22.099999999918509</c:v>
                </c:pt>
                <c:pt idx="6">
                  <c:v>26.299999999988358</c:v>
                </c:pt>
                <c:pt idx="7">
                  <c:v>34.466666666558012</c:v>
                </c:pt>
                <c:pt idx="8">
                  <c:v>49.799999999930151</c:v>
                </c:pt>
                <c:pt idx="9">
                  <c:v>63.799999999988358</c:v>
                </c:pt>
                <c:pt idx="10">
                  <c:v>81.449999999895226</c:v>
                </c:pt>
                <c:pt idx="11">
                  <c:v>106.14999999990687</c:v>
                </c:pt>
                <c:pt idx="12">
                  <c:v>145.91666666662786</c:v>
                </c:pt>
                <c:pt idx="13">
                  <c:v>175.8833333333605</c:v>
                </c:pt>
                <c:pt idx="14">
                  <c:v>243.13333333324408</c:v>
                </c:pt>
              </c:numCache>
            </c:numRef>
          </c:xVal>
          <c:yVal>
            <c:numRef>
              <c:f>SuppSheet15!$I$6:$I$20</c:f>
              <c:numCache>
                <c:formatCode>0.000</c:formatCode>
                <c:ptCount val="15"/>
                <c:pt idx="0">
                  <c:v>2.1000000000000001E-2</c:v>
                </c:pt>
                <c:pt idx="1">
                  <c:v>3.3000000000000002E-2</c:v>
                </c:pt>
                <c:pt idx="2">
                  <c:v>6.6666666666666666E-2</c:v>
                </c:pt>
                <c:pt idx="3">
                  <c:v>6.7666666666666667E-2</c:v>
                </c:pt>
                <c:pt idx="4">
                  <c:v>8.3000000000000004E-2</c:v>
                </c:pt>
                <c:pt idx="5">
                  <c:v>0.15966666666666668</c:v>
                </c:pt>
                <c:pt idx="6">
                  <c:v>0.18599999999999997</c:v>
                </c:pt>
                <c:pt idx="7">
                  <c:v>0.20933333333333334</c:v>
                </c:pt>
                <c:pt idx="8">
                  <c:v>0.23399999999999999</c:v>
                </c:pt>
                <c:pt idx="9">
                  <c:v>0.25133333333333335</c:v>
                </c:pt>
                <c:pt idx="10">
                  <c:v>0.27099999999999996</c:v>
                </c:pt>
                <c:pt idx="11">
                  <c:v>0.29399999999999998</c:v>
                </c:pt>
                <c:pt idx="12">
                  <c:v>0.32200000000000001</c:v>
                </c:pt>
                <c:pt idx="13">
                  <c:v>0.35099999999999998</c:v>
                </c:pt>
                <c:pt idx="14">
                  <c:v>0.46033333333333326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1-49D8-AD7F-BCEBE0DEFE6A}"/>
            </c:ext>
          </c:extLst>
        </c:ser>
        <c:ser>
          <c:idx val="1"/>
          <c:order val="1"/>
          <c:tx>
            <c:v>OD600 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SuppSheet15!$O$6:$O$20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9.9212778795426323E-4</c:v>
                  </c:pt>
                  <c:pt idx="2">
                    <c:v>2.271431521844728E-3</c:v>
                  </c:pt>
                  <c:pt idx="3">
                    <c:v>3.1403873301253564E-3</c:v>
                  </c:pt>
                  <c:pt idx="4">
                    <c:v>5.398456073843004E-3</c:v>
                  </c:pt>
                  <c:pt idx="5">
                    <c:v>2.5515819221269997E-2</c:v>
                  </c:pt>
                  <c:pt idx="6">
                    <c:v>2.9950236262524639E-2</c:v>
                  </c:pt>
                  <c:pt idx="7">
                    <c:v>3.5342014954734713E-2</c:v>
                  </c:pt>
                  <c:pt idx="8">
                    <c:v>4.2326135648505722E-2</c:v>
                  </c:pt>
                  <c:pt idx="9">
                    <c:v>4.5299458024632644E-2</c:v>
                  </c:pt>
                  <c:pt idx="10">
                    <c:v>5.3458745102126282E-2</c:v>
                  </c:pt>
                  <c:pt idx="11">
                    <c:v>5.7963357611136954E-2</c:v>
                  </c:pt>
                  <c:pt idx="12">
                    <c:v>5.8565160516213056E-2</c:v>
                  </c:pt>
                  <c:pt idx="13">
                    <c:v>6.0848735027762536E-2</c:v>
                  </c:pt>
                  <c:pt idx="14">
                    <c:v>7.1137438869404906E-2</c:v>
                  </c:pt>
                </c:numCache>
              </c:numRef>
            </c:plus>
            <c:minus>
              <c:numRef>
                <c:f>SuppSheet15!$O$6:$O$20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9.9212778795426323E-4</c:v>
                  </c:pt>
                  <c:pt idx="2">
                    <c:v>2.271431521844728E-3</c:v>
                  </c:pt>
                  <c:pt idx="3">
                    <c:v>3.1403873301253564E-3</c:v>
                  </c:pt>
                  <c:pt idx="4">
                    <c:v>5.398456073843004E-3</c:v>
                  </c:pt>
                  <c:pt idx="5">
                    <c:v>2.5515819221269997E-2</c:v>
                  </c:pt>
                  <c:pt idx="6">
                    <c:v>2.9950236262524639E-2</c:v>
                  </c:pt>
                  <c:pt idx="7">
                    <c:v>3.5342014954734713E-2</c:v>
                  </c:pt>
                  <c:pt idx="8">
                    <c:v>4.2326135648505722E-2</c:v>
                  </c:pt>
                  <c:pt idx="9">
                    <c:v>4.5299458024632644E-2</c:v>
                  </c:pt>
                  <c:pt idx="10">
                    <c:v>5.3458745102126282E-2</c:v>
                  </c:pt>
                  <c:pt idx="11">
                    <c:v>5.7963357611136954E-2</c:v>
                  </c:pt>
                  <c:pt idx="12">
                    <c:v>5.8565160516213056E-2</c:v>
                  </c:pt>
                  <c:pt idx="13">
                    <c:v>6.0848735027762536E-2</c:v>
                  </c:pt>
                  <c:pt idx="14">
                    <c:v>7.1137438869404906E-2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SuppSheet15!$C$6:$C$20</c:f>
              <c:numCache>
                <c:formatCode>0.0</c:formatCode>
                <c:ptCount val="15"/>
                <c:pt idx="0">
                  <c:v>0</c:v>
                </c:pt>
                <c:pt idx="1">
                  <c:v>4.21666666661622</c:v>
                </c:pt>
                <c:pt idx="2">
                  <c:v>8.8833333333022892</c:v>
                </c:pt>
                <c:pt idx="3">
                  <c:v>12.550000000046566</c:v>
                </c:pt>
                <c:pt idx="4">
                  <c:v>16.666666666686069</c:v>
                </c:pt>
                <c:pt idx="5">
                  <c:v>22.099999999918509</c:v>
                </c:pt>
                <c:pt idx="6">
                  <c:v>26.299999999988358</c:v>
                </c:pt>
                <c:pt idx="7">
                  <c:v>34.466666666558012</c:v>
                </c:pt>
                <c:pt idx="8">
                  <c:v>49.799999999930151</c:v>
                </c:pt>
                <c:pt idx="9">
                  <c:v>63.799999999988358</c:v>
                </c:pt>
                <c:pt idx="10">
                  <c:v>81.449999999895226</c:v>
                </c:pt>
                <c:pt idx="11">
                  <c:v>106.14999999990687</c:v>
                </c:pt>
                <c:pt idx="12">
                  <c:v>145.91666666662786</c:v>
                </c:pt>
                <c:pt idx="13">
                  <c:v>175.8833333333605</c:v>
                </c:pt>
                <c:pt idx="14">
                  <c:v>243.13333333324408</c:v>
                </c:pt>
              </c:numCache>
            </c:numRef>
          </c:xVal>
          <c:yVal>
            <c:numRef>
              <c:f>SuppSheet15!$N$6:$N$20</c:f>
              <c:numCache>
                <c:formatCode>0.000</c:formatCode>
                <c:ptCount val="15"/>
                <c:pt idx="0">
                  <c:v>2.1000000000000001E-2</c:v>
                </c:pt>
                <c:pt idx="1">
                  <c:v>3.2740217002490614E-2</c:v>
                </c:pt>
                <c:pt idx="2">
                  <c:v>6.5570580029142775E-2</c:v>
                </c:pt>
                <c:pt idx="3">
                  <c:v>6.610552827089379E-2</c:v>
                </c:pt>
                <c:pt idx="4">
                  <c:v>8.0476080690530624E-2</c:v>
                </c:pt>
                <c:pt idx="5">
                  <c:v>0.15329180012612478</c:v>
                </c:pt>
                <c:pt idx="6">
                  <c:v>0.17722897452673092</c:v>
                </c:pt>
                <c:pt idx="7">
                  <c:v>0.1965834520670007</c:v>
                </c:pt>
                <c:pt idx="8">
                  <c:v>0.21395054215892886</c:v>
                </c:pt>
                <c:pt idx="9">
                  <c:v>0.22439372452228742</c:v>
                </c:pt>
                <c:pt idx="10">
                  <c:v>0.23498444565112531</c:v>
                </c:pt>
                <c:pt idx="11">
                  <c:v>0.24505169959652517</c:v>
                </c:pt>
                <c:pt idx="12">
                  <c:v>0.25263275361232246</c:v>
                </c:pt>
                <c:pt idx="13">
                  <c:v>0.26371804964554574</c:v>
                </c:pt>
                <c:pt idx="14">
                  <c:v>0.31583458423730482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11-49D8-AD7F-BCEBE0DEF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20344"/>
        <c:axId val="697722640"/>
      </c:scatterChart>
      <c:valAx>
        <c:axId val="6977203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2640"/>
        <c:crosses val="autoZero"/>
        <c:crossBetween val="midCat"/>
      </c:valAx>
      <c:valAx>
        <c:axId val="697722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267563429571307"/>
          <c:y val="7.9281860600758258E-2"/>
          <c:w val="0.21787992125984251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Abiotic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SuppSheet15!$C$6:$C$20</c:f>
              <c:numCache>
                <c:formatCode>0.0</c:formatCode>
                <c:ptCount val="15"/>
                <c:pt idx="0">
                  <c:v>0</c:v>
                </c:pt>
                <c:pt idx="1">
                  <c:v>4.21666666661622</c:v>
                </c:pt>
                <c:pt idx="2">
                  <c:v>8.8833333333022892</c:v>
                </c:pt>
                <c:pt idx="3">
                  <c:v>12.550000000046566</c:v>
                </c:pt>
                <c:pt idx="4">
                  <c:v>16.666666666686069</c:v>
                </c:pt>
                <c:pt idx="5">
                  <c:v>22.099999999918509</c:v>
                </c:pt>
                <c:pt idx="6">
                  <c:v>26.299999999988358</c:v>
                </c:pt>
                <c:pt idx="7">
                  <c:v>34.466666666558012</c:v>
                </c:pt>
                <c:pt idx="8">
                  <c:v>49.799999999930151</c:v>
                </c:pt>
                <c:pt idx="9">
                  <c:v>63.799999999988358</c:v>
                </c:pt>
                <c:pt idx="10">
                  <c:v>81.449999999895226</c:v>
                </c:pt>
                <c:pt idx="11">
                  <c:v>106.14999999990687</c:v>
                </c:pt>
                <c:pt idx="12">
                  <c:v>145.91666666662786</c:v>
                </c:pt>
                <c:pt idx="13">
                  <c:v>175.8833333333605</c:v>
                </c:pt>
                <c:pt idx="14">
                  <c:v>243.13333333324408</c:v>
                </c:pt>
              </c:numCache>
            </c:numRef>
          </c:xVal>
          <c:yVal>
            <c:numRef>
              <c:f>SuppSheet15!$Y$6:$Y$20</c:f>
              <c:numCache>
                <c:formatCode>0.00</c:formatCode>
                <c:ptCount val="15"/>
                <c:pt idx="0">
                  <c:v>26.035936337682898</c:v>
                </c:pt>
                <c:pt idx="1">
                  <c:v>27.378853348957488</c:v>
                </c:pt>
                <c:pt idx="2">
                  <c:v>26.993802664656211</c:v>
                </c:pt>
                <c:pt idx="3">
                  <c:v>26.670808001026838</c:v>
                </c:pt>
                <c:pt idx="4">
                  <c:v>27.679090015842736</c:v>
                </c:pt>
                <c:pt idx="5">
                  <c:v>26.944236697747485</c:v>
                </c:pt>
                <c:pt idx="7">
                  <c:v>27.958890752176309</c:v>
                </c:pt>
                <c:pt idx="9">
                  <c:v>28.340124160674165</c:v>
                </c:pt>
                <c:pt idx="11">
                  <c:v>30.441590518749496</c:v>
                </c:pt>
                <c:pt idx="14">
                  <c:v>38.853018077868114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4-4AF0-B230-1E8B71545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20960"/>
        <c:axId val="722814072"/>
      </c:scatterChart>
      <c:valAx>
        <c:axId val="7228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14072"/>
        <c:crosses val="autoZero"/>
        <c:crossBetween val="midCat"/>
      </c:valAx>
      <c:valAx>
        <c:axId val="72281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2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SuppSheet15!$U$6:$U$20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2.0816659994661382E-2</c:v>
                  </c:pt>
                  <c:pt idx="2">
                    <c:v>0.21385353243127236</c:v>
                  </c:pt>
                  <c:pt idx="3">
                    <c:v>1.5275252316519529E-2</c:v>
                  </c:pt>
                  <c:pt idx="4">
                    <c:v>3.5118845842842181E-2</c:v>
                  </c:pt>
                  <c:pt idx="5">
                    <c:v>0.2505992817228333</c:v>
                  </c:pt>
                  <c:pt idx="6">
                    <c:v>0.23028967265887837</c:v>
                  </c:pt>
                  <c:pt idx="7">
                    <c:v>0.19756855350316579</c:v>
                  </c:pt>
                  <c:pt idx="8">
                    <c:v>0.23302360395462096</c:v>
                  </c:pt>
                  <c:pt idx="9">
                    <c:v>0.19655363983740759</c:v>
                  </c:pt>
                  <c:pt idx="10">
                    <c:v>0.14977761292440647</c:v>
                  </c:pt>
                  <c:pt idx="11">
                    <c:v>9.6090235369330687E-2</c:v>
                  </c:pt>
                  <c:pt idx="12">
                    <c:v>2.5166114784235766E-2</c:v>
                  </c:pt>
                  <c:pt idx="13">
                    <c:v>2.5166114784235707E-2</c:v>
                  </c:pt>
                  <c:pt idx="14">
                    <c:v>0.20305992547357382</c:v>
                  </c:pt>
                </c:numCache>
              </c:numRef>
            </c:plus>
            <c:minus>
              <c:numRef>
                <c:f>SuppSheet15!$U$6:$U$20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2.0816659994661382E-2</c:v>
                  </c:pt>
                  <c:pt idx="2">
                    <c:v>0.21385353243127236</c:v>
                  </c:pt>
                  <c:pt idx="3">
                    <c:v>1.5275252316519529E-2</c:v>
                  </c:pt>
                  <c:pt idx="4">
                    <c:v>3.5118845842842181E-2</c:v>
                  </c:pt>
                  <c:pt idx="5">
                    <c:v>0.2505992817228333</c:v>
                  </c:pt>
                  <c:pt idx="6">
                    <c:v>0.23028967265887837</c:v>
                  </c:pt>
                  <c:pt idx="7">
                    <c:v>0.19756855350316579</c:v>
                  </c:pt>
                  <c:pt idx="8">
                    <c:v>0.23302360395462096</c:v>
                  </c:pt>
                  <c:pt idx="9">
                    <c:v>0.19655363983740759</c:v>
                  </c:pt>
                  <c:pt idx="10">
                    <c:v>0.14977761292440647</c:v>
                  </c:pt>
                  <c:pt idx="11">
                    <c:v>9.6090235369330687E-2</c:v>
                  </c:pt>
                  <c:pt idx="12">
                    <c:v>2.5166114784235766E-2</c:v>
                  </c:pt>
                  <c:pt idx="13">
                    <c:v>2.5166114784235707E-2</c:v>
                  </c:pt>
                  <c:pt idx="14">
                    <c:v>0.20305992547357382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SuppSheet15!$C$6:$C$20</c:f>
              <c:numCache>
                <c:formatCode>0.0</c:formatCode>
                <c:ptCount val="15"/>
                <c:pt idx="0">
                  <c:v>0</c:v>
                </c:pt>
                <c:pt idx="1">
                  <c:v>4.21666666661622</c:v>
                </c:pt>
                <c:pt idx="2">
                  <c:v>8.8833333333022892</c:v>
                </c:pt>
                <c:pt idx="3">
                  <c:v>12.550000000046566</c:v>
                </c:pt>
                <c:pt idx="4">
                  <c:v>16.666666666686069</c:v>
                </c:pt>
                <c:pt idx="5">
                  <c:v>22.099999999918509</c:v>
                </c:pt>
                <c:pt idx="6">
                  <c:v>26.299999999988358</c:v>
                </c:pt>
                <c:pt idx="7">
                  <c:v>34.466666666558012</c:v>
                </c:pt>
                <c:pt idx="8">
                  <c:v>49.799999999930151</c:v>
                </c:pt>
                <c:pt idx="9">
                  <c:v>63.799999999988358</c:v>
                </c:pt>
                <c:pt idx="10">
                  <c:v>81.449999999895226</c:v>
                </c:pt>
                <c:pt idx="11">
                  <c:v>106.14999999990687</c:v>
                </c:pt>
                <c:pt idx="12">
                  <c:v>145.91666666662786</c:v>
                </c:pt>
                <c:pt idx="13">
                  <c:v>175.8833333333605</c:v>
                </c:pt>
                <c:pt idx="14">
                  <c:v>243.13333333324408</c:v>
                </c:pt>
              </c:numCache>
            </c:numRef>
          </c:xVal>
          <c:yVal>
            <c:numRef>
              <c:f>SuppSheet15!$T$6:$T$20</c:f>
              <c:numCache>
                <c:formatCode>0.00</c:formatCode>
                <c:ptCount val="15"/>
                <c:pt idx="0">
                  <c:v>6.98</c:v>
                </c:pt>
                <c:pt idx="1">
                  <c:v>6.6633333333333331</c:v>
                </c:pt>
                <c:pt idx="2">
                  <c:v>5.0233333333333334</c:v>
                </c:pt>
                <c:pt idx="3">
                  <c:v>4.6533333333333333</c:v>
                </c:pt>
                <c:pt idx="4">
                  <c:v>4.6833333333333336</c:v>
                </c:pt>
                <c:pt idx="5">
                  <c:v>5.37</c:v>
                </c:pt>
                <c:pt idx="6">
                  <c:v>5.7033333333333331</c:v>
                </c:pt>
                <c:pt idx="7">
                  <c:v>5.9533333333333331</c:v>
                </c:pt>
                <c:pt idx="8">
                  <c:v>6.1000000000000005</c:v>
                </c:pt>
                <c:pt idx="9">
                  <c:v>6.2133333333333338</c:v>
                </c:pt>
                <c:pt idx="10">
                  <c:v>6.3366666666666669</c:v>
                </c:pt>
                <c:pt idx="11">
                  <c:v>6.4533333333333331</c:v>
                </c:pt>
                <c:pt idx="12">
                  <c:v>6.4766666666666666</c:v>
                </c:pt>
                <c:pt idx="13">
                  <c:v>6.4433333333333325</c:v>
                </c:pt>
                <c:pt idx="14">
                  <c:v>5.8866666666666667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7-4640-B0C1-480648ABF55F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SuppSheet15!$C$6:$C$20</c:f>
              <c:numCache>
                <c:formatCode>0.0</c:formatCode>
                <c:ptCount val="15"/>
                <c:pt idx="0">
                  <c:v>0</c:v>
                </c:pt>
                <c:pt idx="1">
                  <c:v>4.21666666661622</c:v>
                </c:pt>
                <c:pt idx="2">
                  <c:v>8.8833333333022892</c:v>
                </c:pt>
                <c:pt idx="3">
                  <c:v>12.550000000046566</c:v>
                </c:pt>
                <c:pt idx="4">
                  <c:v>16.666666666686069</c:v>
                </c:pt>
                <c:pt idx="5">
                  <c:v>22.099999999918509</c:v>
                </c:pt>
                <c:pt idx="6">
                  <c:v>26.299999999988358</c:v>
                </c:pt>
                <c:pt idx="7">
                  <c:v>34.466666666558012</c:v>
                </c:pt>
                <c:pt idx="8">
                  <c:v>49.799999999930151</c:v>
                </c:pt>
                <c:pt idx="9">
                  <c:v>63.799999999988358</c:v>
                </c:pt>
                <c:pt idx="10">
                  <c:v>81.449999999895226</c:v>
                </c:pt>
                <c:pt idx="11">
                  <c:v>106.14999999990687</c:v>
                </c:pt>
                <c:pt idx="12">
                  <c:v>145.91666666662786</c:v>
                </c:pt>
                <c:pt idx="13">
                  <c:v>175.8833333333605</c:v>
                </c:pt>
                <c:pt idx="14">
                  <c:v>243.13333333324408</c:v>
                </c:pt>
              </c:numCache>
            </c:numRef>
          </c:xVal>
          <c:yVal>
            <c:numRef>
              <c:f>SuppSheet15!$S$6:$S$20</c:f>
              <c:numCache>
                <c:formatCode>0.00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6.97</c:v>
                </c:pt>
                <c:pt idx="3">
                  <c:v>6.95</c:v>
                </c:pt>
                <c:pt idx="4">
                  <c:v>6.92</c:v>
                </c:pt>
                <c:pt idx="5">
                  <c:v>6.91</c:v>
                </c:pt>
                <c:pt idx="6">
                  <c:v>6.9</c:v>
                </c:pt>
                <c:pt idx="7">
                  <c:v>6.89</c:v>
                </c:pt>
                <c:pt idx="8">
                  <c:v>6.82</c:v>
                </c:pt>
                <c:pt idx="9">
                  <c:v>6.76</c:v>
                </c:pt>
                <c:pt idx="10">
                  <c:v>6.74</c:v>
                </c:pt>
                <c:pt idx="11">
                  <c:v>6.66</c:v>
                </c:pt>
                <c:pt idx="12">
                  <c:v>6.57</c:v>
                </c:pt>
                <c:pt idx="13">
                  <c:v>6.5</c:v>
                </c:pt>
                <c:pt idx="14">
                  <c:v>6.35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7-4640-B0C1-480648AB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67048"/>
        <c:axId val="490372296"/>
      </c:scatterChart>
      <c:valAx>
        <c:axId val="4903670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72296"/>
        <c:crosses val="autoZero"/>
        <c:crossBetween val="midCat"/>
      </c:valAx>
      <c:valAx>
        <c:axId val="49037229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6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ECOM</a:t>
            </a:r>
            <a:r>
              <a:rPr lang="en-US" baseline="0"/>
              <a:t> + 403 100:1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SuppSheet15!$U$6:$U$20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2.0816659994661382E-2</c:v>
                  </c:pt>
                  <c:pt idx="2">
                    <c:v>0.21385353243127236</c:v>
                  </c:pt>
                  <c:pt idx="3">
                    <c:v>1.5275252316519529E-2</c:v>
                  </c:pt>
                  <c:pt idx="4">
                    <c:v>3.5118845842842181E-2</c:v>
                  </c:pt>
                  <c:pt idx="5">
                    <c:v>0.2505992817228333</c:v>
                  </c:pt>
                  <c:pt idx="6">
                    <c:v>0.23028967265887837</c:v>
                  </c:pt>
                  <c:pt idx="7">
                    <c:v>0.19756855350316579</c:v>
                  </c:pt>
                  <c:pt idx="8">
                    <c:v>0.23302360395462096</c:v>
                  </c:pt>
                  <c:pt idx="9">
                    <c:v>0.19655363983740759</c:v>
                  </c:pt>
                  <c:pt idx="10">
                    <c:v>0.14977761292440647</c:v>
                  </c:pt>
                  <c:pt idx="11">
                    <c:v>9.6090235369330687E-2</c:v>
                  </c:pt>
                  <c:pt idx="12">
                    <c:v>2.5166114784235766E-2</c:v>
                  </c:pt>
                  <c:pt idx="13">
                    <c:v>2.5166114784235707E-2</c:v>
                  </c:pt>
                  <c:pt idx="14">
                    <c:v>0.20305992547357382</c:v>
                  </c:pt>
                </c:numCache>
              </c:numRef>
            </c:plus>
            <c:minus>
              <c:numRef>
                <c:f>SuppSheet15!$U$6:$U$20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2.0816659994661382E-2</c:v>
                  </c:pt>
                  <c:pt idx="2">
                    <c:v>0.21385353243127236</c:v>
                  </c:pt>
                  <c:pt idx="3">
                    <c:v>1.5275252316519529E-2</c:v>
                  </c:pt>
                  <c:pt idx="4">
                    <c:v>3.5118845842842181E-2</c:v>
                  </c:pt>
                  <c:pt idx="5">
                    <c:v>0.2505992817228333</c:v>
                  </c:pt>
                  <c:pt idx="6">
                    <c:v>0.23028967265887837</c:v>
                  </c:pt>
                  <c:pt idx="7">
                    <c:v>0.19756855350316579</c:v>
                  </c:pt>
                  <c:pt idx="8">
                    <c:v>0.23302360395462096</c:v>
                  </c:pt>
                  <c:pt idx="9">
                    <c:v>0.19655363983740759</c:v>
                  </c:pt>
                  <c:pt idx="10">
                    <c:v>0.14977761292440647</c:v>
                  </c:pt>
                  <c:pt idx="11">
                    <c:v>9.6090235369330687E-2</c:v>
                  </c:pt>
                  <c:pt idx="12">
                    <c:v>2.5166114784235766E-2</c:v>
                  </c:pt>
                  <c:pt idx="13">
                    <c:v>2.5166114784235707E-2</c:v>
                  </c:pt>
                  <c:pt idx="14">
                    <c:v>0.20305992547357382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SuppSheet15!$C$6:$C$20</c:f>
              <c:numCache>
                <c:formatCode>0.0</c:formatCode>
                <c:ptCount val="15"/>
                <c:pt idx="0">
                  <c:v>0</c:v>
                </c:pt>
                <c:pt idx="1">
                  <c:v>4.21666666661622</c:v>
                </c:pt>
                <c:pt idx="2">
                  <c:v>8.8833333333022892</c:v>
                </c:pt>
                <c:pt idx="3">
                  <c:v>12.550000000046566</c:v>
                </c:pt>
                <c:pt idx="4">
                  <c:v>16.666666666686069</c:v>
                </c:pt>
                <c:pt idx="5">
                  <c:v>22.099999999918509</c:v>
                </c:pt>
                <c:pt idx="6">
                  <c:v>26.299999999988358</c:v>
                </c:pt>
                <c:pt idx="7">
                  <c:v>34.466666666558012</c:v>
                </c:pt>
                <c:pt idx="8">
                  <c:v>49.799999999930151</c:v>
                </c:pt>
                <c:pt idx="9">
                  <c:v>63.799999999988358</c:v>
                </c:pt>
                <c:pt idx="10">
                  <c:v>81.449999999895226</c:v>
                </c:pt>
                <c:pt idx="11">
                  <c:v>106.14999999990687</c:v>
                </c:pt>
                <c:pt idx="12">
                  <c:v>145.91666666662786</c:v>
                </c:pt>
                <c:pt idx="13">
                  <c:v>175.8833333333605</c:v>
                </c:pt>
                <c:pt idx="14">
                  <c:v>243.13333333324408</c:v>
                </c:pt>
              </c:numCache>
            </c:numRef>
          </c:xVal>
          <c:yVal>
            <c:numRef>
              <c:f>SuppSheet15!$T$6:$T$20</c:f>
              <c:numCache>
                <c:formatCode>0.00</c:formatCode>
                <c:ptCount val="15"/>
                <c:pt idx="0">
                  <c:v>6.98</c:v>
                </c:pt>
                <c:pt idx="1">
                  <c:v>6.6633333333333331</c:v>
                </c:pt>
                <c:pt idx="2">
                  <c:v>5.0233333333333334</c:v>
                </c:pt>
                <c:pt idx="3">
                  <c:v>4.6533333333333333</c:v>
                </c:pt>
                <c:pt idx="4">
                  <c:v>4.6833333333333336</c:v>
                </c:pt>
                <c:pt idx="5">
                  <c:v>5.37</c:v>
                </c:pt>
                <c:pt idx="6">
                  <c:v>5.7033333333333331</c:v>
                </c:pt>
                <c:pt idx="7">
                  <c:v>5.9533333333333331</c:v>
                </c:pt>
                <c:pt idx="8">
                  <c:v>6.1000000000000005</c:v>
                </c:pt>
                <c:pt idx="9">
                  <c:v>6.2133333333333338</c:v>
                </c:pt>
                <c:pt idx="10">
                  <c:v>6.3366666666666669</c:v>
                </c:pt>
                <c:pt idx="11">
                  <c:v>6.4533333333333331</c:v>
                </c:pt>
                <c:pt idx="12">
                  <c:v>6.4766666666666666</c:v>
                </c:pt>
                <c:pt idx="13">
                  <c:v>6.4433333333333325</c:v>
                </c:pt>
                <c:pt idx="14">
                  <c:v>5.8866666666666667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B-4ED3-B10B-3CF49EEE5EC5}"/>
            </c:ext>
          </c:extLst>
        </c:ser>
        <c:ser>
          <c:idx val="2"/>
          <c:order val="2"/>
          <c:tx>
            <c:v>glucose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SuppSheet15!$AA$6:$AA$20</c:f>
                <c:numCache>
                  <c:formatCode>General</c:formatCode>
                  <c:ptCount val="15"/>
                  <c:pt idx="0">
                    <c:v>0.58962944615351343</c:v>
                  </c:pt>
                  <c:pt idx="1">
                    <c:v>0.42653638449586501</c:v>
                  </c:pt>
                  <c:pt idx="2">
                    <c:v>0.35111859112171545</c:v>
                  </c:pt>
                  <c:pt idx="3">
                    <c:v>0.1255612697740851</c:v>
                  </c:pt>
                  <c:pt idx="4">
                    <c:v>0.8545805656920773</c:v>
                  </c:pt>
                  <c:pt idx="5">
                    <c:v>9.993485352017159E-2</c:v>
                  </c:pt>
                  <c:pt idx="7">
                    <c:v>0.30965916754490902</c:v>
                  </c:pt>
                  <c:pt idx="9">
                    <c:v>0.51754938199649425</c:v>
                  </c:pt>
                  <c:pt idx="11">
                    <c:v>0.68367874663850259</c:v>
                  </c:pt>
                  <c:pt idx="14">
                    <c:v>2.5260643275154138</c:v>
                  </c:pt>
                </c:numCache>
              </c:numRef>
            </c:plus>
            <c:minus>
              <c:numRef>
                <c:f>SuppSheet15!$AA$6:$AA$20</c:f>
                <c:numCache>
                  <c:formatCode>General</c:formatCode>
                  <c:ptCount val="15"/>
                  <c:pt idx="0">
                    <c:v>0.58962944615351343</c:v>
                  </c:pt>
                  <c:pt idx="1">
                    <c:v>0.42653638449586501</c:v>
                  </c:pt>
                  <c:pt idx="2">
                    <c:v>0.35111859112171545</c:v>
                  </c:pt>
                  <c:pt idx="3">
                    <c:v>0.1255612697740851</c:v>
                  </c:pt>
                  <c:pt idx="4">
                    <c:v>0.8545805656920773</c:v>
                  </c:pt>
                  <c:pt idx="5">
                    <c:v>9.993485352017159E-2</c:v>
                  </c:pt>
                  <c:pt idx="7">
                    <c:v>0.30965916754490902</c:v>
                  </c:pt>
                  <c:pt idx="9">
                    <c:v>0.51754938199649425</c:v>
                  </c:pt>
                  <c:pt idx="11">
                    <c:v>0.68367874663850259</c:v>
                  </c:pt>
                  <c:pt idx="14">
                    <c:v>2.5260643275154138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SuppSheet15!$C$6:$C$20</c:f>
              <c:numCache>
                <c:formatCode>0.0</c:formatCode>
                <c:ptCount val="15"/>
                <c:pt idx="0">
                  <c:v>0</c:v>
                </c:pt>
                <c:pt idx="1">
                  <c:v>4.21666666661622</c:v>
                </c:pt>
                <c:pt idx="2">
                  <c:v>8.8833333333022892</c:v>
                </c:pt>
                <c:pt idx="3">
                  <c:v>12.550000000046566</c:v>
                </c:pt>
                <c:pt idx="4">
                  <c:v>16.666666666686069</c:v>
                </c:pt>
                <c:pt idx="5">
                  <c:v>22.099999999918509</c:v>
                </c:pt>
                <c:pt idx="6">
                  <c:v>26.299999999988358</c:v>
                </c:pt>
                <c:pt idx="7">
                  <c:v>34.466666666558012</c:v>
                </c:pt>
                <c:pt idx="8">
                  <c:v>49.799999999930151</c:v>
                </c:pt>
                <c:pt idx="9">
                  <c:v>63.799999999988358</c:v>
                </c:pt>
                <c:pt idx="10">
                  <c:v>81.449999999895226</c:v>
                </c:pt>
                <c:pt idx="11">
                  <c:v>106.14999999990687</c:v>
                </c:pt>
                <c:pt idx="12">
                  <c:v>145.91666666662786</c:v>
                </c:pt>
                <c:pt idx="13">
                  <c:v>175.8833333333605</c:v>
                </c:pt>
                <c:pt idx="14">
                  <c:v>243.13333333324408</c:v>
                </c:pt>
              </c:numCache>
            </c:numRef>
          </c:xVal>
          <c:yVal>
            <c:numRef>
              <c:f>SuppSheet15!$Z$6:$Z$20</c:f>
              <c:numCache>
                <c:formatCode>0.00</c:formatCode>
                <c:ptCount val="15"/>
                <c:pt idx="0">
                  <c:v>26.78085429867258</c:v>
                </c:pt>
                <c:pt idx="1">
                  <c:v>26.676632769926282</c:v>
                </c:pt>
                <c:pt idx="2">
                  <c:v>25.599778775869666</c:v>
                </c:pt>
                <c:pt idx="3">
                  <c:v>25.600936002798338</c:v>
                </c:pt>
                <c:pt idx="4">
                  <c:v>25.076744988620437</c:v>
                </c:pt>
                <c:pt idx="5">
                  <c:v>25.558881447365568</c:v>
                </c:pt>
                <c:pt idx="7">
                  <c:v>25.662094997689483</c:v>
                </c:pt>
                <c:pt idx="9">
                  <c:v>25.996091730150301</c:v>
                </c:pt>
                <c:pt idx="11">
                  <c:v>27.117100857247426</c:v>
                </c:pt>
                <c:pt idx="14">
                  <c:v>30.932547050677158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BB-4ED3-B10B-3CF49EEE5EC5}"/>
            </c:ext>
          </c:extLst>
        </c:ser>
        <c:ser>
          <c:idx val="3"/>
          <c:order val="3"/>
          <c:tx>
            <c:v>lactate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SuppSheet15!$AL$6:$AL$20</c:f>
                <c:numCache>
                  <c:formatCode>General</c:formatCode>
                  <c:ptCount val="15"/>
                  <c:pt idx="0">
                    <c:v>3.6870791944290687E-2</c:v>
                  </c:pt>
                  <c:pt idx="1">
                    <c:v>7.4474944927479927E-2</c:v>
                  </c:pt>
                  <c:pt idx="2">
                    <c:v>0.14566514797418129</c:v>
                  </c:pt>
                  <c:pt idx="3">
                    <c:v>3.7664921765416859E-2</c:v>
                  </c:pt>
                  <c:pt idx="4">
                    <c:v>8.5681018616807943E-3</c:v>
                  </c:pt>
                  <c:pt idx="5">
                    <c:v>0.28256910678484615</c:v>
                  </c:pt>
                  <c:pt idx="7">
                    <c:v>0.24294881674293942</c:v>
                  </c:pt>
                  <c:pt idx="9">
                    <c:v>0.27167561589581052</c:v>
                  </c:pt>
                  <c:pt idx="11">
                    <c:v>0.43474768711408412</c:v>
                  </c:pt>
                  <c:pt idx="14">
                    <c:v>0</c:v>
                  </c:pt>
                </c:numCache>
              </c:numRef>
            </c:plus>
            <c:minus>
              <c:numRef>
                <c:f>SuppSheet15!$AL$6:$AL$20</c:f>
                <c:numCache>
                  <c:formatCode>General</c:formatCode>
                  <c:ptCount val="15"/>
                  <c:pt idx="0">
                    <c:v>3.6870791944290687E-2</c:v>
                  </c:pt>
                  <c:pt idx="1">
                    <c:v>7.4474944927479927E-2</c:v>
                  </c:pt>
                  <c:pt idx="2">
                    <c:v>0.14566514797418129</c:v>
                  </c:pt>
                  <c:pt idx="3">
                    <c:v>3.7664921765416859E-2</c:v>
                  </c:pt>
                  <c:pt idx="4">
                    <c:v>8.5681018616807943E-3</c:v>
                  </c:pt>
                  <c:pt idx="5">
                    <c:v>0.28256910678484615</c:v>
                  </c:pt>
                  <c:pt idx="7">
                    <c:v>0.24294881674293942</c:v>
                  </c:pt>
                  <c:pt idx="9">
                    <c:v>0.27167561589581052</c:v>
                  </c:pt>
                  <c:pt idx="11">
                    <c:v>0.43474768711408412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SuppSheet15!$C$6:$C$20</c:f>
              <c:numCache>
                <c:formatCode>0.0</c:formatCode>
                <c:ptCount val="15"/>
                <c:pt idx="0">
                  <c:v>0</c:v>
                </c:pt>
                <c:pt idx="1">
                  <c:v>4.21666666661622</c:v>
                </c:pt>
                <c:pt idx="2">
                  <c:v>8.8833333333022892</c:v>
                </c:pt>
                <c:pt idx="3">
                  <c:v>12.550000000046566</c:v>
                </c:pt>
                <c:pt idx="4">
                  <c:v>16.666666666686069</c:v>
                </c:pt>
                <c:pt idx="5">
                  <c:v>22.099999999918509</c:v>
                </c:pt>
                <c:pt idx="6">
                  <c:v>26.299999999988358</c:v>
                </c:pt>
                <c:pt idx="7">
                  <c:v>34.466666666558012</c:v>
                </c:pt>
                <c:pt idx="8">
                  <c:v>49.799999999930151</c:v>
                </c:pt>
                <c:pt idx="9">
                  <c:v>63.799999999988358</c:v>
                </c:pt>
                <c:pt idx="10">
                  <c:v>81.449999999895226</c:v>
                </c:pt>
                <c:pt idx="11">
                  <c:v>106.14999999990687</c:v>
                </c:pt>
                <c:pt idx="12">
                  <c:v>145.91666666662786</c:v>
                </c:pt>
                <c:pt idx="13">
                  <c:v>175.8833333333605</c:v>
                </c:pt>
                <c:pt idx="14">
                  <c:v>243.13333333324408</c:v>
                </c:pt>
              </c:numCache>
            </c:numRef>
          </c:xVal>
          <c:yVal>
            <c:numRef>
              <c:f>SuppSheet15!$AK$6:$AK$20</c:f>
              <c:numCache>
                <c:formatCode>0.00</c:formatCode>
                <c:ptCount val="15"/>
                <c:pt idx="0">
                  <c:v>5.9330588284973784E-2</c:v>
                </c:pt>
                <c:pt idx="1">
                  <c:v>1.1693483900825297</c:v>
                </c:pt>
                <c:pt idx="2">
                  <c:v>3.972220714576244</c:v>
                </c:pt>
                <c:pt idx="3">
                  <c:v>4.3801147597805556</c:v>
                </c:pt>
                <c:pt idx="4">
                  <c:v>4.224931249166354</c:v>
                </c:pt>
                <c:pt idx="5">
                  <c:v>3.2638112160631416</c:v>
                </c:pt>
                <c:pt idx="7">
                  <c:v>2.0596640586784325</c:v>
                </c:pt>
                <c:pt idx="9">
                  <c:v>1.3812921357109567</c:v>
                </c:pt>
                <c:pt idx="11">
                  <c:v>0.57236011738522996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BB-4ED3-B10B-3CF49EEE5EC5}"/>
            </c:ext>
          </c:extLst>
        </c:ser>
        <c:ser>
          <c:idx val="4"/>
          <c:order val="4"/>
          <c:tx>
            <c:v>acetate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SuppSheet15!$AW$6:$AW$20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7.2481855615594032E-2</c:v>
                  </c:pt>
                  <c:pt idx="7">
                    <c:v>0.27621823167112175</c:v>
                  </c:pt>
                  <c:pt idx="9">
                    <c:v>0.58951663045431613</c:v>
                  </c:pt>
                  <c:pt idx="11">
                    <c:v>0.33040142580416615</c:v>
                  </c:pt>
                  <c:pt idx="14">
                    <c:v>0.41253515240982186</c:v>
                  </c:pt>
                </c:numCache>
              </c:numRef>
            </c:plus>
            <c:minus>
              <c:numRef>
                <c:f>SuppSheet15!$AW$6:$AW$20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7.2481855615594032E-2</c:v>
                  </c:pt>
                  <c:pt idx="7">
                    <c:v>0.27621823167112175</c:v>
                  </c:pt>
                  <c:pt idx="9">
                    <c:v>0.58951663045431613</c:v>
                  </c:pt>
                  <c:pt idx="11">
                    <c:v>0.33040142580416615</c:v>
                  </c:pt>
                  <c:pt idx="14">
                    <c:v>0.41253515240982186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SuppSheet15!$C$6:$C$20</c:f>
              <c:numCache>
                <c:formatCode>0.0</c:formatCode>
                <c:ptCount val="15"/>
                <c:pt idx="0">
                  <c:v>0</c:v>
                </c:pt>
                <c:pt idx="1">
                  <c:v>4.21666666661622</c:v>
                </c:pt>
                <c:pt idx="2">
                  <c:v>8.8833333333022892</c:v>
                </c:pt>
                <c:pt idx="3">
                  <c:v>12.550000000046566</c:v>
                </c:pt>
                <c:pt idx="4">
                  <c:v>16.666666666686069</c:v>
                </c:pt>
                <c:pt idx="5">
                  <c:v>22.099999999918509</c:v>
                </c:pt>
                <c:pt idx="6">
                  <c:v>26.299999999988358</c:v>
                </c:pt>
                <c:pt idx="7">
                  <c:v>34.466666666558012</c:v>
                </c:pt>
                <c:pt idx="8">
                  <c:v>49.799999999930151</c:v>
                </c:pt>
                <c:pt idx="9">
                  <c:v>63.799999999988358</c:v>
                </c:pt>
                <c:pt idx="10">
                  <c:v>81.449999999895226</c:v>
                </c:pt>
                <c:pt idx="11">
                  <c:v>106.14999999990687</c:v>
                </c:pt>
                <c:pt idx="12">
                  <c:v>145.91666666662786</c:v>
                </c:pt>
                <c:pt idx="13">
                  <c:v>175.8833333333605</c:v>
                </c:pt>
                <c:pt idx="14">
                  <c:v>243.13333333324408</c:v>
                </c:pt>
              </c:numCache>
            </c:numRef>
          </c:xVal>
          <c:yVal>
            <c:numRef>
              <c:f>SuppSheet15!$AV$6:$AV$20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0.23190940231355972</c:v>
                </c:pt>
                <c:pt idx="7">
                  <c:v>0.53839631418686829</c:v>
                </c:pt>
                <c:pt idx="9">
                  <c:v>0.34035758528456056</c:v>
                </c:pt>
                <c:pt idx="11">
                  <c:v>0.19075735212867151</c:v>
                </c:pt>
                <c:pt idx="14">
                  <c:v>1.0209936987993709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BB-4ED3-B10B-3CF49EEE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799320"/>
        <c:axId val="755803912"/>
      </c:scatterChart>
      <c:scatterChart>
        <c:scatterStyle val="lineMarker"/>
        <c:varyColors val="0"/>
        <c:ser>
          <c:idx val="0"/>
          <c:order val="0"/>
          <c:tx>
            <c:v>OD600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SuppSheet15!$J$6:$J$20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1.0000000000000009E-3</c:v>
                  </c:pt>
                  <c:pt idx="2">
                    <c:v>2.3094010767585049E-3</c:v>
                  </c:pt>
                  <c:pt idx="3">
                    <c:v>3.2145502536643214E-3</c:v>
                  </c:pt>
                  <c:pt idx="4">
                    <c:v>5.5677643628300206E-3</c:v>
                  </c:pt>
                  <c:pt idx="5">
                    <c:v>2.6576932353703328E-2</c:v>
                  </c:pt>
                  <c:pt idx="6">
                    <c:v>3.1432467291003574E-2</c:v>
                  </c:pt>
                  <c:pt idx="7">
                    <c:v>3.7634204300520627E-2</c:v>
                  </c:pt>
                  <c:pt idx="8">
                    <c:v>4.6292547996410888E-2</c:v>
                  </c:pt>
                  <c:pt idx="9">
                    <c:v>5.0737888538382549E-2</c:v>
                  </c:pt>
                  <c:pt idx="10">
                    <c:v>6.1652250567193624E-2</c:v>
                  </c:pt>
                  <c:pt idx="11">
                    <c:v>6.9541354602854696E-2</c:v>
                  </c:pt>
                  <c:pt idx="12">
                    <c:v>7.4645830426086052E-2</c:v>
                  </c:pt>
                  <c:pt idx="13">
                    <c:v>8.0987653380006075E-2</c:v>
                  </c:pt>
                  <c:pt idx="14">
                    <c:v>0.10368381423025178</c:v>
                  </c:pt>
                </c:numCache>
              </c:numRef>
            </c:plus>
            <c:minus>
              <c:numRef>
                <c:f>SuppSheet15!$J$6:$J$20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1.0000000000000009E-3</c:v>
                  </c:pt>
                  <c:pt idx="2">
                    <c:v>2.3094010767585049E-3</c:v>
                  </c:pt>
                  <c:pt idx="3">
                    <c:v>3.2145502536643214E-3</c:v>
                  </c:pt>
                  <c:pt idx="4">
                    <c:v>5.5677643628300206E-3</c:v>
                  </c:pt>
                  <c:pt idx="5">
                    <c:v>2.6576932353703328E-2</c:v>
                  </c:pt>
                  <c:pt idx="6">
                    <c:v>3.1432467291003574E-2</c:v>
                  </c:pt>
                  <c:pt idx="7">
                    <c:v>3.7634204300520627E-2</c:v>
                  </c:pt>
                  <c:pt idx="8">
                    <c:v>4.6292547996410888E-2</c:v>
                  </c:pt>
                  <c:pt idx="9">
                    <c:v>5.0737888538382549E-2</c:v>
                  </c:pt>
                  <c:pt idx="10">
                    <c:v>6.1652250567193624E-2</c:v>
                  </c:pt>
                  <c:pt idx="11">
                    <c:v>6.9541354602854696E-2</c:v>
                  </c:pt>
                  <c:pt idx="12">
                    <c:v>7.4645830426086052E-2</c:v>
                  </c:pt>
                  <c:pt idx="13">
                    <c:v>8.0987653380006075E-2</c:v>
                  </c:pt>
                  <c:pt idx="14">
                    <c:v>0.10368381423025178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SuppSheet15!$C$6:$C$20</c:f>
              <c:numCache>
                <c:formatCode>0.0</c:formatCode>
                <c:ptCount val="15"/>
                <c:pt idx="0">
                  <c:v>0</c:v>
                </c:pt>
                <c:pt idx="1">
                  <c:v>4.21666666661622</c:v>
                </c:pt>
                <c:pt idx="2">
                  <c:v>8.8833333333022892</c:v>
                </c:pt>
                <c:pt idx="3">
                  <c:v>12.550000000046566</c:v>
                </c:pt>
                <c:pt idx="4">
                  <c:v>16.666666666686069</c:v>
                </c:pt>
                <c:pt idx="5">
                  <c:v>22.099999999918509</c:v>
                </c:pt>
                <c:pt idx="6">
                  <c:v>26.299999999988358</c:v>
                </c:pt>
                <c:pt idx="7">
                  <c:v>34.466666666558012</c:v>
                </c:pt>
                <c:pt idx="8">
                  <c:v>49.799999999930151</c:v>
                </c:pt>
                <c:pt idx="9">
                  <c:v>63.799999999988358</c:v>
                </c:pt>
                <c:pt idx="10">
                  <c:v>81.449999999895226</c:v>
                </c:pt>
                <c:pt idx="11">
                  <c:v>106.14999999990687</c:v>
                </c:pt>
                <c:pt idx="12">
                  <c:v>145.91666666662786</c:v>
                </c:pt>
                <c:pt idx="13">
                  <c:v>175.8833333333605</c:v>
                </c:pt>
                <c:pt idx="14">
                  <c:v>243.13333333324408</c:v>
                </c:pt>
              </c:numCache>
            </c:numRef>
          </c:xVal>
          <c:yVal>
            <c:numRef>
              <c:f>SuppSheet15!$I$6:$I$20</c:f>
              <c:numCache>
                <c:formatCode>0.000</c:formatCode>
                <c:ptCount val="15"/>
                <c:pt idx="0">
                  <c:v>2.1000000000000001E-2</c:v>
                </c:pt>
                <c:pt idx="1">
                  <c:v>3.3000000000000002E-2</c:v>
                </c:pt>
                <c:pt idx="2">
                  <c:v>6.6666666666666666E-2</c:v>
                </c:pt>
                <c:pt idx="3">
                  <c:v>6.7666666666666667E-2</c:v>
                </c:pt>
                <c:pt idx="4">
                  <c:v>8.3000000000000004E-2</c:v>
                </c:pt>
                <c:pt idx="5">
                  <c:v>0.15966666666666668</c:v>
                </c:pt>
                <c:pt idx="6">
                  <c:v>0.18599999999999997</c:v>
                </c:pt>
                <c:pt idx="7">
                  <c:v>0.20933333333333334</c:v>
                </c:pt>
                <c:pt idx="8">
                  <c:v>0.23399999999999999</c:v>
                </c:pt>
                <c:pt idx="9">
                  <c:v>0.25133333333333335</c:v>
                </c:pt>
                <c:pt idx="10">
                  <c:v>0.27099999999999996</c:v>
                </c:pt>
                <c:pt idx="11">
                  <c:v>0.29399999999999998</c:v>
                </c:pt>
                <c:pt idx="12">
                  <c:v>0.32200000000000001</c:v>
                </c:pt>
                <c:pt idx="13">
                  <c:v>0.35099999999999998</c:v>
                </c:pt>
                <c:pt idx="14">
                  <c:v>0.46033333333333326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BB-4ED3-B10B-3CF49EEE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95424"/>
        <c:axId val="788521952"/>
      </c:scatterChart>
      <c:valAx>
        <c:axId val="7557993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03912"/>
        <c:crosses val="autoZero"/>
        <c:crossBetween val="midCat"/>
      </c:valAx>
      <c:valAx>
        <c:axId val="75580391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Metabolites (mM) or</a:t>
                </a:r>
                <a:r>
                  <a:rPr lang="en-US" baseline="0"/>
                  <a:t> pH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99320"/>
        <c:crosses val="autoZero"/>
        <c:crossBetween val="midCat"/>
      </c:valAx>
      <c:valAx>
        <c:axId val="788521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95424"/>
        <c:crosses val="max"/>
        <c:crossBetween val="midCat"/>
      </c:valAx>
      <c:valAx>
        <c:axId val="7885954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78852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ECOM</a:t>
            </a:r>
            <a:r>
              <a:rPr lang="en-US" baseline="0"/>
              <a:t> + 403 100:1 Ratio, Corrected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SuppSheet15!$U$6:$U$20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2.0816659994661382E-2</c:v>
                  </c:pt>
                  <c:pt idx="2">
                    <c:v>0.21385353243127236</c:v>
                  </c:pt>
                  <c:pt idx="3">
                    <c:v>1.5275252316519529E-2</c:v>
                  </c:pt>
                  <c:pt idx="4">
                    <c:v>3.5118845842842181E-2</c:v>
                  </c:pt>
                  <c:pt idx="5">
                    <c:v>0.2505992817228333</c:v>
                  </c:pt>
                  <c:pt idx="6">
                    <c:v>0.23028967265887837</c:v>
                  </c:pt>
                  <c:pt idx="7">
                    <c:v>0.19756855350316579</c:v>
                  </c:pt>
                  <c:pt idx="8">
                    <c:v>0.23302360395462096</c:v>
                  </c:pt>
                  <c:pt idx="9">
                    <c:v>0.19655363983740759</c:v>
                  </c:pt>
                  <c:pt idx="10">
                    <c:v>0.14977761292440647</c:v>
                  </c:pt>
                  <c:pt idx="11">
                    <c:v>9.6090235369330687E-2</c:v>
                  </c:pt>
                  <c:pt idx="12">
                    <c:v>2.5166114784235766E-2</c:v>
                  </c:pt>
                  <c:pt idx="13">
                    <c:v>2.5166114784235707E-2</c:v>
                  </c:pt>
                  <c:pt idx="14">
                    <c:v>0.20305992547357382</c:v>
                  </c:pt>
                </c:numCache>
              </c:numRef>
            </c:plus>
            <c:minus>
              <c:numRef>
                <c:f>SuppSheet15!$U$6:$U$20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2.0816659994661382E-2</c:v>
                  </c:pt>
                  <c:pt idx="2">
                    <c:v>0.21385353243127236</c:v>
                  </c:pt>
                  <c:pt idx="3">
                    <c:v>1.5275252316519529E-2</c:v>
                  </c:pt>
                  <c:pt idx="4">
                    <c:v>3.5118845842842181E-2</c:v>
                  </c:pt>
                  <c:pt idx="5">
                    <c:v>0.2505992817228333</c:v>
                  </c:pt>
                  <c:pt idx="6">
                    <c:v>0.23028967265887837</c:v>
                  </c:pt>
                  <c:pt idx="7">
                    <c:v>0.19756855350316579</c:v>
                  </c:pt>
                  <c:pt idx="8">
                    <c:v>0.23302360395462096</c:v>
                  </c:pt>
                  <c:pt idx="9">
                    <c:v>0.19655363983740759</c:v>
                  </c:pt>
                  <c:pt idx="10">
                    <c:v>0.14977761292440647</c:v>
                  </c:pt>
                  <c:pt idx="11">
                    <c:v>9.6090235369330687E-2</c:v>
                  </c:pt>
                  <c:pt idx="12">
                    <c:v>2.5166114784235766E-2</c:v>
                  </c:pt>
                  <c:pt idx="13">
                    <c:v>2.5166114784235707E-2</c:v>
                  </c:pt>
                  <c:pt idx="14">
                    <c:v>0.20305992547357382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SuppSheet15!$C$6:$C$20</c:f>
              <c:numCache>
                <c:formatCode>0.0</c:formatCode>
                <c:ptCount val="15"/>
                <c:pt idx="0">
                  <c:v>0</c:v>
                </c:pt>
                <c:pt idx="1">
                  <c:v>4.21666666661622</c:v>
                </c:pt>
                <c:pt idx="2">
                  <c:v>8.8833333333022892</c:v>
                </c:pt>
                <c:pt idx="3">
                  <c:v>12.550000000046566</c:v>
                </c:pt>
                <c:pt idx="4">
                  <c:v>16.666666666686069</c:v>
                </c:pt>
                <c:pt idx="5">
                  <c:v>22.099999999918509</c:v>
                </c:pt>
                <c:pt idx="6">
                  <c:v>26.299999999988358</c:v>
                </c:pt>
                <c:pt idx="7">
                  <c:v>34.466666666558012</c:v>
                </c:pt>
                <c:pt idx="8">
                  <c:v>49.799999999930151</c:v>
                </c:pt>
                <c:pt idx="9">
                  <c:v>63.799999999988358</c:v>
                </c:pt>
                <c:pt idx="10">
                  <c:v>81.449999999895226</c:v>
                </c:pt>
                <c:pt idx="11">
                  <c:v>106.14999999990687</c:v>
                </c:pt>
                <c:pt idx="12">
                  <c:v>145.91666666662786</c:v>
                </c:pt>
                <c:pt idx="13">
                  <c:v>175.8833333333605</c:v>
                </c:pt>
                <c:pt idx="14">
                  <c:v>243.13333333324408</c:v>
                </c:pt>
              </c:numCache>
            </c:numRef>
          </c:xVal>
          <c:yVal>
            <c:numRef>
              <c:f>SuppSheet15!$T$6:$T$20</c:f>
              <c:numCache>
                <c:formatCode>0.00</c:formatCode>
                <c:ptCount val="15"/>
                <c:pt idx="0">
                  <c:v>6.98</c:v>
                </c:pt>
                <c:pt idx="1">
                  <c:v>6.6633333333333331</c:v>
                </c:pt>
                <c:pt idx="2">
                  <c:v>5.0233333333333334</c:v>
                </c:pt>
                <c:pt idx="3">
                  <c:v>4.6533333333333333</c:v>
                </c:pt>
                <c:pt idx="4">
                  <c:v>4.6833333333333336</c:v>
                </c:pt>
                <c:pt idx="5">
                  <c:v>5.37</c:v>
                </c:pt>
                <c:pt idx="6">
                  <c:v>5.7033333333333331</c:v>
                </c:pt>
                <c:pt idx="7">
                  <c:v>5.9533333333333331</c:v>
                </c:pt>
                <c:pt idx="8">
                  <c:v>6.1000000000000005</c:v>
                </c:pt>
                <c:pt idx="9">
                  <c:v>6.2133333333333338</c:v>
                </c:pt>
                <c:pt idx="10">
                  <c:v>6.3366666666666669</c:v>
                </c:pt>
                <c:pt idx="11">
                  <c:v>6.4533333333333331</c:v>
                </c:pt>
                <c:pt idx="12">
                  <c:v>6.4766666666666666</c:v>
                </c:pt>
                <c:pt idx="13">
                  <c:v>6.4433333333333325</c:v>
                </c:pt>
                <c:pt idx="14">
                  <c:v>5.8866666666666667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3-45BB-9B87-FF61454CAC4A}"/>
            </c:ext>
          </c:extLst>
        </c:ser>
        <c:ser>
          <c:idx val="2"/>
          <c:order val="2"/>
          <c:tx>
            <c:v>glucose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SuppSheet15!$AF$6:$AF$20</c:f>
                <c:numCache>
                  <c:formatCode>General</c:formatCode>
                  <c:ptCount val="15"/>
                  <c:pt idx="0">
                    <c:v>0.58962944615351343</c:v>
                  </c:pt>
                  <c:pt idx="1">
                    <c:v>0.42317859963189058</c:v>
                  </c:pt>
                  <c:pt idx="2">
                    <c:v>0.34534574518299438</c:v>
                  </c:pt>
                  <c:pt idx="3">
                    <c:v>0.1226644443662071</c:v>
                  </c:pt>
                  <c:pt idx="4">
                    <c:v>0.82859391037584307</c:v>
                  </c:pt>
                  <c:pt idx="5">
                    <c:v>9.594484504038199E-2</c:v>
                  </c:pt>
                  <c:pt idx="7">
                    <c:v>0.29079873305814663</c:v>
                  </c:pt>
                  <c:pt idx="9">
                    <c:v>0.4620749341527905</c:v>
                  </c:pt>
                  <c:pt idx="11">
                    <c:v>0.56985251306730356</c:v>
                  </c:pt>
                  <c:pt idx="14">
                    <c:v>1.7331320998642679</c:v>
                  </c:pt>
                </c:numCache>
              </c:numRef>
            </c:plus>
            <c:minus>
              <c:numRef>
                <c:f>SuppSheet15!$AF$6:$AF$20</c:f>
                <c:numCache>
                  <c:formatCode>General</c:formatCode>
                  <c:ptCount val="15"/>
                  <c:pt idx="0">
                    <c:v>0.58962944615351343</c:v>
                  </c:pt>
                  <c:pt idx="1">
                    <c:v>0.42317859963189058</c:v>
                  </c:pt>
                  <c:pt idx="2">
                    <c:v>0.34534574518299438</c:v>
                  </c:pt>
                  <c:pt idx="3">
                    <c:v>0.1226644443662071</c:v>
                  </c:pt>
                  <c:pt idx="4">
                    <c:v>0.82859391037584307</c:v>
                  </c:pt>
                  <c:pt idx="5">
                    <c:v>9.594484504038199E-2</c:v>
                  </c:pt>
                  <c:pt idx="7">
                    <c:v>0.29079873305814663</c:v>
                  </c:pt>
                  <c:pt idx="9">
                    <c:v>0.4620749341527905</c:v>
                  </c:pt>
                  <c:pt idx="11">
                    <c:v>0.56985251306730356</c:v>
                  </c:pt>
                  <c:pt idx="14">
                    <c:v>1.7331320998642679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SuppSheet15!$C$6:$C$20</c:f>
              <c:numCache>
                <c:formatCode>0.0</c:formatCode>
                <c:ptCount val="15"/>
                <c:pt idx="0">
                  <c:v>0</c:v>
                </c:pt>
                <c:pt idx="1">
                  <c:v>4.21666666661622</c:v>
                </c:pt>
                <c:pt idx="2">
                  <c:v>8.8833333333022892</c:v>
                </c:pt>
                <c:pt idx="3">
                  <c:v>12.550000000046566</c:v>
                </c:pt>
                <c:pt idx="4">
                  <c:v>16.666666666686069</c:v>
                </c:pt>
                <c:pt idx="5">
                  <c:v>22.099999999918509</c:v>
                </c:pt>
                <c:pt idx="6">
                  <c:v>26.299999999988358</c:v>
                </c:pt>
                <c:pt idx="7">
                  <c:v>34.466666666558012</c:v>
                </c:pt>
                <c:pt idx="8">
                  <c:v>49.799999999930151</c:v>
                </c:pt>
                <c:pt idx="9">
                  <c:v>63.799999999988358</c:v>
                </c:pt>
                <c:pt idx="10">
                  <c:v>81.449999999895226</c:v>
                </c:pt>
                <c:pt idx="11">
                  <c:v>106.14999999990687</c:v>
                </c:pt>
                <c:pt idx="12">
                  <c:v>145.91666666662786</c:v>
                </c:pt>
                <c:pt idx="13">
                  <c:v>175.8833333333605</c:v>
                </c:pt>
                <c:pt idx="14">
                  <c:v>243.13333333324408</c:v>
                </c:pt>
              </c:numCache>
            </c:numRef>
          </c:xVal>
          <c:yVal>
            <c:numRef>
              <c:f>SuppSheet15!$AE$6:$AE$20</c:f>
              <c:numCache>
                <c:formatCode>0.00</c:formatCode>
                <c:ptCount val="15"/>
                <c:pt idx="0">
                  <c:v>26.78085429867258</c:v>
                </c:pt>
                <c:pt idx="1">
                  <c:v>26.466628660095111</c:v>
                </c:pt>
                <c:pt idx="2">
                  <c:v>25.178885144272687</c:v>
                </c:pt>
                <c:pt idx="3">
                  <c:v>25.010296532428498</c:v>
                </c:pt>
                <c:pt idx="4">
                  <c:v>24.314194616386477</c:v>
                </c:pt>
                <c:pt idx="5">
                  <c:v>24.538415112381301</c:v>
                </c:pt>
                <c:pt idx="7">
                  <c:v>24.099091824444788</c:v>
                </c:pt>
                <c:pt idx="9">
                  <c:v>23.209654561080082</c:v>
                </c:pt>
                <c:pt idx="11">
                  <c:v>22.602352561900926</c:v>
                </c:pt>
                <c:pt idx="14">
                  <c:v>21.222812752682454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3-45BB-9B87-FF61454CAC4A}"/>
            </c:ext>
          </c:extLst>
        </c:ser>
        <c:ser>
          <c:idx val="3"/>
          <c:order val="3"/>
          <c:tx>
            <c:v>lactate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SuppSheet15!$AQ$6:$AQ$20</c:f>
                <c:numCache>
                  <c:formatCode>General</c:formatCode>
                  <c:ptCount val="15"/>
                  <c:pt idx="0">
                    <c:v>3.6870791944290687E-2</c:v>
                  </c:pt>
                  <c:pt idx="1">
                    <c:v>7.3888662368916072E-2</c:v>
                  </c:pt>
                  <c:pt idx="2">
                    <c:v>0.14327022364046976</c:v>
                  </c:pt>
                  <c:pt idx="3">
                    <c:v>3.6795953949528518E-2</c:v>
                  </c:pt>
                  <c:pt idx="4">
                    <c:v>8.3075573106663348E-3</c:v>
                  </c:pt>
                  <c:pt idx="5">
                    <c:v>0.27128722571449015</c:v>
                  </c:pt>
                  <c:pt idx="7">
                    <c:v>0.22815151467000083</c:v>
                  </c:pt>
                  <c:pt idx="9">
                    <c:v>0.24255558347246836</c:v>
                  </c:pt>
                  <c:pt idx="11">
                    <c:v>0.36236618919375735</c:v>
                  </c:pt>
                  <c:pt idx="14">
                    <c:v>0</c:v>
                  </c:pt>
                </c:numCache>
              </c:numRef>
            </c:plus>
            <c:minus>
              <c:numRef>
                <c:f>SuppSheet15!$AQ$6:$AQ$20</c:f>
                <c:numCache>
                  <c:formatCode>General</c:formatCode>
                  <c:ptCount val="15"/>
                  <c:pt idx="0">
                    <c:v>3.6870791944290687E-2</c:v>
                  </c:pt>
                  <c:pt idx="1">
                    <c:v>7.3888662368916072E-2</c:v>
                  </c:pt>
                  <c:pt idx="2">
                    <c:v>0.14327022364046976</c:v>
                  </c:pt>
                  <c:pt idx="3">
                    <c:v>3.6795953949528518E-2</c:v>
                  </c:pt>
                  <c:pt idx="4">
                    <c:v>8.3075573106663348E-3</c:v>
                  </c:pt>
                  <c:pt idx="5">
                    <c:v>0.27128722571449015</c:v>
                  </c:pt>
                  <c:pt idx="7">
                    <c:v>0.22815151467000083</c:v>
                  </c:pt>
                  <c:pt idx="9">
                    <c:v>0.24255558347246836</c:v>
                  </c:pt>
                  <c:pt idx="11">
                    <c:v>0.36236618919375735</c:v>
                  </c:pt>
                  <c:pt idx="1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SuppSheet15!$C$6:$C$20</c:f>
              <c:numCache>
                <c:formatCode>0.0</c:formatCode>
                <c:ptCount val="15"/>
                <c:pt idx="0">
                  <c:v>0</c:v>
                </c:pt>
                <c:pt idx="1">
                  <c:v>4.21666666661622</c:v>
                </c:pt>
                <c:pt idx="2">
                  <c:v>8.8833333333022892</c:v>
                </c:pt>
                <c:pt idx="3">
                  <c:v>12.550000000046566</c:v>
                </c:pt>
                <c:pt idx="4">
                  <c:v>16.666666666686069</c:v>
                </c:pt>
                <c:pt idx="5">
                  <c:v>22.099999999918509</c:v>
                </c:pt>
                <c:pt idx="6">
                  <c:v>26.299999999988358</c:v>
                </c:pt>
                <c:pt idx="7">
                  <c:v>34.466666666558012</c:v>
                </c:pt>
                <c:pt idx="8">
                  <c:v>49.799999999930151</c:v>
                </c:pt>
                <c:pt idx="9">
                  <c:v>63.799999999988358</c:v>
                </c:pt>
                <c:pt idx="10">
                  <c:v>81.449999999895226</c:v>
                </c:pt>
                <c:pt idx="11">
                  <c:v>106.14999999990687</c:v>
                </c:pt>
                <c:pt idx="12">
                  <c:v>145.91666666662786</c:v>
                </c:pt>
                <c:pt idx="13">
                  <c:v>175.8833333333605</c:v>
                </c:pt>
                <c:pt idx="14">
                  <c:v>243.13333333324408</c:v>
                </c:pt>
              </c:numCache>
            </c:numRef>
          </c:xVal>
          <c:yVal>
            <c:numRef>
              <c:f>SuppSheet15!$AP$6:$AP$20</c:f>
              <c:numCache>
                <c:formatCode>0.00</c:formatCode>
                <c:ptCount val="15"/>
                <c:pt idx="0">
                  <c:v>5.9330588284973784E-2</c:v>
                </c:pt>
                <c:pt idx="1">
                  <c:v>1.1601430316004564</c:v>
                </c:pt>
                <c:pt idx="2">
                  <c:v>3.906912243878105</c:v>
                </c:pt>
                <c:pt idx="3">
                  <c:v>4.2790610849620592</c:v>
                </c:pt>
                <c:pt idx="4">
                  <c:v>4.0964567243356127</c:v>
                </c:pt>
                <c:pt idx="5">
                  <c:v>3.1334999785938749</c:v>
                </c:pt>
                <c:pt idx="7">
                  <c:v>1.9342159430891837</c:v>
                </c:pt>
                <c:pt idx="9">
                  <c:v>1.2332358898628375</c:v>
                </c:pt>
                <c:pt idx="11">
                  <c:v>0.47706741342352815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F3-45BB-9B87-FF61454CAC4A}"/>
            </c:ext>
          </c:extLst>
        </c:ser>
        <c:ser>
          <c:idx val="4"/>
          <c:order val="4"/>
          <c:tx>
            <c:v>acetate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SuppSheet15!$BB$6:$BB$20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6.9587938144861791E-2</c:v>
                  </c:pt>
                  <c:pt idx="7">
                    <c:v>0.25939458681091565</c:v>
                  </c:pt>
                  <c:pt idx="9">
                    <c:v>0.5263282455257543</c:v>
                  </c:pt>
                  <c:pt idx="11">
                    <c:v>0.27539262225315009</c:v>
                  </c:pt>
                  <c:pt idx="14">
                    <c:v>0.28304026432577023</c:v>
                  </c:pt>
                </c:numCache>
              </c:numRef>
            </c:plus>
            <c:minus>
              <c:numRef>
                <c:f>SuppSheet15!$BB$6:$BB$20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6.9587938144861791E-2</c:v>
                  </c:pt>
                  <c:pt idx="7">
                    <c:v>0.25939458681091565</c:v>
                  </c:pt>
                  <c:pt idx="9">
                    <c:v>0.5263282455257543</c:v>
                  </c:pt>
                  <c:pt idx="11">
                    <c:v>0.27539262225315009</c:v>
                  </c:pt>
                  <c:pt idx="14">
                    <c:v>0.28304026432577023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SuppSheet15!$C$6:$C$20</c:f>
              <c:numCache>
                <c:formatCode>0.0</c:formatCode>
                <c:ptCount val="15"/>
                <c:pt idx="0">
                  <c:v>0</c:v>
                </c:pt>
                <c:pt idx="1">
                  <c:v>4.21666666661622</c:v>
                </c:pt>
                <c:pt idx="2">
                  <c:v>8.8833333333022892</c:v>
                </c:pt>
                <c:pt idx="3">
                  <c:v>12.550000000046566</c:v>
                </c:pt>
                <c:pt idx="4">
                  <c:v>16.666666666686069</c:v>
                </c:pt>
                <c:pt idx="5">
                  <c:v>22.099999999918509</c:v>
                </c:pt>
                <c:pt idx="6">
                  <c:v>26.299999999988358</c:v>
                </c:pt>
                <c:pt idx="7">
                  <c:v>34.466666666558012</c:v>
                </c:pt>
                <c:pt idx="8">
                  <c:v>49.799999999930151</c:v>
                </c:pt>
                <c:pt idx="9">
                  <c:v>63.799999999988358</c:v>
                </c:pt>
                <c:pt idx="10">
                  <c:v>81.449999999895226</c:v>
                </c:pt>
                <c:pt idx="11">
                  <c:v>106.14999999990687</c:v>
                </c:pt>
                <c:pt idx="12">
                  <c:v>145.91666666662786</c:v>
                </c:pt>
                <c:pt idx="13">
                  <c:v>175.8833333333605</c:v>
                </c:pt>
                <c:pt idx="14">
                  <c:v>243.13333333324408</c:v>
                </c:pt>
              </c:numCache>
            </c:numRef>
          </c:xVal>
          <c:yVal>
            <c:numRef>
              <c:f>SuppSheet15!$BA$6:$BA$20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0.22265016542893065</c:v>
                </c:pt>
                <c:pt idx="7">
                  <c:v>0.50560416889970106</c:v>
                </c:pt>
                <c:pt idx="9">
                  <c:v>0.30387575423639768</c:v>
                </c:pt>
                <c:pt idx="11">
                  <c:v>0.15899800459069313</c:v>
                </c:pt>
                <c:pt idx="14">
                  <c:v>0.70050351999103677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F3-45BB-9B87-FF61454CA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799320"/>
        <c:axId val="755803912"/>
      </c:scatterChart>
      <c:scatterChart>
        <c:scatterStyle val="lineMarker"/>
        <c:varyColors val="0"/>
        <c:ser>
          <c:idx val="0"/>
          <c:order val="0"/>
          <c:tx>
            <c:v>OD600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SuppSheet15!$O$6:$O$20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9.9212778795426323E-4</c:v>
                  </c:pt>
                  <c:pt idx="2">
                    <c:v>2.271431521844728E-3</c:v>
                  </c:pt>
                  <c:pt idx="3">
                    <c:v>3.1403873301253564E-3</c:v>
                  </c:pt>
                  <c:pt idx="4">
                    <c:v>5.398456073843004E-3</c:v>
                  </c:pt>
                  <c:pt idx="5">
                    <c:v>2.5515819221269997E-2</c:v>
                  </c:pt>
                  <c:pt idx="6">
                    <c:v>2.9950236262524639E-2</c:v>
                  </c:pt>
                  <c:pt idx="7">
                    <c:v>3.5342014954734713E-2</c:v>
                  </c:pt>
                  <c:pt idx="8">
                    <c:v>4.2326135648505722E-2</c:v>
                  </c:pt>
                  <c:pt idx="9">
                    <c:v>4.5299458024632644E-2</c:v>
                  </c:pt>
                  <c:pt idx="10">
                    <c:v>5.3458745102126282E-2</c:v>
                  </c:pt>
                  <c:pt idx="11">
                    <c:v>5.7963357611136954E-2</c:v>
                  </c:pt>
                  <c:pt idx="12">
                    <c:v>5.8565160516213056E-2</c:v>
                  </c:pt>
                  <c:pt idx="13">
                    <c:v>6.0848735027762536E-2</c:v>
                  </c:pt>
                  <c:pt idx="14">
                    <c:v>7.1137438869404906E-2</c:v>
                  </c:pt>
                </c:numCache>
              </c:numRef>
            </c:plus>
            <c:minus>
              <c:numRef>
                <c:f>SuppSheet15!$O$6:$O$20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9.9212778795426323E-4</c:v>
                  </c:pt>
                  <c:pt idx="2">
                    <c:v>2.271431521844728E-3</c:v>
                  </c:pt>
                  <c:pt idx="3">
                    <c:v>3.1403873301253564E-3</c:v>
                  </c:pt>
                  <c:pt idx="4">
                    <c:v>5.398456073843004E-3</c:v>
                  </c:pt>
                  <c:pt idx="5">
                    <c:v>2.5515819221269997E-2</c:v>
                  </c:pt>
                  <c:pt idx="6">
                    <c:v>2.9950236262524639E-2</c:v>
                  </c:pt>
                  <c:pt idx="7">
                    <c:v>3.5342014954734713E-2</c:v>
                  </c:pt>
                  <c:pt idx="8">
                    <c:v>4.2326135648505722E-2</c:v>
                  </c:pt>
                  <c:pt idx="9">
                    <c:v>4.5299458024632644E-2</c:v>
                  </c:pt>
                  <c:pt idx="10">
                    <c:v>5.3458745102126282E-2</c:v>
                  </c:pt>
                  <c:pt idx="11">
                    <c:v>5.7963357611136954E-2</c:v>
                  </c:pt>
                  <c:pt idx="12">
                    <c:v>5.8565160516213056E-2</c:v>
                  </c:pt>
                  <c:pt idx="13">
                    <c:v>6.0848735027762536E-2</c:v>
                  </c:pt>
                  <c:pt idx="14">
                    <c:v>7.1137438869404906E-2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SuppSheet15!$C$6:$C$20</c:f>
              <c:numCache>
                <c:formatCode>0.0</c:formatCode>
                <c:ptCount val="15"/>
                <c:pt idx="0">
                  <c:v>0</c:v>
                </c:pt>
                <c:pt idx="1">
                  <c:v>4.21666666661622</c:v>
                </c:pt>
                <c:pt idx="2">
                  <c:v>8.8833333333022892</c:v>
                </c:pt>
                <c:pt idx="3">
                  <c:v>12.550000000046566</c:v>
                </c:pt>
                <c:pt idx="4">
                  <c:v>16.666666666686069</c:v>
                </c:pt>
                <c:pt idx="5">
                  <c:v>22.099999999918509</c:v>
                </c:pt>
                <c:pt idx="6">
                  <c:v>26.299999999988358</c:v>
                </c:pt>
                <c:pt idx="7">
                  <c:v>34.466666666558012</c:v>
                </c:pt>
                <c:pt idx="8">
                  <c:v>49.799999999930151</c:v>
                </c:pt>
                <c:pt idx="9">
                  <c:v>63.799999999988358</c:v>
                </c:pt>
                <c:pt idx="10">
                  <c:v>81.449999999895226</c:v>
                </c:pt>
                <c:pt idx="11">
                  <c:v>106.14999999990687</c:v>
                </c:pt>
                <c:pt idx="12">
                  <c:v>145.91666666662786</c:v>
                </c:pt>
                <c:pt idx="13">
                  <c:v>175.8833333333605</c:v>
                </c:pt>
                <c:pt idx="14">
                  <c:v>243.13333333324408</c:v>
                </c:pt>
              </c:numCache>
            </c:numRef>
          </c:xVal>
          <c:yVal>
            <c:numRef>
              <c:f>SuppSheet15!$N$6:$N$20</c:f>
              <c:numCache>
                <c:formatCode>0.000</c:formatCode>
                <c:ptCount val="15"/>
                <c:pt idx="0">
                  <c:v>2.1000000000000001E-2</c:v>
                </c:pt>
                <c:pt idx="1">
                  <c:v>3.2740217002490614E-2</c:v>
                </c:pt>
                <c:pt idx="2">
                  <c:v>6.5570580029142775E-2</c:v>
                </c:pt>
                <c:pt idx="3">
                  <c:v>6.610552827089379E-2</c:v>
                </c:pt>
                <c:pt idx="4">
                  <c:v>8.0476080690530624E-2</c:v>
                </c:pt>
                <c:pt idx="5">
                  <c:v>0.15329180012612478</c:v>
                </c:pt>
                <c:pt idx="6">
                  <c:v>0.17722897452673092</c:v>
                </c:pt>
                <c:pt idx="7">
                  <c:v>0.1965834520670007</c:v>
                </c:pt>
                <c:pt idx="8">
                  <c:v>0.21395054215892886</c:v>
                </c:pt>
                <c:pt idx="9">
                  <c:v>0.22439372452228742</c:v>
                </c:pt>
                <c:pt idx="10">
                  <c:v>0.23498444565112531</c:v>
                </c:pt>
                <c:pt idx="11">
                  <c:v>0.24505169959652517</c:v>
                </c:pt>
                <c:pt idx="12">
                  <c:v>0.25263275361232246</c:v>
                </c:pt>
                <c:pt idx="13">
                  <c:v>0.26371804964554574</c:v>
                </c:pt>
                <c:pt idx="14">
                  <c:v>0.31583458423730482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F3-45BB-9B87-FF61454CA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595424"/>
        <c:axId val="788521952"/>
      </c:scatterChart>
      <c:valAx>
        <c:axId val="7557993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803912"/>
        <c:crosses val="autoZero"/>
        <c:crossBetween val="midCat"/>
      </c:valAx>
      <c:valAx>
        <c:axId val="75580391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Metabolites (mM) or</a:t>
                </a:r>
                <a:r>
                  <a:rPr lang="en-US" baseline="0"/>
                  <a:t> pH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99320"/>
        <c:crosses val="autoZero"/>
        <c:crossBetween val="midCat"/>
      </c:valAx>
      <c:valAx>
        <c:axId val="788521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95424"/>
        <c:crosses val="max"/>
        <c:crossBetween val="midCat"/>
      </c:valAx>
      <c:valAx>
        <c:axId val="7885954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78852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SuppSheet15!$CB$6:$CB$20</c:f>
                <c:numCache>
                  <c:formatCode>General</c:formatCode>
                  <c:ptCount val="15"/>
                  <c:pt idx="0">
                    <c:v>4.3833516795583685E-3</c:v>
                  </c:pt>
                  <c:pt idx="3">
                    <c:v>4.4115771133268353E-2</c:v>
                  </c:pt>
                  <c:pt idx="6">
                    <c:v>3.3445291499383092E-2</c:v>
                  </c:pt>
                  <c:pt idx="8">
                    <c:v>0.1491646726415283</c:v>
                  </c:pt>
                  <c:pt idx="10">
                    <c:v>0.11407476581458821</c:v>
                  </c:pt>
                  <c:pt idx="13">
                    <c:v>0.51582751195898391</c:v>
                  </c:pt>
                </c:numCache>
              </c:numRef>
            </c:plus>
            <c:minus>
              <c:numRef>
                <c:f>SuppSheet15!$CB$6:$CB$20</c:f>
                <c:numCache>
                  <c:formatCode>General</c:formatCode>
                  <c:ptCount val="15"/>
                  <c:pt idx="0">
                    <c:v>4.3833516795583685E-3</c:v>
                  </c:pt>
                  <c:pt idx="3">
                    <c:v>4.4115771133268353E-2</c:v>
                  </c:pt>
                  <c:pt idx="6">
                    <c:v>3.3445291499383092E-2</c:v>
                  </c:pt>
                  <c:pt idx="8">
                    <c:v>0.1491646726415283</c:v>
                  </c:pt>
                  <c:pt idx="10">
                    <c:v>0.11407476581458821</c:v>
                  </c:pt>
                  <c:pt idx="13">
                    <c:v>0.51582751195898391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SuppSheet15!$C$6:$C$20</c:f>
              <c:numCache>
                <c:formatCode>0.0</c:formatCode>
                <c:ptCount val="15"/>
                <c:pt idx="0">
                  <c:v>0</c:v>
                </c:pt>
                <c:pt idx="1">
                  <c:v>4.21666666661622</c:v>
                </c:pt>
                <c:pt idx="2">
                  <c:v>8.8833333333022892</c:v>
                </c:pt>
                <c:pt idx="3">
                  <c:v>12.550000000046566</c:v>
                </c:pt>
                <c:pt idx="4">
                  <c:v>16.666666666686069</c:v>
                </c:pt>
                <c:pt idx="5">
                  <c:v>22.099999999918509</c:v>
                </c:pt>
                <c:pt idx="6">
                  <c:v>26.299999999988358</c:v>
                </c:pt>
                <c:pt idx="7">
                  <c:v>34.466666666558012</c:v>
                </c:pt>
                <c:pt idx="8">
                  <c:v>49.799999999930151</c:v>
                </c:pt>
                <c:pt idx="9">
                  <c:v>63.799999999988358</c:v>
                </c:pt>
                <c:pt idx="10">
                  <c:v>81.449999999895226</c:v>
                </c:pt>
                <c:pt idx="11">
                  <c:v>106.14999999990687</c:v>
                </c:pt>
                <c:pt idx="12">
                  <c:v>145.91666666662786</c:v>
                </c:pt>
                <c:pt idx="13">
                  <c:v>175.8833333333605</c:v>
                </c:pt>
                <c:pt idx="14">
                  <c:v>243.13333333324408</c:v>
                </c:pt>
              </c:numCache>
            </c:numRef>
          </c:xVal>
          <c:yVal>
            <c:numRef>
              <c:f>SuppSheet15!$CA$6:$CA$20</c:f>
              <c:numCache>
                <c:formatCode>0.00</c:formatCode>
                <c:ptCount val="15"/>
                <c:pt idx="0">
                  <c:v>0.9206879084967321</c:v>
                </c:pt>
                <c:pt idx="3">
                  <c:v>0.92343519532676155</c:v>
                </c:pt>
                <c:pt idx="6">
                  <c:v>4.5078401948630963E-2</c:v>
                </c:pt>
                <c:pt idx="8">
                  <c:v>2.8156775517630822E-2</c:v>
                </c:pt>
                <c:pt idx="10">
                  <c:v>-0.11110676811896324</c:v>
                </c:pt>
                <c:pt idx="13">
                  <c:v>-0.46224008164306674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5-4517-8F41-73CD1586AF71}"/>
            </c:ext>
          </c:extLst>
        </c:ser>
        <c:ser>
          <c:idx val="1"/>
          <c:order val="1"/>
          <c:tx>
            <c:v>403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SuppSheet15!$CG$6:$CG$20</c:f>
                <c:numCache>
                  <c:formatCode>General</c:formatCode>
                  <c:ptCount val="15"/>
                  <c:pt idx="0">
                    <c:v>4.3833516795583677E-3</c:v>
                  </c:pt>
                  <c:pt idx="3">
                    <c:v>4.4115771133268332E-2</c:v>
                  </c:pt>
                  <c:pt idx="6">
                    <c:v>3.3445291499383099E-2</c:v>
                  </c:pt>
                  <c:pt idx="8">
                    <c:v>0.14916467264152747</c:v>
                  </c:pt>
                  <c:pt idx="10">
                    <c:v>0.11407476581458824</c:v>
                  </c:pt>
                  <c:pt idx="13">
                    <c:v>0.51582751195898324</c:v>
                  </c:pt>
                </c:numCache>
              </c:numRef>
            </c:plus>
            <c:minus>
              <c:numRef>
                <c:f>SuppSheet15!$CG$6:$CG$20</c:f>
                <c:numCache>
                  <c:formatCode>General</c:formatCode>
                  <c:ptCount val="15"/>
                  <c:pt idx="0">
                    <c:v>4.3833516795583677E-3</c:v>
                  </c:pt>
                  <c:pt idx="3">
                    <c:v>4.4115771133268332E-2</c:v>
                  </c:pt>
                  <c:pt idx="6">
                    <c:v>3.3445291499383099E-2</c:v>
                  </c:pt>
                  <c:pt idx="8">
                    <c:v>0.14916467264152747</c:v>
                  </c:pt>
                  <c:pt idx="10">
                    <c:v>0.11407476581458824</c:v>
                  </c:pt>
                  <c:pt idx="13">
                    <c:v>0.51582751195898324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SuppSheet15!$C$6:$C$20</c:f>
              <c:numCache>
                <c:formatCode>0.0</c:formatCode>
                <c:ptCount val="15"/>
                <c:pt idx="0">
                  <c:v>0</c:v>
                </c:pt>
                <c:pt idx="1">
                  <c:v>4.21666666661622</c:v>
                </c:pt>
                <c:pt idx="2">
                  <c:v>8.8833333333022892</c:v>
                </c:pt>
                <c:pt idx="3">
                  <c:v>12.550000000046566</c:v>
                </c:pt>
                <c:pt idx="4">
                  <c:v>16.666666666686069</c:v>
                </c:pt>
                <c:pt idx="5">
                  <c:v>22.099999999918509</c:v>
                </c:pt>
                <c:pt idx="6">
                  <c:v>26.299999999988358</c:v>
                </c:pt>
                <c:pt idx="7">
                  <c:v>34.466666666558012</c:v>
                </c:pt>
                <c:pt idx="8">
                  <c:v>49.799999999930151</c:v>
                </c:pt>
                <c:pt idx="9">
                  <c:v>63.799999999988358</c:v>
                </c:pt>
                <c:pt idx="10">
                  <c:v>81.449999999895226</c:v>
                </c:pt>
                <c:pt idx="11">
                  <c:v>106.14999999990687</c:v>
                </c:pt>
                <c:pt idx="12">
                  <c:v>145.91666666662786</c:v>
                </c:pt>
                <c:pt idx="13">
                  <c:v>175.8833333333605</c:v>
                </c:pt>
                <c:pt idx="14">
                  <c:v>243.13333333324408</c:v>
                </c:pt>
              </c:numCache>
            </c:numRef>
          </c:xVal>
          <c:yVal>
            <c:numRef>
              <c:f>SuppSheet15!$CF$6:$CF$20</c:f>
              <c:numCache>
                <c:formatCode>0.00</c:formatCode>
                <c:ptCount val="15"/>
                <c:pt idx="0">
                  <c:v>7.931209150326797E-2</c:v>
                </c:pt>
                <c:pt idx="3">
                  <c:v>7.656480467323841E-2</c:v>
                </c:pt>
                <c:pt idx="6">
                  <c:v>0.954921598051369</c:v>
                </c:pt>
                <c:pt idx="8">
                  <c:v>0.97184322448236926</c:v>
                </c:pt>
                <c:pt idx="10">
                  <c:v>1.1111067681189633</c:v>
                </c:pt>
                <c:pt idx="13">
                  <c:v>1.4622400816430667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5-4517-8F41-73CD1586A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05712"/>
        <c:axId val="520697840"/>
      </c:scatterChart>
      <c:valAx>
        <c:axId val="52070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97840"/>
        <c:crosses val="autoZero"/>
        <c:crossBetween val="midCat"/>
      </c:valAx>
      <c:valAx>
        <c:axId val="5206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0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MG1655WT no glucose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388446676821701"/>
          <c:y val="0.16817246812891501"/>
          <c:w val="0.80241280429046702"/>
          <c:h val="0.72309122629489697"/>
        </c:manualLayout>
      </c:layout>
      <c:scatterChart>
        <c:scatterStyle val="lineMarker"/>
        <c:varyColors val="0"/>
        <c:ser>
          <c:idx val="0"/>
          <c:order val="0"/>
          <c:tx>
            <c:v>pH=6.9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[1]Data!$AG$6:$AG$14</c:f>
                <c:numCache>
                  <c:formatCode>General</c:formatCode>
                  <c:ptCount val="9"/>
                  <c:pt idx="0">
                    <c:v>4.7173438854225301E-3</c:v>
                  </c:pt>
                  <c:pt idx="1">
                    <c:v>3.0446674695276681E-3</c:v>
                  </c:pt>
                  <c:pt idx="2">
                    <c:v>1.9924858845171245E-3</c:v>
                  </c:pt>
                  <c:pt idx="3">
                    <c:v>2.2516660498395485E-3</c:v>
                  </c:pt>
                  <c:pt idx="4">
                    <c:v>5.084617324178216E-3</c:v>
                  </c:pt>
                  <c:pt idx="5">
                    <c:v>2.7712812921102193E-3</c:v>
                  </c:pt>
                  <c:pt idx="6">
                    <c:v>3.667878587594384E-3</c:v>
                  </c:pt>
                  <c:pt idx="7">
                    <c:v>9.5007017284689816E-3</c:v>
                  </c:pt>
                  <c:pt idx="8">
                    <c:v>4.1476901202155058E-3</c:v>
                  </c:pt>
                </c:numCache>
              </c:numRef>
            </c:plus>
            <c:minus>
              <c:numRef>
                <c:f>[1]Data!$AG$6:$AG$14</c:f>
                <c:numCache>
                  <c:formatCode>General</c:formatCode>
                  <c:ptCount val="9"/>
                  <c:pt idx="0">
                    <c:v>4.7173438854225301E-3</c:v>
                  </c:pt>
                  <c:pt idx="1">
                    <c:v>3.0446674695276681E-3</c:v>
                  </c:pt>
                  <c:pt idx="2">
                    <c:v>1.9924858845171245E-3</c:v>
                  </c:pt>
                  <c:pt idx="3">
                    <c:v>2.2516660498395485E-3</c:v>
                  </c:pt>
                  <c:pt idx="4">
                    <c:v>5.084617324178216E-3</c:v>
                  </c:pt>
                  <c:pt idx="5">
                    <c:v>2.7712812921102193E-3</c:v>
                  </c:pt>
                  <c:pt idx="6">
                    <c:v>3.667878587594384E-3</c:v>
                  </c:pt>
                  <c:pt idx="7">
                    <c:v>9.5007017284689816E-3</c:v>
                  </c:pt>
                  <c:pt idx="8">
                    <c:v>4.1476901202155058E-3</c:v>
                  </c:pt>
                </c:numCache>
              </c:numRef>
            </c:minus>
          </c:errBars>
          <c:xVal>
            <c:numRef>
              <c:f>[1]Data!$AE$6:$AE$14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0.17499999999999999</c:v>
                </c:pt>
                <c:pt idx="3">
                  <c:v>0.35</c:v>
                </c:pt>
                <c:pt idx="4">
                  <c:v>0.7</c:v>
                </c:pt>
                <c:pt idx="5">
                  <c:v>1.4</c:v>
                </c:pt>
                <c:pt idx="6">
                  <c:v>3.5</c:v>
                </c:pt>
                <c:pt idx="7">
                  <c:v>5.6</c:v>
                </c:pt>
                <c:pt idx="8">
                  <c:v>7</c:v>
                </c:pt>
              </c:numCache>
            </c:numRef>
          </c:xVal>
          <c:yVal>
            <c:numRef>
              <c:f>[1]Data!$AF$6:$AF$14</c:f>
              <c:numCache>
                <c:formatCode>General</c:formatCode>
                <c:ptCount val="9"/>
                <c:pt idx="0">
                  <c:v>-3.5333333333333332E-3</c:v>
                </c:pt>
                <c:pt idx="1">
                  <c:v>7.5200000000000003E-2</c:v>
                </c:pt>
                <c:pt idx="2">
                  <c:v>9.3600000000000003E-2</c:v>
                </c:pt>
                <c:pt idx="3">
                  <c:v>0.12839999999999999</c:v>
                </c:pt>
                <c:pt idx="4">
                  <c:v>0.21106666666666665</c:v>
                </c:pt>
                <c:pt idx="5">
                  <c:v>0.2056</c:v>
                </c:pt>
                <c:pt idx="6">
                  <c:v>0.16056666666666666</c:v>
                </c:pt>
                <c:pt idx="7">
                  <c:v>0.12893333333333334</c:v>
                </c:pt>
                <c:pt idx="8">
                  <c:v>9.853333333333332E-2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2-4B23-9AC5-0BA2129457B0}"/>
            </c:ext>
          </c:extLst>
        </c:ser>
        <c:ser>
          <c:idx val="1"/>
          <c:order val="1"/>
          <c:tx>
            <c:v>pH=6.0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[1]Data!$AN$6:$AN$14</c:f>
                <c:numCache>
                  <c:formatCode>General</c:formatCode>
                  <c:ptCount val="9"/>
                  <c:pt idx="0">
                    <c:v>1.4797634946166227E-2</c:v>
                  </c:pt>
                  <c:pt idx="1">
                    <c:v>8.4480767041972323E-3</c:v>
                  </c:pt>
                  <c:pt idx="2">
                    <c:v>6.1611687202997433E-3</c:v>
                  </c:pt>
                  <c:pt idx="3">
                    <c:v>3.2624121954978927E-3</c:v>
                  </c:pt>
                  <c:pt idx="4">
                    <c:v>2.8513154858766558E-3</c:v>
                  </c:pt>
                  <c:pt idx="5">
                    <c:v>7.563949585589088E-3</c:v>
                  </c:pt>
                  <c:pt idx="6">
                    <c:v>3.8157568056677808E-3</c:v>
                  </c:pt>
                  <c:pt idx="7">
                    <c:v>8.3715789032495803E-3</c:v>
                  </c:pt>
                  <c:pt idx="8">
                    <c:v>1.5071828024496565E-2</c:v>
                  </c:pt>
                </c:numCache>
              </c:numRef>
            </c:plus>
            <c:minus>
              <c:numRef>
                <c:f>[1]Data!$AN$6:$AN$14</c:f>
                <c:numCache>
                  <c:formatCode>General</c:formatCode>
                  <c:ptCount val="9"/>
                  <c:pt idx="0">
                    <c:v>1.4797634946166227E-2</c:v>
                  </c:pt>
                  <c:pt idx="1">
                    <c:v>8.4480767041972323E-3</c:v>
                  </c:pt>
                  <c:pt idx="2">
                    <c:v>6.1611687202997433E-3</c:v>
                  </c:pt>
                  <c:pt idx="3">
                    <c:v>3.2624121954978927E-3</c:v>
                  </c:pt>
                  <c:pt idx="4">
                    <c:v>2.8513154858766558E-3</c:v>
                  </c:pt>
                  <c:pt idx="5">
                    <c:v>7.563949585589088E-3</c:v>
                  </c:pt>
                  <c:pt idx="6">
                    <c:v>3.8157568056677808E-3</c:v>
                  </c:pt>
                  <c:pt idx="7">
                    <c:v>8.3715789032495803E-3</c:v>
                  </c:pt>
                  <c:pt idx="8">
                    <c:v>1.5071828024496565E-2</c:v>
                  </c:pt>
                </c:numCache>
              </c:numRef>
            </c:minus>
          </c:errBars>
          <c:xVal>
            <c:numRef>
              <c:f>[1]Data!$AL$6:$AL$14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0.17499999999999999</c:v>
                </c:pt>
                <c:pt idx="3">
                  <c:v>0.35</c:v>
                </c:pt>
                <c:pt idx="4">
                  <c:v>0.7</c:v>
                </c:pt>
                <c:pt idx="5">
                  <c:v>1.4</c:v>
                </c:pt>
                <c:pt idx="6">
                  <c:v>3.5</c:v>
                </c:pt>
                <c:pt idx="7">
                  <c:v>5.6</c:v>
                </c:pt>
                <c:pt idx="8">
                  <c:v>7</c:v>
                </c:pt>
              </c:numCache>
            </c:numRef>
          </c:xVal>
          <c:yVal>
            <c:numRef>
              <c:f>[1]Data!$AM$6:$AM$14</c:f>
              <c:numCache>
                <c:formatCode>General</c:formatCode>
                <c:ptCount val="9"/>
                <c:pt idx="0">
                  <c:v>6.8000000000000005E-3</c:v>
                </c:pt>
                <c:pt idx="1">
                  <c:v>0.1368</c:v>
                </c:pt>
                <c:pt idx="2">
                  <c:v>0.2016</c:v>
                </c:pt>
                <c:pt idx="3">
                  <c:v>0.19266666666666665</c:v>
                </c:pt>
                <c:pt idx="4">
                  <c:v>0.14419999999999999</c:v>
                </c:pt>
                <c:pt idx="5">
                  <c:v>8.0166666666666664E-2</c:v>
                </c:pt>
                <c:pt idx="6">
                  <c:v>5.7100000000000005E-2</c:v>
                </c:pt>
                <c:pt idx="7">
                  <c:v>3.0533333333333332E-2</c:v>
                </c:pt>
                <c:pt idx="8">
                  <c:v>8.3999999999999995E-3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2-4B23-9AC5-0BA2129457B0}"/>
            </c:ext>
          </c:extLst>
        </c:ser>
        <c:ser>
          <c:idx val="2"/>
          <c:order val="2"/>
          <c:tx>
            <c:v>pH=5.0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00B05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[1]Data!$AU$17:$AU$25</c:f>
                <c:numCache>
                  <c:formatCode>General</c:formatCode>
                  <c:ptCount val="9"/>
                  <c:pt idx="0">
                    <c:v>4.0000000000000001E-3</c:v>
                  </c:pt>
                  <c:pt idx="1">
                    <c:v>1E-3</c:v>
                  </c:pt>
                  <c:pt idx="2">
                    <c:v>0</c:v>
                  </c:pt>
                  <c:pt idx="3">
                    <c:v>2E-3</c:v>
                  </c:pt>
                  <c:pt idx="4">
                    <c:v>5.0000000000000001E-3</c:v>
                  </c:pt>
                  <c:pt idx="5">
                    <c:v>7.0000000000000001E-3</c:v>
                  </c:pt>
                  <c:pt idx="6">
                    <c:v>4.0000000000000001E-3</c:v>
                  </c:pt>
                  <c:pt idx="7">
                    <c:v>4.0000000000000001E-3</c:v>
                  </c:pt>
                  <c:pt idx="8">
                    <c:v>2E-3</c:v>
                  </c:pt>
                </c:numCache>
              </c:numRef>
            </c:plus>
            <c:minus>
              <c:numRef>
                <c:f>[1]Data!$AU$17:$AU$25</c:f>
                <c:numCache>
                  <c:formatCode>General</c:formatCode>
                  <c:ptCount val="9"/>
                  <c:pt idx="0">
                    <c:v>4.0000000000000001E-3</c:v>
                  </c:pt>
                  <c:pt idx="1">
                    <c:v>1E-3</c:v>
                  </c:pt>
                  <c:pt idx="2">
                    <c:v>0</c:v>
                  </c:pt>
                  <c:pt idx="3">
                    <c:v>2E-3</c:v>
                  </c:pt>
                  <c:pt idx="4">
                    <c:v>5.0000000000000001E-3</c:v>
                  </c:pt>
                  <c:pt idx="5">
                    <c:v>7.0000000000000001E-3</c:v>
                  </c:pt>
                  <c:pt idx="6">
                    <c:v>4.0000000000000001E-3</c:v>
                  </c:pt>
                  <c:pt idx="7">
                    <c:v>4.0000000000000001E-3</c:v>
                  </c:pt>
                  <c:pt idx="8">
                    <c:v>2E-3</c:v>
                  </c:pt>
                </c:numCache>
              </c:numRef>
            </c:minus>
          </c:errBars>
          <c:xVal>
            <c:numRef>
              <c:f>[1]Data!$AS$6:$AS$14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0.17499999999999999</c:v>
                </c:pt>
                <c:pt idx="3">
                  <c:v>0.35</c:v>
                </c:pt>
                <c:pt idx="4">
                  <c:v>0.7</c:v>
                </c:pt>
                <c:pt idx="5">
                  <c:v>1.4</c:v>
                </c:pt>
                <c:pt idx="6">
                  <c:v>3.5</c:v>
                </c:pt>
                <c:pt idx="7">
                  <c:v>5.6</c:v>
                </c:pt>
                <c:pt idx="8">
                  <c:v>7</c:v>
                </c:pt>
              </c:numCache>
            </c:numRef>
          </c:xVal>
          <c:yVal>
            <c:numRef>
              <c:f>[1]Data!$AT$6:$AT$14</c:f>
              <c:numCache>
                <c:formatCode>General</c:formatCode>
                <c:ptCount val="9"/>
                <c:pt idx="0">
                  <c:v>-2.8999999999999998E-3</c:v>
                </c:pt>
                <c:pt idx="1">
                  <c:v>0.11720000000000001</c:v>
                </c:pt>
                <c:pt idx="3">
                  <c:v>6.4899999999999999E-2</c:v>
                </c:pt>
                <c:pt idx="4">
                  <c:v>4.7166666666666662E-2</c:v>
                </c:pt>
                <c:pt idx="5">
                  <c:v>2.8266666666666666E-2</c:v>
                </c:pt>
                <c:pt idx="6">
                  <c:v>-1.1666666666666665E-2</c:v>
                </c:pt>
                <c:pt idx="7">
                  <c:v>-6.3333333333333332E-3</c:v>
                </c:pt>
                <c:pt idx="8">
                  <c:v>-4.3333333333333297E-3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2-4B23-9AC5-0BA21294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04544"/>
        <c:axId val="547405120"/>
      </c:scatterChart>
      <c:valAx>
        <c:axId val="547404544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 Concentration (g/L)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405120"/>
        <c:crosses val="autoZero"/>
        <c:crossBetween val="midCat"/>
      </c:valAx>
      <c:valAx>
        <c:axId val="5474051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Avg Mu (1/h)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404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80977194886901"/>
          <c:y val="0.10014783126386299"/>
          <c:w val="0.1273786886953"/>
          <c:h val="0.325473322590656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Abiotic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29877515310586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SuppSheet16!$C$6:$C$16</c:f>
              <c:numCache>
                <c:formatCode>0.0</c:formatCode>
                <c:ptCount val="11"/>
                <c:pt idx="0">
                  <c:v>0</c:v>
                </c:pt>
                <c:pt idx="1">
                  <c:v>4.6333333332440816</c:v>
                </c:pt>
                <c:pt idx="2">
                  <c:v>10.849999999918509</c:v>
                </c:pt>
                <c:pt idx="3">
                  <c:v>15.949999999953434</c:v>
                </c:pt>
                <c:pt idx="4">
                  <c:v>26.266666666546371</c:v>
                </c:pt>
                <c:pt idx="5">
                  <c:v>39.266666666662786</c:v>
                </c:pt>
                <c:pt idx="6">
                  <c:v>56.349999999976717</c:v>
                </c:pt>
                <c:pt idx="7">
                  <c:v>81.583333333313931</c:v>
                </c:pt>
                <c:pt idx="8">
                  <c:v>122.08333333331393</c:v>
                </c:pt>
                <c:pt idx="9">
                  <c:v>152.46666666667443</c:v>
                </c:pt>
                <c:pt idx="10">
                  <c:v>219.31666666665114</c:v>
                </c:pt>
              </c:numCache>
            </c:numRef>
          </c:xVal>
          <c:yVal>
            <c:numRef>
              <c:f>SuppSheet16!$Y$6:$Y$16</c:f>
              <c:numCache>
                <c:formatCode>0.00</c:formatCode>
                <c:ptCount val="11"/>
                <c:pt idx="0">
                  <c:v>26.644667794629264</c:v>
                </c:pt>
                <c:pt idx="1">
                  <c:v>27.589841749951859</c:v>
                </c:pt>
                <c:pt idx="2">
                  <c:v>27.64613820552718</c:v>
                </c:pt>
                <c:pt idx="3">
                  <c:v>27.895318536099872</c:v>
                </c:pt>
                <c:pt idx="5">
                  <c:v>28.04993461185672</c:v>
                </c:pt>
                <c:pt idx="7">
                  <c:v>29.800641384264512</c:v>
                </c:pt>
                <c:pt idx="10">
                  <c:v>36.1074601173231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E-4D0F-8490-F69D1BD0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611288"/>
        <c:axId val="835611944"/>
      </c:scatterChart>
      <c:valAx>
        <c:axId val="83561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11944"/>
        <c:crosses val="autoZero"/>
        <c:crossBetween val="midCat"/>
      </c:valAx>
      <c:valAx>
        <c:axId val="83561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1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OD600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SuppSheet16!$J$6:$J$16</c:f>
                <c:numCache>
                  <c:formatCode>General</c:formatCode>
                  <c:ptCount val="11"/>
                  <c:pt idx="0">
                    <c:v>1.1547005383792505E-3</c:v>
                  </c:pt>
                  <c:pt idx="1">
                    <c:v>1.0000000000000009E-3</c:v>
                  </c:pt>
                  <c:pt idx="2">
                    <c:v>3.2145502536643131E-3</c:v>
                  </c:pt>
                  <c:pt idx="3">
                    <c:v>1.1269427669584638E-2</c:v>
                  </c:pt>
                  <c:pt idx="4">
                    <c:v>3.0413812651491248E-2</c:v>
                  </c:pt>
                  <c:pt idx="5">
                    <c:v>3.8552993831002615E-2</c:v>
                  </c:pt>
                  <c:pt idx="6">
                    <c:v>4.085339643163087E-2</c:v>
                  </c:pt>
                  <c:pt idx="7">
                    <c:v>5.2776257288039419E-2</c:v>
                  </c:pt>
                  <c:pt idx="8">
                    <c:v>5.9304300012731355E-2</c:v>
                  </c:pt>
                  <c:pt idx="9">
                    <c:v>6.7715089406522863E-2</c:v>
                  </c:pt>
                  <c:pt idx="10">
                    <c:v>8.7323154623119639E-2</c:v>
                  </c:pt>
                </c:numCache>
              </c:numRef>
            </c:plus>
            <c:minus>
              <c:numRef>
                <c:f>SuppSheet16!$J$6:$J$16</c:f>
                <c:numCache>
                  <c:formatCode>General</c:formatCode>
                  <c:ptCount val="11"/>
                  <c:pt idx="0">
                    <c:v>1.1547005383792505E-3</c:v>
                  </c:pt>
                  <c:pt idx="1">
                    <c:v>1.0000000000000009E-3</c:v>
                  </c:pt>
                  <c:pt idx="2">
                    <c:v>3.2145502536643131E-3</c:v>
                  </c:pt>
                  <c:pt idx="3">
                    <c:v>1.1269427669584638E-2</c:v>
                  </c:pt>
                  <c:pt idx="4">
                    <c:v>3.0413812651491248E-2</c:v>
                  </c:pt>
                  <c:pt idx="5">
                    <c:v>3.8552993831002615E-2</c:v>
                  </c:pt>
                  <c:pt idx="6">
                    <c:v>4.085339643163087E-2</c:v>
                  </c:pt>
                  <c:pt idx="7">
                    <c:v>5.2776257288039419E-2</c:v>
                  </c:pt>
                  <c:pt idx="8">
                    <c:v>5.9304300012731355E-2</c:v>
                  </c:pt>
                  <c:pt idx="9">
                    <c:v>6.7715089406522863E-2</c:v>
                  </c:pt>
                  <c:pt idx="10">
                    <c:v>8.7323154623119639E-2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SuppSheet16!$C$6:$C$16</c:f>
              <c:numCache>
                <c:formatCode>0.0</c:formatCode>
                <c:ptCount val="11"/>
                <c:pt idx="0">
                  <c:v>0</c:v>
                </c:pt>
                <c:pt idx="1">
                  <c:v>4.6333333332440816</c:v>
                </c:pt>
                <c:pt idx="2">
                  <c:v>10.849999999918509</c:v>
                </c:pt>
                <c:pt idx="3">
                  <c:v>15.949999999953434</c:v>
                </c:pt>
                <c:pt idx="4">
                  <c:v>26.266666666546371</c:v>
                </c:pt>
                <c:pt idx="5">
                  <c:v>39.266666666662786</c:v>
                </c:pt>
                <c:pt idx="6">
                  <c:v>56.349999999976717</c:v>
                </c:pt>
                <c:pt idx="7">
                  <c:v>81.583333333313931</c:v>
                </c:pt>
                <c:pt idx="8">
                  <c:v>122.08333333331393</c:v>
                </c:pt>
                <c:pt idx="9">
                  <c:v>152.46666666667443</c:v>
                </c:pt>
                <c:pt idx="10">
                  <c:v>219.31666666665114</c:v>
                </c:pt>
              </c:numCache>
            </c:numRef>
          </c:xVal>
          <c:yVal>
            <c:numRef>
              <c:f>SuppSheet16!$I$6:$I$16</c:f>
              <c:numCache>
                <c:formatCode>0.000</c:formatCode>
                <c:ptCount val="11"/>
                <c:pt idx="0">
                  <c:v>2.1666666666666667E-2</c:v>
                </c:pt>
                <c:pt idx="1">
                  <c:v>4.6000000000000006E-2</c:v>
                </c:pt>
                <c:pt idx="2">
                  <c:v>8.4666666666666668E-2</c:v>
                </c:pt>
                <c:pt idx="3">
                  <c:v>0.14700000000000002</c:v>
                </c:pt>
                <c:pt idx="4">
                  <c:v>0.21999999999999997</c:v>
                </c:pt>
                <c:pt idx="5">
                  <c:v>0.25433333333333336</c:v>
                </c:pt>
                <c:pt idx="6">
                  <c:v>0.27899999999999997</c:v>
                </c:pt>
                <c:pt idx="7">
                  <c:v>0.3066666666666667</c:v>
                </c:pt>
                <c:pt idx="8">
                  <c:v>0.33499999999999996</c:v>
                </c:pt>
                <c:pt idx="9">
                  <c:v>0.36333333333333329</c:v>
                </c:pt>
                <c:pt idx="10">
                  <c:v>0.48066666666666674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5-42FF-A7C0-D233FEACA620}"/>
            </c:ext>
          </c:extLst>
        </c:ser>
        <c:ser>
          <c:idx val="1"/>
          <c:order val="1"/>
          <c:tx>
            <c:v>OD600 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SuppSheet16!$O$6:$O$16</c:f>
                <c:numCache>
                  <c:formatCode>General</c:formatCode>
                  <c:ptCount val="11"/>
                  <c:pt idx="0">
                    <c:v>1.1547005383792505E-3</c:v>
                  </c:pt>
                  <c:pt idx="1">
                    <c:v>9.9302738983160499E-4</c:v>
                  </c:pt>
                  <c:pt idx="2">
                    <c:v>3.1625497304308531E-3</c:v>
                  </c:pt>
                  <c:pt idx="3">
                    <c:v>1.1003458971283464E-2</c:v>
                  </c:pt>
                  <c:pt idx="4">
                    <c:v>2.9249514426297293E-2</c:v>
                  </c:pt>
                  <c:pt idx="5">
                    <c:v>3.6387688637447839E-2</c:v>
                  </c:pt>
                  <c:pt idx="6">
                    <c:v>3.7639182940318441E-2</c:v>
                  </c:pt>
                  <c:pt idx="7">
                    <c:v>4.6969210586377957E-2</c:v>
                  </c:pt>
                  <c:pt idx="8">
                    <c:v>5.0045368313590792E-2</c:v>
                  </c:pt>
                  <c:pt idx="9">
                    <c:v>5.5005735015960906E-2</c:v>
                  </c:pt>
                  <c:pt idx="10">
                    <c:v>6.5540078629935716E-2</c:v>
                  </c:pt>
                </c:numCache>
              </c:numRef>
            </c:plus>
            <c:minus>
              <c:numRef>
                <c:f>SuppSheet16!$O$6:$O$16</c:f>
                <c:numCache>
                  <c:formatCode>General</c:formatCode>
                  <c:ptCount val="11"/>
                  <c:pt idx="0">
                    <c:v>1.1547005383792505E-3</c:v>
                  </c:pt>
                  <c:pt idx="1">
                    <c:v>9.9302738983160499E-4</c:v>
                  </c:pt>
                  <c:pt idx="2">
                    <c:v>3.1625497304308531E-3</c:v>
                  </c:pt>
                  <c:pt idx="3">
                    <c:v>1.1003458971283464E-2</c:v>
                  </c:pt>
                  <c:pt idx="4">
                    <c:v>2.9249514426297293E-2</c:v>
                  </c:pt>
                  <c:pt idx="5">
                    <c:v>3.6387688637447839E-2</c:v>
                  </c:pt>
                  <c:pt idx="6">
                    <c:v>3.7639182940318441E-2</c:v>
                  </c:pt>
                  <c:pt idx="7">
                    <c:v>4.6969210586377957E-2</c:v>
                  </c:pt>
                  <c:pt idx="8">
                    <c:v>5.0045368313590792E-2</c:v>
                  </c:pt>
                  <c:pt idx="9">
                    <c:v>5.5005735015960906E-2</c:v>
                  </c:pt>
                  <c:pt idx="10">
                    <c:v>6.5540078629935716E-2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SuppSheet16!$C$6:$C$16</c:f>
              <c:numCache>
                <c:formatCode>0.0</c:formatCode>
                <c:ptCount val="11"/>
                <c:pt idx="0">
                  <c:v>0</c:v>
                </c:pt>
                <c:pt idx="1">
                  <c:v>4.6333333332440816</c:v>
                </c:pt>
                <c:pt idx="2">
                  <c:v>10.849999999918509</c:v>
                </c:pt>
                <c:pt idx="3">
                  <c:v>15.949999999953434</c:v>
                </c:pt>
                <c:pt idx="4">
                  <c:v>26.266666666546371</c:v>
                </c:pt>
                <c:pt idx="5">
                  <c:v>39.266666666662786</c:v>
                </c:pt>
                <c:pt idx="6">
                  <c:v>56.349999999976717</c:v>
                </c:pt>
                <c:pt idx="7">
                  <c:v>81.583333333313931</c:v>
                </c:pt>
                <c:pt idx="8">
                  <c:v>122.08333333331393</c:v>
                </c:pt>
                <c:pt idx="9">
                  <c:v>152.46666666667443</c:v>
                </c:pt>
                <c:pt idx="10">
                  <c:v>219.31666666665114</c:v>
                </c:pt>
              </c:numCache>
            </c:numRef>
          </c:xVal>
          <c:yVal>
            <c:numRef>
              <c:f>SuppSheet16!$N$6:$N$16</c:f>
              <c:numCache>
                <c:formatCode>0.000</c:formatCode>
                <c:ptCount val="11"/>
                <c:pt idx="0">
                  <c:v>2.1666666666666667E-2</c:v>
                </c:pt>
                <c:pt idx="1">
                  <c:v>4.5679259932253712E-2</c:v>
                </c:pt>
                <c:pt idx="2">
                  <c:v>8.3297047087043982E-2</c:v>
                </c:pt>
                <c:pt idx="3">
                  <c:v>0.14353066688064442</c:v>
                </c:pt>
                <c:pt idx="4">
                  <c:v>0.21157798423769422</c:v>
                </c:pt>
                <c:pt idx="5">
                  <c:v>0.24004885804783774</c:v>
                </c:pt>
                <c:pt idx="6">
                  <c:v>0.25704917969116631</c:v>
                </c:pt>
                <c:pt idx="7">
                  <c:v>0.27292369687900481</c:v>
                </c:pt>
                <c:pt idx="8">
                  <c:v>0.28269785464888636</c:v>
                </c:pt>
                <c:pt idx="9">
                  <c:v>0.29513978687701653</c:v>
                </c:pt>
                <c:pt idx="10">
                  <c:v>0.36076263236350775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5-42FF-A7C0-D233FEACA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76808"/>
        <c:axId val="751183368"/>
      </c:scatterChart>
      <c:valAx>
        <c:axId val="7511768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83368"/>
        <c:crosses val="autoZero"/>
        <c:crossBetween val="midCat"/>
      </c:valAx>
      <c:valAx>
        <c:axId val="75118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7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78674540682415"/>
          <c:y val="7.9281860600758258E-2"/>
          <c:w val="0.21787992125984251"/>
          <c:h val="0.151516211988652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OD600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SuppSheet16!$J$6:$J$16</c:f>
                <c:numCache>
                  <c:formatCode>General</c:formatCode>
                  <c:ptCount val="11"/>
                  <c:pt idx="0">
                    <c:v>1.1547005383792505E-3</c:v>
                  </c:pt>
                  <c:pt idx="1">
                    <c:v>1.0000000000000009E-3</c:v>
                  </c:pt>
                  <c:pt idx="2">
                    <c:v>3.2145502536643131E-3</c:v>
                  </c:pt>
                  <c:pt idx="3">
                    <c:v>1.1269427669584638E-2</c:v>
                  </c:pt>
                  <c:pt idx="4">
                    <c:v>3.0413812651491248E-2</c:v>
                  </c:pt>
                  <c:pt idx="5">
                    <c:v>3.8552993831002615E-2</c:v>
                  </c:pt>
                  <c:pt idx="6">
                    <c:v>4.085339643163087E-2</c:v>
                  </c:pt>
                  <c:pt idx="7">
                    <c:v>5.2776257288039419E-2</c:v>
                  </c:pt>
                  <c:pt idx="8">
                    <c:v>5.9304300012731355E-2</c:v>
                  </c:pt>
                  <c:pt idx="9">
                    <c:v>6.7715089406522863E-2</c:v>
                  </c:pt>
                  <c:pt idx="10">
                    <c:v>8.7323154623119639E-2</c:v>
                  </c:pt>
                </c:numCache>
              </c:numRef>
            </c:plus>
            <c:minus>
              <c:numRef>
                <c:f>SuppSheet16!$J$6:$J$16</c:f>
                <c:numCache>
                  <c:formatCode>General</c:formatCode>
                  <c:ptCount val="11"/>
                  <c:pt idx="0">
                    <c:v>1.1547005383792505E-3</c:v>
                  </c:pt>
                  <c:pt idx="1">
                    <c:v>1.0000000000000009E-3</c:v>
                  </c:pt>
                  <c:pt idx="2">
                    <c:v>3.2145502536643131E-3</c:v>
                  </c:pt>
                  <c:pt idx="3">
                    <c:v>1.1269427669584638E-2</c:v>
                  </c:pt>
                  <c:pt idx="4">
                    <c:v>3.0413812651491248E-2</c:v>
                  </c:pt>
                  <c:pt idx="5">
                    <c:v>3.8552993831002615E-2</c:v>
                  </c:pt>
                  <c:pt idx="6">
                    <c:v>4.085339643163087E-2</c:v>
                  </c:pt>
                  <c:pt idx="7">
                    <c:v>5.2776257288039419E-2</c:v>
                  </c:pt>
                  <c:pt idx="8">
                    <c:v>5.9304300012731355E-2</c:v>
                  </c:pt>
                  <c:pt idx="9">
                    <c:v>6.7715089406522863E-2</c:v>
                  </c:pt>
                  <c:pt idx="10">
                    <c:v>8.7323154623119639E-2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SuppSheet16!$C$6:$C$16</c:f>
              <c:numCache>
                <c:formatCode>0.0</c:formatCode>
                <c:ptCount val="11"/>
                <c:pt idx="0">
                  <c:v>0</c:v>
                </c:pt>
                <c:pt idx="1">
                  <c:v>4.6333333332440816</c:v>
                </c:pt>
                <c:pt idx="2">
                  <c:v>10.849999999918509</c:v>
                </c:pt>
                <c:pt idx="3">
                  <c:v>15.949999999953434</c:v>
                </c:pt>
                <c:pt idx="4">
                  <c:v>26.266666666546371</c:v>
                </c:pt>
                <c:pt idx="5">
                  <c:v>39.266666666662786</c:v>
                </c:pt>
                <c:pt idx="6">
                  <c:v>56.349999999976717</c:v>
                </c:pt>
                <c:pt idx="7">
                  <c:v>81.583333333313931</c:v>
                </c:pt>
                <c:pt idx="8">
                  <c:v>122.08333333331393</c:v>
                </c:pt>
                <c:pt idx="9">
                  <c:v>152.46666666667443</c:v>
                </c:pt>
                <c:pt idx="10">
                  <c:v>219.31666666665114</c:v>
                </c:pt>
              </c:numCache>
            </c:numRef>
          </c:xVal>
          <c:yVal>
            <c:numRef>
              <c:f>SuppSheet16!$I$6:$I$16</c:f>
              <c:numCache>
                <c:formatCode>0.000</c:formatCode>
                <c:ptCount val="11"/>
                <c:pt idx="0">
                  <c:v>2.1666666666666667E-2</c:v>
                </c:pt>
                <c:pt idx="1">
                  <c:v>4.6000000000000006E-2</c:v>
                </c:pt>
                <c:pt idx="2">
                  <c:v>8.4666666666666668E-2</c:v>
                </c:pt>
                <c:pt idx="3">
                  <c:v>0.14700000000000002</c:v>
                </c:pt>
                <c:pt idx="4">
                  <c:v>0.21999999999999997</c:v>
                </c:pt>
                <c:pt idx="5">
                  <c:v>0.25433333333333336</c:v>
                </c:pt>
                <c:pt idx="6">
                  <c:v>0.27899999999999997</c:v>
                </c:pt>
                <c:pt idx="7">
                  <c:v>0.3066666666666667</c:v>
                </c:pt>
                <c:pt idx="8">
                  <c:v>0.33499999999999996</c:v>
                </c:pt>
                <c:pt idx="9">
                  <c:v>0.36333333333333329</c:v>
                </c:pt>
                <c:pt idx="10">
                  <c:v>0.48066666666666674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5-436F-A3F6-72DB4C633934}"/>
            </c:ext>
          </c:extLst>
        </c:ser>
        <c:ser>
          <c:idx val="1"/>
          <c:order val="1"/>
          <c:tx>
            <c:v>OD600 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SuppSheet16!$O$6:$O$16</c:f>
                <c:numCache>
                  <c:formatCode>General</c:formatCode>
                  <c:ptCount val="11"/>
                  <c:pt idx="0">
                    <c:v>1.1547005383792505E-3</c:v>
                  </c:pt>
                  <c:pt idx="1">
                    <c:v>9.9302738983160499E-4</c:v>
                  </c:pt>
                  <c:pt idx="2">
                    <c:v>3.1625497304308531E-3</c:v>
                  </c:pt>
                  <c:pt idx="3">
                    <c:v>1.1003458971283464E-2</c:v>
                  </c:pt>
                  <c:pt idx="4">
                    <c:v>2.9249514426297293E-2</c:v>
                  </c:pt>
                  <c:pt idx="5">
                    <c:v>3.6387688637447839E-2</c:v>
                  </c:pt>
                  <c:pt idx="6">
                    <c:v>3.7639182940318441E-2</c:v>
                  </c:pt>
                  <c:pt idx="7">
                    <c:v>4.6969210586377957E-2</c:v>
                  </c:pt>
                  <c:pt idx="8">
                    <c:v>5.0045368313590792E-2</c:v>
                  </c:pt>
                  <c:pt idx="9">
                    <c:v>5.5005735015960906E-2</c:v>
                  </c:pt>
                  <c:pt idx="10">
                    <c:v>6.5540078629935716E-2</c:v>
                  </c:pt>
                </c:numCache>
              </c:numRef>
            </c:plus>
            <c:minus>
              <c:numRef>
                <c:f>SuppSheet16!$O$6:$O$16</c:f>
                <c:numCache>
                  <c:formatCode>General</c:formatCode>
                  <c:ptCount val="11"/>
                  <c:pt idx="0">
                    <c:v>1.1547005383792505E-3</c:v>
                  </c:pt>
                  <c:pt idx="1">
                    <c:v>9.9302738983160499E-4</c:v>
                  </c:pt>
                  <c:pt idx="2">
                    <c:v>3.1625497304308531E-3</c:v>
                  </c:pt>
                  <c:pt idx="3">
                    <c:v>1.1003458971283464E-2</c:v>
                  </c:pt>
                  <c:pt idx="4">
                    <c:v>2.9249514426297293E-2</c:v>
                  </c:pt>
                  <c:pt idx="5">
                    <c:v>3.6387688637447839E-2</c:v>
                  </c:pt>
                  <c:pt idx="6">
                    <c:v>3.7639182940318441E-2</c:v>
                  </c:pt>
                  <c:pt idx="7">
                    <c:v>4.6969210586377957E-2</c:v>
                  </c:pt>
                  <c:pt idx="8">
                    <c:v>5.0045368313590792E-2</c:v>
                  </c:pt>
                  <c:pt idx="9">
                    <c:v>5.5005735015960906E-2</c:v>
                  </c:pt>
                  <c:pt idx="10">
                    <c:v>6.5540078629935716E-2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SuppSheet16!$C$6:$C$16</c:f>
              <c:numCache>
                <c:formatCode>0.0</c:formatCode>
                <c:ptCount val="11"/>
                <c:pt idx="0">
                  <c:v>0</c:v>
                </c:pt>
                <c:pt idx="1">
                  <c:v>4.6333333332440816</c:v>
                </c:pt>
                <c:pt idx="2">
                  <c:v>10.849999999918509</c:v>
                </c:pt>
                <c:pt idx="3">
                  <c:v>15.949999999953434</c:v>
                </c:pt>
                <c:pt idx="4">
                  <c:v>26.266666666546371</c:v>
                </c:pt>
                <c:pt idx="5">
                  <c:v>39.266666666662786</c:v>
                </c:pt>
                <c:pt idx="6">
                  <c:v>56.349999999976717</c:v>
                </c:pt>
                <c:pt idx="7">
                  <c:v>81.583333333313931</c:v>
                </c:pt>
                <c:pt idx="8">
                  <c:v>122.08333333331393</c:v>
                </c:pt>
                <c:pt idx="9">
                  <c:v>152.46666666667443</c:v>
                </c:pt>
                <c:pt idx="10">
                  <c:v>219.31666666665114</c:v>
                </c:pt>
              </c:numCache>
            </c:numRef>
          </c:xVal>
          <c:yVal>
            <c:numRef>
              <c:f>SuppSheet16!$N$6:$N$16</c:f>
              <c:numCache>
                <c:formatCode>0.000</c:formatCode>
                <c:ptCount val="11"/>
                <c:pt idx="0">
                  <c:v>2.1666666666666667E-2</c:v>
                </c:pt>
                <c:pt idx="1">
                  <c:v>4.5679259932253712E-2</c:v>
                </c:pt>
                <c:pt idx="2">
                  <c:v>8.3297047087043982E-2</c:v>
                </c:pt>
                <c:pt idx="3">
                  <c:v>0.14353066688064442</c:v>
                </c:pt>
                <c:pt idx="4">
                  <c:v>0.21157798423769422</c:v>
                </c:pt>
                <c:pt idx="5">
                  <c:v>0.24004885804783774</c:v>
                </c:pt>
                <c:pt idx="6">
                  <c:v>0.25704917969116631</c:v>
                </c:pt>
                <c:pt idx="7">
                  <c:v>0.27292369687900481</c:v>
                </c:pt>
                <c:pt idx="8">
                  <c:v>0.28269785464888636</c:v>
                </c:pt>
                <c:pt idx="9">
                  <c:v>0.29513978687701653</c:v>
                </c:pt>
                <c:pt idx="10">
                  <c:v>0.36076263236350775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F5-436F-A3F6-72DB4C633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76808"/>
        <c:axId val="751183368"/>
      </c:scatterChart>
      <c:valAx>
        <c:axId val="7511768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83368"/>
        <c:crosses val="autoZero"/>
        <c:crossBetween val="midCat"/>
      </c:valAx>
      <c:valAx>
        <c:axId val="751183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7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78674540682415"/>
          <c:y val="7.9281860600758258E-2"/>
          <c:w val="0.21787992125984251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SuppSheet16!$U$6:$U$16</c:f>
                <c:numCache>
                  <c:formatCode>General</c:formatCode>
                  <c:ptCount val="11"/>
                  <c:pt idx="0">
                    <c:v>5.7735026918961348E-3</c:v>
                  </c:pt>
                  <c:pt idx="1">
                    <c:v>5.7735026918961348E-3</c:v>
                  </c:pt>
                  <c:pt idx="2">
                    <c:v>5.7735026918961348E-3</c:v>
                  </c:pt>
                  <c:pt idx="3">
                    <c:v>3.2145502536643007E-2</c:v>
                  </c:pt>
                  <c:pt idx="4">
                    <c:v>0.15885003409925136</c:v>
                  </c:pt>
                  <c:pt idx="5">
                    <c:v>0.11547005383792526</c:v>
                  </c:pt>
                  <c:pt idx="6">
                    <c:v>6.0827625302982434E-2</c:v>
                  </c:pt>
                  <c:pt idx="7">
                    <c:v>7.5718777944003557E-2</c:v>
                  </c:pt>
                  <c:pt idx="8">
                    <c:v>8.7177978870813452E-2</c:v>
                  </c:pt>
                  <c:pt idx="9">
                    <c:v>5.1316014394468736E-2</c:v>
                  </c:pt>
                  <c:pt idx="10">
                    <c:v>0.18770544300401457</c:v>
                  </c:pt>
                </c:numCache>
              </c:numRef>
            </c:plus>
            <c:minus>
              <c:numRef>
                <c:f>SuppSheet16!$U$6:$U$16</c:f>
                <c:numCache>
                  <c:formatCode>General</c:formatCode>
                  <c:ptCount val="11"/>
                  <c:pt idx="0">
                    <c:v>5.7735026918961348E-3</c:v>
                  </c:pt>
                  <c:pt idx="1">
                    <c:v>5.7735026918961348E-3</c:v>
                  </c:pt>
                  <c:pt idx="2">
                    <c:v>5.7735026918961348E-3</c:v>
                  </c:pt>
                  <c:pt idx="3">
                    <c:v>3.2145502536643007E-2</c:v>
                  </c:pt>
                  <c:pt idx="4">
                    <c:v>0.15885003409925136</c:v>
                  </c:pt>
                  <c:pt idx="5">
                    <c:v>0.11547005383792526</c:v>
                  </c:pt>
                  <c:pt idx="6">
                    <c:v>6.0827625302982434E-2</c:v>
                  </c:pt>
                  <c:pt idx="7">
                    <c:v>7.5718777944003557E-2</c:v>
                  </c:pt>
                  <c:pt idx="8">
                    <c:v>8.7177978870813452E-2</c:v>
                  </c:pt>
                  <c:pt idx="9">
                    <c:v>5.1316014394468736E-2</c:v>
                  </c:pt>
                  <c:pt idx="10">
                    <c:v>0.18770544300401457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SuppSheet16!$C$6:$C$16</c:f>
              <c:numCache>
                <c:formatCode>0.0</c:formatCode>
                <c:ptCount val="11"/>
                <c:pt idx="0">
                  <c:v>0</c:v>
                </c:pt>
                <c:pt idx="1">
                  <c:v>4.6333333332440816</c:v>
                </c:pt>
                <c:pt idx="2">
                  <c:v>10.849999999918509</c:v>
                </c:pt>
                <c:pt idx="3">
                  <c:v>15.949999999953434</c:v>
                </c:pt>
                <c:pt idx="4">
                  <c:v>26.266666666546371</c:v>
                </c:pt>
                <c:pt idx="5">
                  <c:v>39.266666666662786</c:v>
                </c:pt>
                <c:pt idx="6">
                  <c:v>56.349999999976717</c:v>
                </c:pt>
                <c:pt idx="7">
                  <c:v>81.583333333313931</c:v>
                </c:pt>
                <c:pt idx="8">
                  <c:v>122.08333333331393</c:v>
                </c:pt>
                <c:pt idx="9">
                  <c:v>152.46666666667443</c:v>
                </c:pt>
                <c:pt idx="10">
                  <c:v>219.31666666665114</c:v>
                </c:pt>
              </c:numCache>
            </c:numRef>
          </c:xVal>
          <c:yVal>
            <c:numRef>
              <c:f>SuppSheet16!$T$6:$T$16</c:f>
              <c:numCache>
                <c:formatCode>0.00</c:formatCode>
                <c:ptCount val="11"/>
                <c:pt idx="0">
                  <c:v>6.9666666666666659</c:v>
                </c:pt>
                <c:pt idx="1">
                  <c:v>6.496666666666667</c:v>
                </c:pt>
                <c:pt idx="2">
                  <c:v>4.6633333333333331</c:v>
                </c:pt>
                <c:pt idx="3">
                  <c:v>4.8966666666666665</c:v>
                </c:pt>
                <c:pt idx="4">
                  <c:v>5.3033333333333337</c:v>
                </c:pt>
                <c:pt idx="5">
                  <c:v>5.6533333333333324</c:v>
                </c:pt>
                <c:pt idx="6">
                  <c:v>5.91</c:v>
                </c:pt>
                <c:pt idx="7">
                  <c:v>6.2033333333333331</c:v>
                </c:pt>
                <c:pt idx="8">
                  <c:v>6.45</c:v>
                </c:pt>
                <c:pt idx="9">
                  <c:v>6.5233333333333334</c:v>
                </c:pt>
                <c:pt idx="10">
                  <c:v>5.9566666666666661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E-4D1F-B2F7-518E7532045F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SuppSheet16!$C$6:$C$16</c:f>
              <c:numCache>
                <c:formatCode>0.0</c:formatCode>
                <c:ptCount val="11"/>
                <c:pt idx="0">
                  <c:v>0</c:v>
                </c:pt>
                <c:pt idx="1">
                  <c:v>4.6333333332440816</c:v>
                </c:pt>
                <c:pt idx="2">
                  <c:v>10.849999999918509</c:v>
                </c:pt>
                <c:pt idx="3">
                  <c:v>15.949999999953434</c:v>
                </c:pt>
                <c:pt idx="4">
                  <c:v>26.266666666546371</c:v>
                </c:pt>
                <c:pt idx="5">
                  <c:v>39.266666666662786</c:v>
                </c:pt>
                <c:pt idx="6">
                  <c:v>56.349999999976717</c:v>
                </c:pt>
                <c:pt idx="7">
                  <c:v>81.583333333313931</c:v>
                </c:pt>
                <c:pt idx="8">
                  <c:v>122.08333333331393</c:v>
                </c:pt>
                <c:pt idx="9">
                  <c:v>152.46666666667443</c:v>
                </c:pt>
                <c:pt idx="10">
                  <c:v>219.31666666665114</c:v>
                </c:pt>
              </c:numCache>
            </c:numRef>
          </c:xVal>
          <c:yVal>
            <c:numRef>
              <c:f>SuppSheet16!$S$6:$S$16</c:f>
              <c:numCache>
                <c:formatCode>0.00</c:formatCode>
                <c:ptCount val="11"/>
                <c:pt idx="0">
                  <c:v>7</c:v>
                </c:pt>
                <c:pt idx="1">
                  <c:v>6.98</c:v>
                </c:pt>
                <c:pt idx="2">
                  <c:v>6.96</c:v>
                </c:pt>
                <c:pt idx="3">
                  <c:v>6.95</c:v>
                </c:pt>
                <c:pt idx="4">
                  <c:v>6.92</c:v>
                </c:pt>
                <c:pt idx="5">
                  <c:v>6.87</c:v>
                </c:pt>
                <c:pt idx="6">
                  <c:v>6.84</c:v>
                </c:pt>
                <c:pt idx="7">
                  <c:v>6.79</c:v>
                </c:pt>
                <c:pt idx="8">
                  <c:v>6.68</c:v>
                </c:pt>
                <c:pt idx="9">
                  <c:v>6.61</c:v>
                </c:pt>
                <c:pt idx="10">
                  <c:v>6.47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E-4D1F-B2F7-518E7532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517504"/>
        <c:axId val="1474263872"/>
      </c:scatterChart>
      <c:valAx>
        <c:axId val="13705175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63872"/>
        <c:crosses val="autoZero"/>
        <c:crossBetween val="midCat"/>
      </c:valAx>
      <c:valAx>
        <c:axId val="147426387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1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ECOM + 403 10:1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SuppSheet16!$U$6:$U$16</c:f>
                <c:numCache>
                  <c:formatCode>General</c:formatCode>
                  <c:ptCount val="11"/>
                  <c:pt idx="0">
                    <c:v>5.7735026918961348E-3</c:v>
                  </c:pt>
                  <c:pt idx="1">
                    <c:v>5.7735026918961348E-3</c:v>
                  </c:pt>
                  <c:pt idx="2">
                    <c:v>5.7735026918961348E-3</c:v>
                  </c:pt>
                  <c:pt idx="3">
                    <c:v>3.2145502536643007E-2</c:v>
                  </c:pt>
                  <c:pt idx="4">
                    <c:v>0.15885003409925136</c:v>
                  </c:pt>
                  <c:pt idx="5">
                    <c:v>0.11547005383792526</c:v>
                  </c:pt>
                  <c:pt idx="6">
                    <c:v>6.0827625302982434E-2</c:v>
                  </c:pt>
                  <c:pt idx="7">
                    <c:v>7.5718777944003557E-2</c:v>
                  </c:pt>
                  <c:pt idx="8">
                    <c:v>8.7177978870813452E-2</c:v>
                  </c:pt>
                  <c:pt idx="9">
                    <c:v>5.1316014394468736E-2</c:v>
                  </c:pt>
                  <c:pt idx="10">
                    <c:v>0.18770544300401457</c:v>
                  </c:pt>
                </c:numCache>
              </c:numRef>
            </c:plus>
            <c:minus>
              <c:numRef>
                <c:f>SuppSheet16!$U$6:$U$16</c:f>
                <c:numCache>
                  <c:formatCode>General</c:formatCode>
                  <c:ptCount val="11"/>
                  <c:pt idx="0">
                    <c:v>5.7735026918961348E-3</c:v>
                  </c:pt>
                  <c:pt idx="1">
                    <c:v>5.7735026918961348E-3</c:v>
                  </c:pt>
                  <c:pt idx="2">
                    <c:v>5.7735026918961348E-3</c:v>
                  </c:pt>
                  <c:pt idx="3">
                    <c:v>3.2145502536643007E-2</c:v>
                  </c:pt>
                  <c:pt idx="4">
                    <c:v>0.15885003409925136</c:v>
                  </c:pt>
                  <c:pt idx="5">
                    <c:v>0.11547005383792526</c:v>
                  </c:pt>
                  <c:pt idx="6">
                    <c:v>6.0827625302982434E-2</c:v>
                  </c:pt>
                  <c:pt idx="7">
                    <c:v>7.5718777944003557E-2</c:v>
                  </c:pt>
                  <c:pt idx="8">
                    <c:v>8.7177978870813452E-2</c:v>
                  </c:pt>
                  <c:pt idx="9">
                    <c:v>5.1316014394468736E-2</c:v>
                  </c:pt>
                  <c:pt idx="10">
                    <c:v>0.18770544300401457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SuppSheet16!$C$6:$C$16</c:f>
              <c:numCache>
                <c:formatCode>0.0</c:formatCode>
                <c:ptCount val="11"/>
                <c:pt idx="0">
                  <c:v>0</c:v>
                </c:pt>
                <c:pt idx="1">
                  <c:v>4.6333333332440816</c:v>
                </c:pt>
                <c:pt idx="2">
                  <c:v>10.849999999918509</c:v>
                </c:pt>
                <c:pt idx="3">
                  <c:v>15.949999999953434</c:v>
                </c:pt>
                <c:pt idx="4">
                  <c:v>26.266666666546371</c:v>
                </c:pt>
                <c:pt idx="5">
                  <c:v>39.266666666662786</c:v>
                </c:pt>
                <c:pt idx="6">
                  <c:v>56.349999999976717</c:v>
                </c:pt>
                <c:pt idx="7">
                  <c:v>81.583333333313931</c:v>
                </c:pt>
                <c:pt idx="8">
                  <c:v>122.08333333331393</c:v>
                </c:pt>
                <c:pt idx="9">
                  <c:v>152.46666666667443</c:v>
                </c:pt>
                <c:pt idx="10">
                  <c:v>219.31666666665114</c:v>
                </c:pt>
              </c:numCache>
            </c:numRef>
          </c:xVal>
          <c:yVal>
            <c:numRef>
              <c:f>SuppSheet16!$T$6:$T$16</c:f>
              <c:numCache>
                <c:formatCode>0.00</c:formatCode>
                <c:ptCount val="11"/>
                <c:pt idx="0">
                  <c:v>6.9666666666666659</c:v>
                </c:pt>
                <c:pt idx="1">
                  <c:v>6.496666666666667</c:v>
                </c:pt>
                <c:pt idx="2">
                  <c:v>4.6633333333333331</c:v>
                </c:pt>
                <c:pt idx="3">
                  <c:v>4.8966666666666665</c:v>
                </c:pt>
                <c:pt idx="4">
                  <c:v>5.3033333333333337</c:v>
                </c:pt>
                <c:pt idx="5">
                  <c:v>5.6533333333333324</c:v>
                </c:pt>
                <c:pt idx="6">
                  <c:v>5.91</c:v>
                </c:pt>
                <c:pt idx="7">
                  <c:v>6.2033333333333331</c:v>
                </c:pt>
                <c:pt idx="8">
                  <c:v>6.45</c:v>
                </c:pt>
                <c:pt idx="9">
                  <c:v>6.5233333333333334</c:v>
                </c:pt>
                <c:pt idx="10">
                  <c:v>5.9566666666666661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1-4B2C-93E7-8027A2D47A3E}"/>
            </c:ext>
          </c:extLst>
        </c:ser>
        <c:ser>
          <c:idx val="2"/>
          <c:order val="2"/>
          <c:tx>
            <c:v>glucose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SuppSheet16!$AA$6:$AA$16</c:f>
                <c:numCache>
                  <c:formatCode>General</c:formatCode>
                  <c:ptCount val="11"/>
                  <c:pt idx="0">
                    <c:v>0.86056166232611853</c:v>
                  </c:pt>
                  <c:pt idx="1">
                    <c:v>1.2652973238015019</c:v>
                  </c:pt>
                  <c:pt idx="2">
                    <c:v>1.1304144736547959</c:v>
                  </c:pt>
                  <c:pt idx="3">
                    <c:v>1.0818533893738482</c:v>
                  </c:pt>
                  <c:pt idx="5">
                    <c:v>1.0369205674213353</c:v>
                  </c:pt>
                  <c:pt idx="7">
                    <c:v>1.7285115059884986</c:v>
                  </c:pt>
                  <c:pt idx="10">
                    <c:v>2.1318843835736621</c:v>
                  </c:pt>
                </c:numCache>
              </c:numRef>
            </c:plus>
            <c:minus>
              <c:numRef>
                <c:f>SuppSheet16!$AA$6:$AA$16</c:f>
                <c:numCache>
                  <c:formatCode>General</c:formatCode>
                  <c:ptCount val="11"/>
                  <c:pt idx="0">
                    <c:v>0.86056166232611853</c:v>
                  </c:pt>
                  <c:pt idx="1">
                    <c:v>1.2652973238015019</c:v>
                  </c:pt>
                  <c:pt idx="2">
                    <c:v>1.1304144736547959</c:v>
                  </c:pt>
                  <c:pt idx="3">
                    <c:v>1.0818533893738482</c:v>
                  </c:pt>
                  <c:pt idx="5">
                    <c:v>1.0369205674213353</c:v>
                  </c:pt>
                  <c:pt idx="7">
                    <c:v>1.7285115059884986</c:v>
                  </c:pt>
                  <c:pt idx="10">
                    <c:v>2.1318843835736621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SuppSheet16!$C$6:$C$16</c:f>
              <c:numCache>
                <c:formatCode>0.0</c:formatCode>
                <c:ptCount val="11"/>
                <c:pt idx="0">
                  <c:v>0</c:v>
                </c:pt>
                <c:pt idx="1">
                  <c:v>4.6333333332440816</c:v>
                </c:pt>
                <c:pt idx="2">
                  <c:v>10.849999999918509</c:v>
                </c:pt>
                <c:pt idx="3">
                  <c:v>15.949999999953434</c:v>
                </c:pt>
                <c:pt idx="4">
                  <c:v>26.266666666546371</c:v>
                </c:pt>
                <c:pt idx="5">
                  <c:v>39.266666666662786</c:v>
                </c:pt>
                <c:pt idx="6">
                  <c:v>56.349999999976717</c:v>
                </c:pt>
                <c:pt idx="7">
                  <c:v>81.583333333313931</c:v>
                </c:pt>
                <c:pt idx="8">
                  <c:v>122.08333333331393</c:v>
                </c:pt>
                <c:pt idx="9">
                  <c:v>152.46666666667443</c:v>
                </c:pt>
                <c:pt idx="10">
                  <c:v>219.31666666665114</c:v>
                </c:pt>
              </c:numCache>
            </c:numRef>
          </c:xVal>
          <c:yVal>
            <c:numRef>
              <c:f>SuppSheet16!$Z$6:$Z$16</c:f>
              <c:numCache>
                <c:formatCode>0.00</c:formatCode>
                <c:ptCount val="11"/>
                <c:pt idx="0">
                  <c:v>27.245241298412264</c:v>
                </c:pt>
                <c:pt idx="1">
                  <c:v>26.823755867793512</c:v>
                </c:pt>
                <c:pt idx="2">
                  <c:v>25.632944354197207</c:v>
                </c:pt>
                <c:pt idx="3">
                  <c:v>25.364877276943215</c:v>
                </c:pt>
                <c:pt idx="5">
                  <c:v>24.216925590820313</c:v>
                </c:pt>
                <c:pt idx="7">
                  <c:v>24.262980037226104</c:v>
                </c:pt>
                <c:pt idx="10">
                  <c:v>25.691593634888516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1-4B2C-93E7-8027A2D47A3E}"/>
            </c:ext>
          </c:extLst>
        </c:ser>
        <c:ser>
          <c:idx val="3"/>
          <c:order val="3"/>
          <c:tx>
            <c:v>lactate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SuppSheet16!$AL$6:$AL$16</c:f>
                <c:numCache>
                  <c:formatCode>General</c:formatCode>
                  <c:ptCount val="11"/>
                  <c:pt idx="0">
                    <c:v>2.2937562968573171E-2</c:v>
                  </c:pt>
                  <c:pt idx="1">
                    <c:v>3.588587742328557E-2</c:v>
                  </c:pt>
                  <c:pt idx="2">
                    <c:v>0.14218386355566665</c:v>
                  </c:pt>
                  <c:pt idx="3">
                    <c:v>0.17509766745479438</c:v>
                  </c:pt>
                  <c:pt idx="5">
                    <c:v>0.16848765898050821</c:v>
                  </c:pt>
                  <c:pt idx="7">
                    <c:v>0.18973785671746524</c:v>
                  </c:pt>
                  <c:pt idx="10">
                    <c:v>0</c:v>
                  </c:pt>
                </c:numCache>
              </c:numRef>
            </c:plus>
            <c:minus>
              <c:numRef>
                <c:f>SuppSheet16!$AL$6:$AL$16</c:f>
                <c:numCache>
                  <c:formatCode>General</c:formatCode>
                  <c:ptCount val="11"/>
                  <c:pt idx="0">
                    <c:v>2.2937562968573171E-2</c:v>
                  </c:pt>
                  <c:pt idx="1">
                    <c:v>3.588587742328557E-2</c:v>
                  </c:pt>
                  <c:pt idx="2">
                    <c:v>0.14218386355566665</c:v>
                  </c:pt>
                  <c:pt idx="3">
                    <c:v>0.17509766745479438</c:v>
                  </c:pt>
                  <c:pt idx="5">
                    <c:v>0.16848765898050821</c:v>
                  </c:pt>
                  <c:pt idx="7">
                    <c:v>0.18973785671746524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SuppSheet16!$C$6:$C$16</c:f>
              <c:numCache>
                <c:formatCode>0.0</c:formatCode>
                <c:ptCount val="11"/>
                <c:pt idx="0">
                  <c:v>0</c:v>
                </c:pt>
                <c:pt idx="1">
                  <c:v>4.6333333332440816</c:v>
                </c:pt>
                <c:pt idx="2">
                  <c:v>10.849999999918509</c:v>
                </c:pt>
                <c:pt idx="3">
                  <c:v>15.949999999953434</c:v>
                </c:pt>
                <c:pt idx="4">
                  <c:v>26.266666666546371</c:v>
                </c:pt>
                <c:pt idx="5">
                  <c:v>39.266666666662786</c:v>
                </c:pt>
                <c:pt idx="6">
                  <c:v>56.349999999976717</c:v>
                </c:pt>
                <c:pt idx="7">
                  <c:v>81.583333333313931</c:v>
                </c:pt>
                <c:pt idx="8">
                  <c:v>122.08333333331393</c:v>
                </c:pt>
                <c:pt idx="9">
                  <c:v>152.46666666667443</c:v>
                </c:pt>
                <c:pt idx="10">
                  <c:v>219.31666666665114</c:v>
                </c:pt>
              </c:numCache>
            </c:numRef>
          </c:xVal>
          <c:yVal>
            <c:numRef>
              <c:f>SuppSheet16!$AK$6:$AK$16</c:f>
              <c:numCache>
                <c:formatCode>0.00</c:formatCode>
                <c:ptCount val="11"/>
                <c:pt idx="0">
                  <c:v>8.5866125322199338E-2</c:v>
                </c:pt>
                <c:pt idx="1">
                  <c:v>1.740254496259708</c:v>
                </c:pt>
                <c:pt idx="2">
                  <c:v>4.4402484876779447</c:v>
                </c:pt>
                <c:pt idx="3">
                  <c:v>3.7503065071074708</c:v>
                </c:pt>
                <c:pt idx="5">
                  <c:v>1.5019754546410706</c:v>
                </c:pt>
                <c:pt idx="7">
                  <c:v>1.1209007557732078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21-4B2C-93E7-8027A2D47A3E}"/>
            </c:ext>
          </c:extLst>
        </c:ser>
        <c:ser>
          <c:idx val="4"/>
          <c:order val="4"/>
          <c:tx>
            <c:v>acetate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SuppSheet16!$AW$6:$AW$16</c:f>
                <c:numCache>
                  <c:formatCode>General</c:formatCode>
                  <c:ptCount val="11"/>
                  <c:pt idx="0">
                    <c:v>0.16728574619850178</c:v>
                  </c:pt>
                  <c:pt idx="1">
                    <c:v>6.9420967132592382E-2</c:v>
                  </c:pt>
                  <c:pt idx="2">
                    <c:v>0.1100393002494273</c:v>
                  </c:pt>
                  <c:pt idx="3">
                    <c:v>3.7120224196642244E-2</c:v>
                  </c:pt>
                  <c:pt idx="5">
                    <c:v>0.69399490265705033</c:v>
                  </c:pt>
                  <c:pt idx="7">
                    <c:v>0.18225127215046927</c:v>
                  </c:pt>
                  <c:pt idx="10">
                    <c:v>0.34950231400684151</c:v>
                  </c:pt>
                </c:numCache>
              </c:numRef>
            </c:plus>
            <c:minus>
              <c:numRef>
                <c:f>SuppSheet16!$AW$6:$AW$16</c:f>
                <c:numCache>
                  <c:formatCode>General</c:formatCode>
                  <c:ptCount val="11"/>
                  <c:pt idx="0">
                    <c:v>0.16728574619850178</c:v>
                  </c:pt>
                  <c:pt idx="1">
                    <c:v>6.9420967132592382E-2</c:v>
                  </c:pt>
                  <c:pt idx="2">
                    <c:v>0.1100393002494273</c:v>
                  </c:pt>
                  <c:pt idx="3">
                    <c:v>3.7120224196642244E-2</c:v>
                  </c:pt>
                  <c:pt idx="5">
                    <c:v>0.69399490265705033</c:v>
                  </c:pt>
                  <c:pt idx="7">
                    <c:v>0.18225127215046927</c:v>
                  </c:pt>
                  <c:pt idx="10">
                    <c:v>0.34950231400684151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SuppSheet16!$C$6:$C$16</c:f>
              <c:numCache>
                <c:formatCode>0.0</c:formatCode>
                <c:ptCount val="11"/>
                <c:pt idx="0">
                  <c:v>0</c:v>
                </c:pt>
                <c:pt idx="1">
                  <c:v>4.6333333332440816</c:v>
                </c:pt>
                <c:pt idx="2">
                  <c:v>10.849999999918509</c:v>
                </c:pt>
                <c:pt idx="3">
                  <c:v>15.949999999953434</c:v>
                </c:pt>
                <c:pt idx="4">
                  <c:v>26.266666666546371</c:v>
                </c:pt>
                <c:pt idx="5">
                  <c:v>39.266666666662786</c:v>
                </c:pt>
                <c:pt idx="6">
                  <c:v>56.349999999976717</c:v>
                </c:pt>
                <c:pt idx="7">
                  <c:v>81.583333333313931</c:v>
                </c:pt>
                <c:pt idx="8">
                  <c:v>122.08333333331393</c:v>
                </c:pt>
                <c:pt idx="9">
                  <c:v>152.46666666667443</c:v>
                </c:pt>
                <c:pt idx="10">
                  <c:v>219.31666666665114</c:v>
                </c:pt>
              </c:numCache>
            </c:numRef>
          </c:xVal>
          <c:yVal>
            <c:numRef>
              <c:f>SuppSheet16!$AV$6:$AV$16</c:f>
              <c:numCache>
                <c:formatCode>0.00</c:formatCode>
                <c:ptCount val="11"/>
                <c:pt idx="0">
                  <c:v>0.18715681817892513</c:v>
                </c:pt>
                <c:pt idx="1">
                  <c:v>4.0080214061406376E-2</c:v>
                </c:pt>
                <c:pt idx="2">
                  <c:v>6.3531219620444904E-2</c:v>
                </c:pt>
                <c:pt idx="3">
                  <c:v>0.32577091417566617</c:v>
                </c:pt>
                <c:pt idx="5">
                  <c:v>1.5256016949800699</c:v>
                </c:pt>
                <c:pt idx="7">
                  <c:v>0.64797554605297403</c:v>
                </c:pt>
                <c:pt idx="10">
                  <c:v>1.2190218628690863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21-4B2C-93E7-8027A2D4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298112"/>
        <c:axId val="760298440"/>
      </c:scatterChart>
      <c:scatterChart>
        <c:scatterStyle val="lineMarker"/>
        <c:varyColors val="0"/>
        <c:ser>
          <c:idx val="0"/>
          <c:order val="0"/>
          <c:tx>
            <c:v>OD600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SuppSheet16!$J$6:$J$16</c:f>
                <c:numCache>
                  <c:formatCode>General</c:formatCode>
                  <c:ptCount val="11"/>
                  <c:pt idx="0">
                    <c:v>1.1547005383792505E-3</c:v>
                  </c:pt>
                  <c:pt idx="1">
                    <c:v>1.0000000000000009E-3</c:v>
                  </c:pt>
                  <c:pt idx="2">
                    <c:v>3.2145502536643131E-3</c:v>
                  </c:pt>
                  <c:pt idx="3">
                    <c:v>1.1269427669584638E-2</c:v>
                  </c:pt>
                  <c:pt idx="4">
                    <c:v>3.0413812651491248E-2</c:v>
                  </c:pt>
                  <c:pt idx="5">
                    <c:v>3.8552993831002615E-2</c:v>
                  </c:pt>
                  <c:pt idx="6">
                    <c:v>4.085339643163087E-2</c:v>
                  </c:pt>
                  <c:pt idx="7">
                    <c:v>5.2776257288039419E-2</c:v>
                  </c:pt>
                  <c:pt idx="8">
                    <c:v>5.9304300012731355E-2</c:v>
                  </c:pt>
                  <c:pt idx="9">
                    <c:v>6.7715089406522863E-2</c:v>
                  </c:pt>
                  <c:pt idx="10">
                    <c:v>8.7323154623119639E-2</c:v>
                  </c:pt>
                </c:numCache>
              </c:numRef>
            </c:plus>
            <c:minus>
              <c:numRef>
                <c:f>SuppSheet16!$J$6:$J$16</c:f>
                <c:numCache>
                  <c:formatCode>General</c:formatCode>
                  <c:ptCount val="11"/>
                  <c:pt idx="0">
                    <c:v>1.1547005383792505E-3</c:v>
                  </c:pt>
                  <c:pt idx="1">
                    <c:v>1.0000000000000009E-3</c:v>
                  </c:pt>
                  <c:pt idx="2">
                    <c:v>3.2145502536643131E-3</c:v>
                  </c:pt>
                  <c:pt idx="3">
                    <c:v>1.1269427669584638E-2</c:v>
                  </c:pt>
                  <c:pt idx="4">
                    <c:v>3.0413812651491248E-2</c:v>
                  </c:pt>
                  <c:pt idx="5">
                    <c:v>3.8552993831002615E-2</c:v>
                  </c:pt>
                  <c:pt idx="6">
                    <c:v>4.085339643163087E-2</c:v>
                  </c:pt>
                  <c:pt idx="7">
                    <c:v>5.2776257288039419E-2</c:v>
                  </c:pt>
                  <c:pt idx="8">
                    <c:v>5.9304300012731355E-2</c:v>
                  </c:pt>
                  <c:pt idx="9">
                    <c:v>6.7715089406522863E-2</c:v>
                  </c:pt>
                  <c:pt idx="10">
                    <c:v>8.7323154623119639E-2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SuppSheet16!$C$6:$C$16</c:f>
              <c:numCache>
                <c:formatCode>0.0</c:formatCode>
                <c:ptCount val="11"/>
                <c:pt idx="0">
                  <c:v>0</c:v>
                </c:pt>
                <c:pt idx="1">
                  <c:v>4.6333333332440816</c:v>
                </c:pt>
                <c:pt idx="2">
                  <c:v>10.849999999918509</c:v>
                </c:pt>
                <c:pt idx="3">
                  <c:v>15.949999999953434</c:v>
                </c:pt>
                <c:pt idx="4">
                  <c:v>26.266666666546371</c:v>
                </c:pt>
                <c:pt idx="5">
                  <c:v>39.266666666662786</c:v>
                </c:pt>
                <c:pt idx="6">
                  <c:v>56.349999999976717</c:v>
                </c:pt>
                <c:pt idx="7">
                  <c:v>81.583333333313931</c:v>
                </c:pt>
                <c:pt idx="8">
                  <c:v>122.08333333331393</c:v>
                </c:pt>
                <c:pt idx="9">
                  <c:v>152.46666666667443</c:v>
                </c:pt>
                <c:pt idx="10">
                  <c:v>219.31666666665114</c:v>
                </c:pt>
              </c:numCache>
            </c:numRef>
          </c:xVal>
          <c:yVal>
            <c:numRef>
              <c:f>SuppSheet16!$I$6:$I$16</c:f>
              <c:numCache>
                <c:formatCode>0.000</c:formatCode>
                <c:ptCount val="11"/>
                <c:pt idx="0">
                  <c:v>2.1666666666666667E-2</c:v>
                </c:pt>
                <c:pt idx="1">
                  <c:v>4.6000000000000006E-2</c:v>
                </c:pt>
                <c:pt idx="2">
                  <c:v>8.4666666666666668E-2</c:v>
                </c:pt>
                <c:pt idx="3">
                  <c:v>0.14700000000000002</c:v>
                </c:pt>
                <c:pt idx="4">
                  <c:v>0.21999999999999997</c:v>
                </c:pt>
                <c:pt idx="5">
                  <c:v>0.25433333333333336</c:v>
                </c:pt>
                <c:pt idx="6">
                  <c:v>0.27899999999999997</c:v>
                </c:pt>
                <c:pt idx="7">
                  <c:v>0.3066666666666667</c:v>
                </c:pt>
                <c:pt idx="8">
                  <c:v>0.33499999999999996</c:v>
                </c:pt>
                <c:pt idx="9">
                  <c:v>0.36333333333333329</c:v>
                </c:pt>
                <c:pt idx="10">
                  <c:v>0.48066666666666674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21-4B2C-93E7-8027A2D4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27184"/>
        <c:axId val="618622264"/>
      </c:scatterChart>
      <c:valAx>
        <c:axId val="7602981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98440"/>
        <c:crosses val="autoZero"/>
        <c:crossBetween val="midCat"/>
      </c:valAx>
      <c:valAx>
        <c:axId val="760298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Metabolites (mM) or 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98112"/>
        <c:crosses val="autoZero"/>
        <c:crossBetween val="midCat"/>
      </c:valAx>
      <c:valAx>
        <c:axId val="6186222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27184"/>
        <c:crosses val="max"/>
        <c:crossBetween val="midCat"/>
      </c:valAx>
      <c:valAx>
        <c:axId val="61862718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1862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ECOM + 403 10:1 Ratio, Corrected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SuppSheet16!$U$6:$U$16</c:f>
                <c:numCache>
                  <c:formatCode>General</c:formatCode>
                  <c:ptCount val="11"/>
                  <c:pt idx="0">
                    <c:v>5.7735026918961348E-3</c:v>
                  </c:pt>
                  <c:pt idx="1">
                    <c:v>5.7735026918961348E-3</c:v>
                  </c:pt>
                  <c:pt idx="2">
                    <c:v>5.7735026918961348E-3</c:v>
                  </c:pt>
                  <c:pt idx="3">
                    <c:v>3.2145502536643007E-2</c:v>
                  </c:pt>
                  <c:pt idx="4">
                    <c:v>0.15885003409925136</c:v>
                  </c:pt>
                  <c:pt idx="5">
                    <c:v>0.11547005383792526</c:v>
                  </c:pt>
                  <c:pt idx="6">
                    <c:v>6.0827625302982434E-2</c:v>
                  </c:pt>
                  <c:pt idx="7">
                    <c:v>7.5718777944003557E-2</c:v>
                  </c:pt>
                  <c:pt idx="8">
                    <c:v>8.7177978870813452E-2</c:v>
                  </c:pt>
                  <c:pt idx="9">
                    <c:v>5.1316014394468736E-2</c:v>
                  </c:pt>
                  <c:pt idx="10">
                    <c:v>0.18770544300401457</c:v>
                  </c:pt>
                </c:numCache>
              </c:numRef>
            </c:plus>
            <c:minus>
              <c:numRef>
                <c:f>SuppSheet16!$U$6:$U$16</c:f>
                <c:numCache>
                  <c:formatCode>General</c:formatCode>
                  <c:ptCount val="11"/>
                  <c:pt idx="0">
                    <c:v>5.7735026918961348E-3</c:v>
                  </c:pt>
                  <c:pt idx="1">
                    <c:v>5.7735026918961348E-3</c:v>
                  </c:pt>
                  <c:pt idx="2">
                    <c:v>5.7735026918961348E-3</c:v>
                  </c:pt>
                  <c:pt idx="3">
                    <c:v>3.2145502536643007E-2</c:v>
                  </c:pt>
                  <c:pt idx="4">
                    <c:v>0.15885003409925136</c:v>
                  </c:pt>
                  <c:pt idx="5">
                    <c:v>0.11547005383792526</c:v>
                  </c:pt>
                  <c:pt idx="6">
                    <c:v>6.0827625302982434E-2</c:v>
                  </c:pt>
                  <c:pt idx="7">
                    <c:v>7.5718777944003557E-2</c:v>
                  </c:pt>
                  <c:pt idx="8">
                    <c:v>8.7177978870813452E-2</c:v>
                  </c:pt>
                  <c:pt idx="9">
                    <c:v>5.1316014394468736E-2</c:v>
                  </c:pt>
                  <c:pt idx="10">
                    <c:v>0.18770544300401457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SuppSheet16!$C$6:$C$16</c:f>
              <c:numCache>
                <c:formatCode>0.0</c:formatCode>
                <c:ptCount val="11"/>
                <c:pt idx="0">
                  <c:v>0</c:v>
                </c:pt>
                <c:pt idx="1">
                  <c:v>4.6333333332440816</c:v>
                </c:pt>
                <c:pt idx="2">
                  <c:v>10.849999999918509</c:v>
                </c:pt>
                <c:pt idx="3">
                  <c:v>15.949999999953434</c:v>
                </c:pt>
                <c:pt idx="4">
                  <c:v>26.266666666546371</c:v>
                </c:pt>
                <c:pt idx="5">
                  <c:v>39.266666666662786</c:v>
                </c:pt>
                <c:pt idx="6">
                  <c:v>56.349999999976717</c:v>
                </c:pt>
                <c:pt idx="7">
                  <c:v>81.583333333313931</c:v>
                </c:pt>
                <c:pt idx="8">
                  <c:v>122.08333333331393</c:v>
                </c:pt>
                <c:pt idx="9">
                  <c:v>152.46666666667443</c:v>
                </c:pt>
                <c:pt idx="10">
                  <c:v>219.31666666665114</c:v>
                </c:pt>
              </c:numCache>
            </c:numRef>
          </c:xVal>
          <c:yVal>
            <c:numRef>
              <c:f>SuppSheet16!$T$6:$T$16</c:f>
              <c:numCache>
                <c:formatCode>0.00</c:formatCode>
                <c:ptCount val="11"/>
                <c:pt idx="0">
                  <c:v>6.9666666666666659</c:v>
                </c:pt>
                <c:pt idx="1">
                  <c:v>6.496666666666667</c:v>
                </c:pt>
                <c:pt idx="2">
                  <c:v>4.6633333333333331</c:v>
                </c:pt>
                <c:pt idx="3">
                  <c:v>4.8966666666666665</c:v>
                </c:pt>
                <c:pt idx="4">
                  <c:v>5.3033333333333337</c:v>
                </c:pt>
                <c:pt idx="5">
                  <c:v>5.6533333333333324</c:v>
                </c:pt>
                <c:pt idx="6">
                  <c:v>5.91</c:v>
                </c:pt>
                <c:pt idx="7">
                  <c:v>6.2033333333333331</c:v>
                </c:pt>
                <c:pt idx="8">
                  <c:v>6.45</c:v>
                </c:pt>
                <c:pt idx="9">
                  <c:v>6.5233333333333334</c:v>
                </c:pt>
                <c:pt idx="10">
                  <c:v>5.9566666666666661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D-46E0-9F61-89E5E63FEECD}"/>
            </c:ext>
          </c:extLst>
        </c:ser>
        <c:ser>
          <c:idx val="2"/>
          <c:order val="2"/>
          <c:tx>
            <c:v>glucose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SuppSheet16!$AF$6:$AF$16</c:f>
                <c:numCache>
                  <c:formatCode>General</c:formatCode>
                  <c:ptCount val="11"/>
                  <c:pt idx="0">
                    <c:v>0.86056166232611853</c:v>
                  </c:pt>
                  <c:pt idx="1">
                    <c:v>1.2564748988155174</c:v>
                  </c:pt>
                  <c:pt idx="2">
                    <c:v>1.1121282004712538</c:v>
                  </c:pt>
                  <c:pt idx="3">
                    <c:v>1.0563206696864884</c:v>
                  </c:pt>
                  <c:pt idx="5">
                    <c:v>0.97868256132034404</c:v>
                  </c:pt>
                  <c:pt idx="7">
                    <c:v>1.5383209249313381</c:v>
                  </c:pt>
                  <c:pt idx="10">
                    <c:v>1.6000781319958828</c:v>
                  </c:pt>
                </c:numCache>
              </c:numRef>
            </c:plus>
            <c:minus>
              <c:numRef>
                <c:f>SuppSheet16!$AF$6:$AF$16</c:f>
                <c:numCache>
                  <c:formatCode>General</c:formatCode>
                  <c:ptCount val="11"/>
                  <c:pt idx="0">
                    <c:v>0.86056166232611853</c:v>
                  </c:pt>
                  <c:pt idx="1">
                    <c:v>1.2564748988155174</c:v>
                  </c:pt>
                  <c:pt idx="2">
                    <c:v>1.1121282004712538</c:v>
                  </c:pt>
                  <c:pt idx="3">
                    <c:v>1.0563206696864884</c:v>
                  </c:pt>
                  <c:pt idx="5">
                    <c:v>0.97868256132034404</c:v>
                  </c:pt>
                  <c:pt idx="7">
                    <c:v>1.5383209249313381</c:v>
                  </c:pt>
                  <c:pt idx="10">
                    <c:v>1.6000781319958828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SuppSheet16!$C$6:$C$16</c:f>
              <c:numCache>
                <c:formatCode>0.0</c:formatCode>
                <c:ptCount val="11"/>
                <c:pt idx="0">
                  <c:v>0</c:v>
                </c:pt>
                <c:pt idx="1">
                  <c:v>4.6333333332440816</c:v>
                </c:pt>
                <c:pt idx="2">
                  <c:v>10.849999999918509</c:v>
                </c:pt>
                <c:pt idx="3">
                  <c:v>15.949999999953434</c:v>
                </c:pt>
                <c:pt idx="4">
                  <c:v>26.266666666546371</c:v>
                </c:pt>
                <c:pt idx="5">
                  <c:v>39.266666666662786</c:v>
                </c:pt>
                <c:pt idx="6">
                  <c:v>56.349999999976717</c:v>
                </c:pt>
                <c:pt idx="7">
                  <c:v>81.583333333313931</c:v>
                </c:pt>
                <c:pt idx="8">
                  <c:v>122.08333333331393</c:v>
                </c:pt>
                <c:pt idx="9">
                  <c:v>152.46666666667443</c:v>
                </c:pt>
                <c:pt idx="10">
                  <c:v>219.31666666665114</c:v>
                </c:pt>
              </c:numCache>
            </c:numRef>
          </c:xVal>
          <c:yVal>
            <c:numRef>
              <c:f>SuppSheet16!$AE$6:$AE$16</c:f>
              <c:numCache>
                <c:formatCode>0.00</c:formatCode>
                <c:ptCount val="11"/>
                <c:pt idx="0">
                  <c:v>27.245241298412264</c:v>
                </c:pt>
                <c:pt idx="1">
                  <c:v>26.636724274875125</c:v>
                </c:pt>
                <c:pt idx="2">
                  <c:v>25.218290230525309</c:v>
                </c:pt>
                <c:pt idx="3">
                  <c:v>24.766243203437849</c:v>
                </c:pt>
                <c:pt idx="5">
                  <c:v>22.856796855200031</c:v>
                </c:pt>
                <c:pt idx="7">
                  <c:v>21.593289812156229</c:v>
                </c:pt>
                <c:pt idx="10">
                  <c:v>19.282732904304968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D-46E0-9F61-89E5E63FEECD}"/>
            </c:ext>
          </c:extLst>
        </c:ser>
        <c:ser>
          <c:idx val="3"/>
          <c:order val="3"/>
          <c:tx>
            <c:v>lactate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SuppSheet16!$AQ$6:$AQ$16</c:f>
                <c:numCache>
                  <c:formatCode>General</c:formatCode>
                  <c:ptCount val="11"/>
                  <c:pt idx="0">
                    <c:v>2.2937562968573171E-2</c:v>
                  </c:pt>
                  <c:pt idx="1">
                    <c:v>3.5635659189462085E-2</c:v>
                  </c:pt>
                  <c:pt idx="2">
                    <c:v>0.13988381075922274</c:v>
                  </c:pt>
                  <c:pt idx="3">
                    <c:v>0.17096520393899289</c:v>
                  </c:pt>
                  <c:pt idx="5">
                    <c:v>0.15902465321136769</c:v>
                  </c:pt>
                  <c:pt idx="7">
                    <c:v>0.16886073030400917</c:v>
                  </c:pt>
                  <c:pt idx="10">
                    <c:v>0</c:v>
                  </c:pt>
                </c:numCache>
              </c:numRef>
            </c:plus>
            <c:minus>
              <c:numRef>
                <c:f>SuppSheet16!$AQ$6:$AQ$16</c:f>
                <c:numCache>
                  <c:formatCode>General</c:formatCode>
                  <c:ptCount val="11"/>
                  <c:pt idx="0">
                    <c:v>2.2937562968573171E-2</c:v>
                  </c:pt>
                  <c:pt idx="1">
                    <c:v>3.5635659189462085E-2</c:v>
                  </c:pt>
                  <c:pt idx="2">
                    <c:v>0.13988381075922274</c:v>
                  </c:pt>
                  <c:pt idx="3">
                    <c:v>0.17096520393899289</c:v>
                  </c:pt>
                  <c:pt idx="5">
                    <c:v>0.15902465321136769</c:v>
                  </c:pt>
                  <c:pt idx="7">
                    <c:v>0.16886073030400917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SuppSheet16!$C$6:$C$16</c:f>
              <c:numCache>
                <c:formatCode>0.0</c:formatCode>
                <c:ptCount val="11"/>
                <c:pt idx="0">
                  <c:v>0</c:v>
                </c:pt>
                <c:pt idx="1">
                  <c:v>4.6333333332440816</c:v>
                </c:pt>
                <c:pt idx="2">
                  <c:v>10.849999999918509</c:v>
                </c:pt>
                <c:pt idx="3">
                  <c:v>15.949999999953434</c:v>
                </c:pt>
                <c:pt idx="4">
                  <c:v>26.266666666546371</c:v>
                </c:pt>
                <c:pt idx="5">
                  <c:v>39.266666666662786</c:v>
                </c:pt>
                <c:pt idx="6">
                  <c:v>56.349999999976717</c:v>
                </c:pt>
                <c:pt idx="7">
                  <c:v>81.583333333313931</c:v>
                </c:pt>
                <c:pt idx="8">
                  <c:v>122.08333333331393</c:v>
                </c:pt>
                <c:pt idx="9">
                  <c:v>152.46666666667443</c:v>
                </c:pt>
                <c:pt idx="10">
                  <c:v>219.31666666665114</c:v>
                </c:pt>
              </c:numCache>
            </c:numRef>
          </c:xVal>
          <c:yVal>
            <c:numRef>
              <c:f>SuppSheet16!$AP$6:$AP$16</c:f>
              <c:numCache>
                <c:formatCode>0.00</c:formatCode>
                <c:ptCount val="11"/>
                <c:pt idx="0">
                  <c:v>8.5866125322199338E-2</c:v>
                </c:pt>
                <c:pt idx="1">
                  <c:v>1.7281203800634879</c:v>
                </c:pt>
                <c:pt idx="2">
                  <c:v>4.3684203231057355</c:v>
                </c:pt>
                <c:pt idx="3">
                  <c:v>3.661795877360241</c:v>
                </c:pt>
                <c:pt idx="5">
                  <c:v>1.4176179267462814</c:v>
                </c:pt>
                <c:pt idx="7">
                  <c:v>0.99756645032639479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D-46E0-9F61-89E5E63FEECD}"/>
            </c:ext>
          </c:extLst>
        </c:ser>
        <c:ser>
          <c:idx val="4"/>
          <c:order val="4"/>
          <c:tx>
            <c:v>acetate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SuppSheet16!$BB$6:$BB$16</c:f>
                <c:numCache>
                  <c:formatCode>General</c:formatCode>
                  <c:ptCount val="11"/>
                  <c:pt idx="0">
                    <c:v>0.16728574619850178</c:v>
                  </c:pt>
                  <c:pt idx="1">
                    <c:v>6.8936921791263664E-2</c:v>
                  </c:pt>
                  <c:pt idx="2">
                    <c:v>0.10825923749175492</c:v>
                  </c:pt>
                  <c:pt idx="3">
                    <c:v>3.6244153290497245E-2</c:v>
                  </c:pt>
                  <c:pt idx="5">
                    <c:v>0.6550171056638735</c:v>
                  </c:pt>
                  <c:pt idx="7">
                    <c:v>0.16219790529198141</c:v>
                  </c:pt>
                  <c:pt idx="10">
                    <c:v>0.26231770073144028</c:v>
                  </c:pt>
                </c:numCache>
              </c:numRef>
            </c:plus>
            <c:minus>
              <c:numRef>
                <c:f>SuppSheet16!$BB$6:$BB$16</c:f>
                <c:numCache>
                  <c:formatCode>General</c:formatCode>
                  <c:ptCount val="11"/>
                  <c:pt idx="0">
                    <c:v>0.16728574619850178</c:v>
                  </c:pt>
                  <c:pt idx="1">
                    <c:v>6.8936921791263664E-2</c:v>
                  </c:pt>
                  <c:pt idx="2">
                    <c:v>0.10825923749175492</c:v>
                  </c:pt>
                  <c:pt idx="3">
                    <c:v>3.6244153290497245E-2</c:v>
                  </c:pt>
                  <c:pt idx="5">
                    <c:v>0.6550171056638735</c:v>
                  </c:pt>
                  <c:pt idx="7">
                    <c:v>0.16219790529198141</c:v>
                  </c:pt>
                  <c:pt idx="10">
                    <c:v>0.26231770073144028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SuppSheet16!$C$6:$C$16</c:f>
              <c:numCache>
                <c:formatCode>0.0</c:formatCode>
                <c:ptCount val="11"/>
                <c:pt idx="0">
                  <c:v>0</c:v>
                </c:pt>
                <c:pt idx="1">
                  <c:v>4.6333333332440816</c:v>
                </c:pt>
                <c:pt idx="2">
                  <c:v>10.849999999918509</c:v>
                </c:pt>
                <c:pt idx="3">
                  <c:v>15.949999999953434</c:v>
                </c:pt>
                <c:pt idx="4">
                  <c:v>26.266666666546371</c:v>
                </c:pt>
                <c:pt idx="5">
                  <c:v>39.266666666662786</c:v>
                </c:pt>
                <c:pt idx="6">
                  <c:v>56.349999999976717</c:v>
                </c:pt>
                <c:pt idx="7">
                  <c:v>81.583333333313931</c:v>
                </c:pt>
                <c:pt idx="8">
                  <c:v>122.08333333331393</c:v>
                </c:pt>
                <c:pt idx="9">
                  <c:v>152.46666666667443</c:v>
                </c:pt>
                <c:pt idx="10">
                  <c:v>219.31666666665114</c:v>
                </c:pt>
              </c:numCache>
            </c:numRef>
          </c:xVal>
          <c:yVal>
            <c:numRef>
              <c:f>SuppSheet16!$BA$6:$BA$16</c:f>
              <c:numCache>
                <c:formatCode>0.00</c:formatCode>
                <c:ptCount val="11"/>
                <c:pt idx="0">
                  <c:v>0.18715681817892513</c:v>
                </c:pt>
                <c:pt idx="1">
                  <c:v>3.9800750353290261E-2</c:v>
                </c:pt>
                <c:pt idx="2">
                  <c:v>6.2503499908128327E-2</c:v>
                </c:pt>
                <c:pt idx="3">
                  <c:v>0.3180824255915003</c:v>
                </c:pt>
                <c:pt idx="5">
                  <c:v>1.4399172138236362</c:v>
                </c:pt>
                <c:pt idx="7">
                  <c:v>0.5766778745085962</c:v>
                </c:pt>
                <c:pt idx="10">
                  <c:v>0.91493246079885948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D-46E0-9F61-89E5E63F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298112"/>
        <c:axId val="760298440"/>
      </c:scatterChart>
      <c:scatterChart>
        <c:scatterStyle val="lineMarker"/>
        <c:varyColors val="0"/>
        <c:ser>
          <c:idx val="0"/>
          <c:order val="0"/>
          <c:tx>
            <c:v>OD600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SuppSheet16!$O$6:$O$16</c:f>
                <c:numCache>
                  <c:formatCode>General</c:formatCode>
                  <c:ptCount val="11"/>
                  <c:pt idx="0">
                    <c:v>1.1547005383792505E-3</c:v>
                  </c:pt>
                  <c:pt idx="1">
                    <c:v>9.9302738983160499E-4</c:v>
                  </c:pt>
                  <c:pt idx="2">
                    <c:v>3.1625497304308531E-3</c:v>
                  </c:pt>
                  <c:pt idx="3">
                    <c:v>1.1003458971283464E-2</c:v>
                  </c:pt>
                  <c:pt idx="4">
                    <c:v>2.9249514426297293E-2</c:v>
                  </c:pt>
                  <c:pt idx="5">
                    <c:v>3.6387688637447839E-2</c:v>
                  </c:pt>
                  <c:pt idx="6">
                    <c:v>3.7639182940318441E-2</c:v>
                  </c:pt>
                  <c:pt idx="7">
                    <c:v>4.6969210586377957E-2</c:v>
                  </c:pt>
                  <c:pt idx="8">
                    <c:v>5.0045368313590792E-2</c:v>
                  </c:pt>
                  <c:pt idx="9">
                    <c:v>5.5005735015960906E-2</c:v>
                  </c:pt>
                  <c:pt idx="10">
                    <c:v>6.5540078629935716E-2</c:v>
                  </c:pt>
                </c:numCache>
              </c:numRef>
            </c:plus>
            <c:minus>
              <c:numRef>
                <c:f>SuppSheet16!$O$6:$O$16</c:f>
                <c:numCache>
                  <c:formatCode>General</c:formatCode>
                  <c:ptCount val="11"/>
                  <c:pt idx="0">
                    <c:v>1.1547005383792505E-3</c:v>
                  </c:pt>
                  <c:pt idx="1">
                    <c:v>9.9302738983160499E-4</c:v>
                  </c:pt>
                  <c:pt idx="2">
                    <c:v>3.1625497304308531E-3</c:v>
                  </c:pt>
                  <c:pt idx="3">
                    <c:v>1.1003458971283464E-2</c:v>
                  </c:pt>
                  <c:pt idx="4">
                    <c:v>2.9249514426297293E-2</c:v>
                  </c:pt>
                  <c:pt idx="5">
                    <c:v>3.6387688637447839E-2</c:v>
                  </c:pt>
                  <c:pt idx="6">
                    <c:v>3.7639182940318441E-2</c:v>
                  </c:pt>
                  <c:pt idx="7">
                    <c:v>4.6969210586377957E-2</c:v>
                  </c:pt>
                  <c:pt idx="8">
                    <c:v>5.0045368313590792E-2</c:v>
                  </c:pt>
                  <c:pt idx="9">
                    <c:v>5.5005735015960906E-2</c:v>
                  </c:pt>
                  <c:pt idx="10">
                    <c:v>6.5540078629935716E-2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SuppSheet16!$C$6:$C$16</c:f>
              <c:numCache>
                <c:formatCode>0.0</c:formatCode>
                <c:ptCount val="11"/>
                <c:pt idx="0">
                  <c:v>0</c:v>
                </c:pt>
                <c:pt idx="1">
                  <c:v>4.6333333332440816</c:v>
                </c:pt>
                <c:pt idx="2">
                  <c:v>10.849999999918509</c:v>
                </c:pt>
                <c:pt idx="3">
                  <c:v>15.949999999953434</c:v>
                </c:pt>
                <c:pt idx="4">
                  <c:v>26.266666666546371</c:v>
                </c:pt>
                <c:pt idx="5">
                  <c:v>39.266666666662786</c:v>
                </c:pt>
                <c:pt idx="6">
                  <c:v>56.349999999976717</c:v>
                </c:pt>
                <c:pt idx="7">
                  <c:v>81.583333333313931</c:v>
                </c:pt>
                <c:pt idx="8">
                  <c:v>122.08333333331393</c:v>
                </c:pt>
                <c:pt idx="9">
                  <c:v>152.46666666667443</c:v>
                </c:pt>
                <c:pt idx="10">
                  <c:v>219.31666666665114</c:v>
                </c:pt>
              </c:numCache>
            </c:numRef>
          </c:xVal>
          <c:yVal>
            <c:numRef>
              <c:f>SuppSheet16!$N$6:$N$16</c:f>
              <c:numCache>
                <c:formatCode>0.000</c:formatCode>
                <c:ptCount val="11"/>
                <c:pt idx="0">
                  <c:v>2.1666666666666667E-2</c:v>
                </c:pt>
                <c:pt idx="1">
                  <c:v>4.5679259932253712E-2</c:v>
                </c:pt>
                <c:pt idx="2">
                  <c:v>8.3297047087043982E-2</c:v>
                </c:pt>
                <c:pt idx="3">
                  <c:v>0.14353066688064442</c:v>
                </c:pt>
                <c:pt idx="4">
                  <c:v>0.21157798423769422</c:v>
                </c:pt>
                <c:pt idx="5">
                  <c:v>0.24004885804783774</c:v>
                </c:pt>
                <c:pt idx="6">
                  <c:v>0.25704917969116631</c:v>
                </c:pt>
                <c:pt idx="7">
                  <c:v>0.27292369687900481</c:v>
                </c:pt>
                <c:pt idx="8">
                  <c:v>0.28269785464888636</c:v>
                </c:pt>
                <c:pt idx="9">
                  <c:v>0.29513978687701653</c:v>
                </c:pt>
                <c:pt idx="10">
                  <c:v>0.36076263236350775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D-46E0-9F61-89E5E63F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27184"/>
        <c:axId val="618622264"/>
      </c:scatterChart>
      <c:valAx>
        <c:axId val="7602981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98440"/>
        <c:crosses val="autoZero"/>
        <c:crossBetween val="midCat"/>
      </c:valAx>
      <c:valAx>
        <c:axId val="760298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Metabolites (mM) or 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98112"/>
        <c:crosses val="autoZero"/>
        <c:crossBetween val="midCat"/>
      </c:valAx>
      <c:valAx>
        <c:axId val="6186222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27184"/>
        <c:crosses val="max"/>
        <c:crossBetween val="midCat"/>
      </c:valAx>
      <c:valAx>
        <c:axId val="61862718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1862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SuppSheet16!$CB$6:$CB$16</c:f>
                <c:numCache>
                  <c:formatCode>General</c:formatCode>
                  <c:ptCount val="11"/>
                  <c:pt idx="0">
                    <c:v>2.142280678703206E-2</c:v>
                  </c:pt>
                  <c:pt idx="2">
                    <c:v>1.0909505792520995E-2</c:v>
                  </c:pt>
                  <c:pt idx="4">
                    <c:v>0.1050206614016629</c:v>
                  </c:pt>
                  <c:pt idx="6">
                    <c:v>9.1188199928097402E-2</c:v>
                  </c:pt>
                  <c:pt idx="9">
                    <c:v>0.88322309377856689</c:v>
                  </c:pt>
                </c:numCache>
              </c:numRef>
            </c:plus>
            <c:minus>
              <c:numRef>
                <c:f>SuppSheet16!$CB$6:$CB$16</c:f>
                <c:numCache>
                  <c:formatCode>General</c:formatCode>
                  <c:ptCount val="11"/>
                  <c:pt idx="0">
                    <c:v>2.142280678703206E-2</c:v>
                  </c:pt>
                  <c:pt idx="2">
                    <c:v>1.0909505792520995E-2</c:v>
                  </c:pt>
                  <c:pt idx="4">
                    <c:v>0.1050206614016629</c:v>
                  </c:pt>
                  <c:pt idx="6">
                    <c:v>9.1188199928097402E-2</c:v>
                  </c:pt>
                  <c:pt idx="9">
                    <c:v>0.88322309377856689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SuppSheet16!$C$6:$C$16</c:f>
              <c:numCache>
                <c:formatCode>0.0</c:formatCode>
                <c:ptCount val="11"/>
                <c:pt idx="0">
                  <c:v>0</c:v>
                </c:pt>
                <c:pt idx="1">
                  <c:v>4.6333333332440816</c:v>
                </c:pt>
                <c:pt idx="2">
                  <c:v>10.849999999918509</c:v>
                </c:pt>
                <c:pt idx="3">
                  <c:v>15.949999999953434</c:v>
                </c:pt>
                <c:pt idx="4">
                  <c:v>26.266666666546371</c:v>
                </c:pt>
                <c:pt idx="5">
                  <c:v>39.266666666662786</c:v>
                </c:pt>
                <c:pt idx="6">
                  <c:v>56.349999999976717</c:v>
                </c:pt>
                <c:pt idx="7">
                  <c:v>81.583333333313931</c:v>
                </c:pt>
                <c:pt idx="8">
                  <c:v>122.08333333331393</c:v>
                </c:pt>
                <c:pt idx="9">
                  <c:v>152.46666666667443</c:v>
                </c:pt>
                <c:pt idx="10">
                  <c:v>219.31666666665114</c:v>
                </c:pt>
              </c:numCache>
            </c:numRef>
          </c:xVal>
          <c:yVal>
            <c:numRef>
              <c:f>SuppSheet16!$CA$6:$CA$16</c:f>
              <c:numCache>
                <c:formatCode>0.00</c:formatCode>
                <c:ptCount val="11"/>
                <c:pt idx="0">
                  <c:v>0.8951450501735132</c:v>
                </c:pt>
                <c:pt idx="2">
                  <c:v>0.80863606073869043</c:v>
                </c:pt>
                <c:pt idx="4">
                  <c:v>0.33781565656565654</c:v>
                </c:pt>
                <c:pt idx="6">
                  <c:v>-0.16950289600935223</c:v>
                </c:pt>
                <c:pt idx="9">
                  <c:v>-1.2417240599414086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8-4AFF-8587-2824BAF2CA8E}"/>
            </c:ext>
          </c:extLst>
        </c:ser>
        <c:ser>
          <c:idx val="1"/>
          <c:order val="1"/>
          <c:tx>
            <c:v>403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SuppSheet16!$CG$6:$CG$16</c:f>
                <c:numCache>
                  <c:formatCode>General</c:formatCode>
                  <c:ptCount val="11"/>
                  <c:pt idx="0">
                    <c:v>2.1422806787032088E-2</c:v>
                  </c:pt>
                  <c:pt idx="2">
                    <c:v>1.0909505792521026E-2</c:v>
                  </c:pt>
                  <c:pt idx="4">
                    <c:v>0.1050206614016629</c:v>
                  </c:pt>
                  <c:pt idx="6">
                    <c:v>9.1188199928097291E-2</c:v>
                  </c:pt>
                  <c:pt idx="9">
                    <c:v>0.88322309377856789</c:v>
                  </c:pt>
                </c:numCache>
              </c:numRef>
            </c:plus>
            <c:minus>
              <c:numRef>
                <c:f>SuppSheet16!$CG$6:$CG$16</c:f>
                <c:numCache>
                  <c:formatCode>General</c:formatCode>
                  <c:ptCount val="11"/>
                  <c:pt idx="0">
                    <c:v>2.1422806787032088E-2</c:v>
                  </c:pt>
                  <c:pt idx="2">
                    <c:v>1.0909505792521026E-2</c:v>
                  </c:pt>
                  <c:pt idx="4">
                    <c:v>0.1050206614016629</c:v>
                  </c:pt>
                  <c:pt idx="6">
                    <c:v>9.1188199928097291E-2</c:v>
                  </c:pt>
                  <c:pt idx="9">
                    <c:v>0.88322309377856789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SuppSheet16!$C$6:$C$16</c:f>
              <c:numCache>
                <c:formatCode>0.0</c:formatCode>
                <c:ptCount val="11"/>
                <c:pt idx="0">
                  <c:v>0</c:v>
                </c:pt>
                <c:pt idx="1">
                  <c:v>4.6333333332440816</c:v>
                </c:pt>
                <c:pt idx="2">
                  <c:v>10.849999999918509</c:v>
                </c:pt>
                <c:pt idx="3">
                  <c:v>15.949999999953434</c:v>
                </c:pt>
                <c:pt idx="4">
                  <c:v>26.266666666546371</c:v>
                </c:pt>
                <c:pt idx="5">
                  <c:v>39.266666666662786</c:v>
                </c:pt>
                <c:pt idx="6">
                  <c:v>56.349999999976717</c:v>
                </c:pt>
                <c:pt idx="7">
                  <c:v>81.583333333313931</c:v>
                </c:pt>
                <c:pt idx="8">
                  <c:v>122.08333333331393</c:v>
                </c:pt>
                <c:pt idx="9">
                  <c:v>152.46666666667443</c:v>
                </c:pt>
                <c:pt idx="10">
                  <c:v>219.31666666665114</c:v>
                </c:pt>
              </c:numCache>
            </c:numRef>
          </c:xVal>
          <c:yVal>
            <c:numRef>
              <c:f>SuppSheet16!$CF$6:$CF$16</c:f>
              <c:numCache>
                <c:formatCode>0.00</c:formatCode>
                <c:ptCount val="11"/>
                <c:pt idx="0">
                  <c:v>0.10485494982648684</c:v>
                </c:pt>
                <c:pt idx="2">
                  <c:v>0.19136393926130965</c:v>
                </c:pt>
                <c:pt idx="4">
                  <c:v>0.6621843434343434</c:v>
                </c:pt>
                <c:pt idx="6">
                  <c:v>1.1695028960093523</c:v>
                </c:pt>
                <c:pt idx="9">
                  <c:v>2.2417240599414083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8-4AFF-8587-2824BAF2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02264"/>
        <c:axId val="529841216"/>
      </c:scatterChart>
      <c:valAx>
        <c:axId val="53000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41216"/>
        <c:crosses val="autoZero"/>
        <c:crossBetween val="midCat"/>
      </c:valAx>
      <c:valAx>
        <c:axId val="5298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0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SuppSheet17!$C$6:$C$13</c:f>
              <c:numCache>
                <c:formatCode>0.0</c:formatCode>
                <c:ptCount val="8"/>
                <c:pt idx="0">
                  <c:v>0</c:v>
                </c:pt>
                <c:pt idx="1">
                  <c:v>1.0166666666627862</c:v>
                </c:pt>
                <c:pt idx="2">
                  <c:v>2.0999999998603016</c:v>
                </c:pt>
                <c:pt idx="3">
                  <c:v>3.2999999999301508</c:v>
                </c:pt>
                <c:pt idx="4">
                  <c:v>4.5</c:v>
                </c:pt>
                <c:pt idx="5">
                  <c:v>5.816666666592937</c:v>
                </c:pt>
                <c:pt idx="6">
                  <c:v>7.4333333332906477</c:v>
                </c:pt>
                <c:pt idx="7">
                  <c:v>13.666666666511446</c:v>
                </c:pt>
              </c:numCache>
            </c:numRef>
          </c:xVal>
          <c:yVal>
            <c:numRef>
              <c:f>SuppSheet17!$J$6:$J$13</c:f>
              <c:numCache>
                <c:formatCode>0.00</c:formatCode>
                <c:ptCount val="8"/>
                <c:pt idx="0">
                  <c:v>6.02</c:v>
                </c:pt>
                <c:pt idx="1">
                  <c:v>5.88</c:v>
                </c:pt>
                <c:pt idx="2">
                  <c:v>5.53</c:v>
                </c:pt>
                <c:pt idx="3">
                  <c:v>4.75</c:v>
                </c:pt>
                <c:pt idx="4">
                  <c:v>4.29</c:v>
                </c:pt>
                <c:pt idx="5">
                  <c:v>4.12</c:v>
                </c:pt>
                <c:pt idx="6">
                  <c:v>4.1399999999999997</c:v>
                </c:pt>
                <c:pt idx="7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0-4225-830E-520E6BEEB62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SuppSheet17!$C$6:$C$13</c:f>
              <c:numCache>
                <c:formatCode>0.0</c:formatCode>
                <c:ptCount val="8"/>
                <c:pt idx="0">
                  <c:v>0</c:v>
                </c:pt>
                <c:pt idx="1">
                  <c:v>1.0166666666627862</c:v>
                </c:pt>
                <c:pt idx="2">
                  <c:v>2.0999999998603016</c:v>
                </c:pt>
                <c:pt idx="3">
                  <c:v>3.2999999999301508</c:v>
                </c:pt>
                <c:pt idx="4">
                  <c:v>4.5</c:v>
                </c:pt>
                <c:pt idx="5">
                  <c:v>5.816666666592937</c:v>
                </c:pt>
                <c:pt idx="6">
                  <c:v>7.4333333332906477</c:v>
                </c:pt>
                <c:pt idx="7">
                  <c:v>13.666666666511446</c:v>
                </c:pt>
              </c:numCache>
            </c:numRef>
          </c:xVal>
          <c:yVal>
            <c:numRef>
              <c:f>SuppSheet17!$K$6:$K$13</c:f>
              <c:numCache>
                <c:formatCode>0.00</c:formatCode>
                <c:ptCount val="8"/>
                <c:pt idx="0">
                  <c:v>6.03</c:v>
                </c:pt>
                <c:pt idx="1">
                  <c:v>5.89</c:v>
                </c:pt>
                <c:pt idx="2">
                  <c:v>5.55</c:v>
                </c:pt>
                <c:pt idx="3">
                  <c:v>4.76</c:v>
                </c:pt>
                <c:pt idx="4">
                  <c:v>4.29</c:v>
                </c:pt>
                <c:pt idx="5">
                  <c:v>4.1399999999999997</c:v>
                </c:pt>
                <c:pt idx="6">
                  <c:v>4.12</c:v>
                </c:pt>
                <c:pt idx="7">
                  <c:v>4.0599999999999996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0-4225-830E-520E6BEEB62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SuppSheet17!$C$6:$C$13</c:f>
              <c:numCache>
                <c:formatCode>0.0</c:formatCode>
                <c:ptCount val="8"/>
                <c:pt idx="0">
                  <c:v>0</c:v>
                </c:pt>
                <c:pt idx="1">
                  <c:v>1.0166666666627862</c:v>
                </c:pt>
                <c:pt idx="2">
                  <c:v>2.0999999998603016</c:v>
                </c:pt>
                <c:pt idx="3">
                  <c:v>3.2999999999301508</c:v>
                </c:pt>
                <c:pt idx="4">
                  <c:v>4.5</c:v>
                </c:pt>
                <c:pt idx="5">
                  <c:v>5.816666666592937</c:v>
                </c:pt>
                <c:pt idx="6">
                  <c:v>7.4333333332906477</c:v>
                </c:pt>
                <c:pt idx="7">
                  <c:v>13.666666666511446</c:v>
                </c:pt>
              </c:numCache>
            </c:numRef>
          </c:xVal>
          <c:yVal>
            <c:numRef>
              <c:f>SuppSheet17!$L$6:$L$13</c:f>
              <c:numCache>
                <c:formatCode>0.00</c:formatCode>
                <c:ptCount val="8"/>
                <c:pt idx="0">
                  <c:v>6.02</c:v>
                </c:pt>
                <c:pt idx="1">
                  <c:v>5.88</c:v>
                </c:pt>
                <c:pt idx="2">
                  <c:v>5.51</c:v>
                </c:pt>
                <c:pt idx="3">
                  <c:v>4.7</c:v>
                </c:pt>
                <c:pt idx="4">
                  <c:v>4.2699999999999996</c:v>
                </c:pt>
                <c:pt idx="5">
                  <c:v>4.08</c:v>
                </c:pt>
                <c:pt idx="6">
                  <c:v>4.0999999999999996</c:v>
                </c:pt>
                <c:pt idx="7">
                  <c:v>4.0599999999999996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60-4225-830E-520E6BEEB62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SuppSheet17!$C$6:$C$13</c:f>
              <c:numCache>
                <c:formatCode>0.0</c:formatCode>
                <c:ptCount val="8"/>
                <c:pt idx="0">
                  <c:v>0</c:v>
                </c:pt>
                <c:pt idx="1">
                  <c:v>1.0166666666627862</c:v>
                </c:pt>
                <c:pt idx="2">
                  <c:v>2.0999999998603016</c:v>
                </c:pt>
                <c:pt idx="3">
                  <c:v>3.2999999999301508</c:v>
                </c:pt>
                <c:pt idx="4">
                  <c:v>4.5</c:v>
                </c:pt>
                <c:pt idx="5">
                  <c:v>5.816666666592937</c:v>
                </c:pt>
                <c:pt idx="6">
                  <c:v>7.4333333332906477</c:v>
                </c:pt>
                <c:pt idx="7">
                  <c:v>13.666666666511446</c:v>
                </c:pt>
              </c:numCache>
            </c:numRef>
          </c:xVal>
          <c:yVal>
            <c:numRef>
              <c:f>SuppSheet17!$M$6:$M$13</c:f>
              <c:numCache>
                <c:formatCode>0.00</c:formatCode>
                <c:ptCount val="8"/>
                <c:pt idx="0">
                  <c:v>6.07</c:v>
                </c:pt>
                <c:pt idx="1">
                  <c:v>6.06</c:v>
                </c:pt>
                <c:pt idx="2">
                  <c:v>6.04</c:v>
                </c:pt>
                <c:pt idx="3">
                  <c:v>6.04</c:v>
                </c:pt>
                <c:pt idx="4">
                  <c:v>6.04</c:v>
                </c:pt>
                <c:pt idx="5">
                  <c:v>6.03</c:v>
                </c:pt>
                <c:pt idx="6">
                  <c:v>6.04</c:v>
                </c:pt>
                <c:pt idx="7">
                  <c:v>6.04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60-4225-830E-520E6BEEB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703936"/>
        <c:axId val="1739712672"/>
      </c:scatterChart>
      <c:valAx>
        <c:axId val="17397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12672"/>
        <c:crosses val="autoZero"/>
        <c:crossBetween val="midCat"/>
      </c:valAx>
      <c:valAx>
        <c:axId val="17397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0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SuppSheet17!$C$6:$C$13</c:f>
              <c:numCache>
                <c:formatCode>0.0</c:formatCode>
                <c:ptCount val="8"/>
                <c:pt idx="0">
                  <c:v>0</c:v>
                </c:pt>
                <c:pt idx="1">
                  <c:v>1.0166666666627862</c:v>
                </c:pt>
                <c:pt idx="2">
                  <c:v>2.0999999998603016</c:v>
                </c:pt>
                <c:pt idx="3">
                  <c:v>3.2999999999301508</c:v>
                </c:pt>
                <c:pt idx="4">
                  <c:v>4.5</c:v>
                </c:pt>
                <c:pt idx="5">
                  <c:v>5.816666666592937</c:v>
                </c:pt>
                <c:pt idx="6">
                  <c:v>7.4333333332906477</c:v>
                </c:pt>
                <c:pt idx="7">
                  <c:v>13.666666666511446</c:v>
                </c:pt>
              </c:numCache>
            </c:numRef>
          </c:xVal>
          <c:yVal>
            <c:numRef>
              <c:f>SuppSheet17!$D$6:$D$13</c:f>
              <c:numCache>
                <c:formatCode>0.000</c:formatCode>
                <c:ptCount val="8"/>
                <c:pt idx="0">
                  <c:v>2.3E-2</c:v>
                </c:pt>
                <c:pt idx="1">
                  <c:v>3.5999999999999997E-2</c:v>
                </c:pt>
                <c:pt idx="2">
                  <c:v>5.2999999999999999E-2</c:v>
                </c:pt>
                <c:pt idx="3">
                  <c:v>8.5000000000000006E-2</c:v>
                </c:pt>
                <c:pt idx="4">
                  <c:v>0.106</c:v>
                </c:pt>
                <c:pt idx="5">
                  <c:v>0.114</c:v>
                </c:pt>
                <c:pt idx="6">
                  <c:v>0.11799999999999999</c:v>
                </c:pt>
                <c:pt idx="7">
                  <c:v>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5-430E-9BD5-FBBDA65AF5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SuppSheet17!$C$6:$C$13</c:f>
              <c:numCache>
                <c:formatCode>0.0</c:formatCode>
                <c:ptCount val="8"/>
                <c:pt idx="0">
                  <c:v>0</c:v>
                </c:pt>
                <c:pt idx="1">
                  <c:v>1.0166666666627862</c:v>
                </c:pt>
                <c:pt idx="2">
                  <c:v>2.0999999998603016</c:v>
                </c:pt>
                <c:pt idx="3">
                  <c:v>3.2999999999301508</c:v>
                </c:pt>
                <c:pt idx="4">
                  <c:v>4.5</c:v>
                </c:pt>
                <c:pt idx="5">
                  <c:v>5.816666666592937</c:v>
                </c:pt>
                <c:pt idx="6">
                  <c:v>7.4333333332906477</c:v>
                </c:pt>
                <c:pt idx="7">
                  <c:v>13.666666666511446</c:v>
                </c:pt>
              </c:numCache>
            </c:numRef>
          </c:xVal>
          <c:yVal>
            <c:numRef>
              <c:f>SuppSheet17!$E$6:$E$13</c:f>
              <c:numCache>
                <c:formatCode>0.000</c:formatCode>
                <c:ptCount val="8"/>
                <c:pt idx="0">
                  <c:v>2.1999999999999999E-2</c:v>
                </c:pt>
                <c:pt idx="1">
                  <c:v>3.3000000000000002E-2</c:v>
                </c:pt>
                <c:pt idx="2">
                  <c:v>0.05</c:v>
                </c:pt>
                <c:pt idx="3">
                  <c:v>8.2000000000000003E-2</c:v>
                </c:pt>
                <c:pt idx="4">
                  <c:v>0.104</c:v>
                </c:pt>
                <c:pt idx="5">
                  <c:v>0.113</c:v>
                </c:pt>
                <c:pt idx="6">
                  <c:v>0.11700000000000001</c:v>
                </c:pt>
                <c:pt idx="7">
                  <c:v>0.111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5-430E-9BD5-FBBDA65AF5E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SuppSheet17!$C$6:$C$13</c:f>
              <c:numCache>
                <c:formatCode>0.0</c:formatCode>
                <c:ptCount val="8"/>
                <c:pt idx="0">
                  <c:v>0</c:v>
                </c:pt>
                <c:pt idx="1">
                  <c:v>1.0166666666627862</c:v>
                </c:pt>
                <c:pt idx="2">
                  <c:v>2.0999999998603016</c:v>
                </c:pt>
                <c:pt idx="3">
                  <c:v>3.2999999999301508</c:v>
                </c:pt>
                <c:pt idx="4">
                  <c:v>4.5</c:v>
                </c:pt>
                <c:pt idx="5">
                  <c:v>5.816666666592937</c:v>
                </c:pt>
                <c:pt idx="6">
                  <c:v>7.4333333332906477</c:v>
                </c:pt>
                <c:pt idx="7">
                  <c:v>13.666666666511446</c:v>
                </c:pt>
              </c:numCache>
            </c:numRef>
          </c:xVal>
          <c:yVal>
            <c:numRef>
              <c:f>SuppSheet17!$F$6:$F$13</c:f>
              <c:numCache>
                <c:formatCode>0.000</c:formatCode>
                <c:ptCount val="8"/>
                <c:pt idx="0">
                  <c:v>2.3E-2</c:v>
                </c:pt>
                <c:pt idx="1">
                  <c:v>3.4000000000000002E-2</c:v>
                </c:pt>
                <c:pt idx="2">
                  <c:v>5.1999999999999998E-2</c:v>
                </c:pt>
                <c:pt idx="3">
                  <c:v>8.5000000000000006E-2</c:v>
                </c:pt>
                <c:pt idx="4">
                  <c:v>0.107</c:v>
                </c:pt>
                <c:pt idx="5">
                  <c:v>0.11600000000000001</c:v>
                </c:pt>
                <c:pt idx="6">
                  <c:v>0.11799999999999999</c:v>
                </c:pt>
                <c:pt idx="7">
                  <c:v>0.112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D5-430E-9BD5-FBBDA65AF5E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SuppSheet17!$C$6:$C$13</c:f>
              <c:numCache>
                <c:formatCode>0.0</c:formatCode>
                <c:ptCount val="8"/>
                <c:pt idx="0">
                  <c:v>0</c:v>
                </c:pt>
                <c:pt idx="1">
                  <c:v>1.0166666666627862</c:v>
                </c:pt>
                <c:pt idx="2">
                  <c:v>2.0999999998603016</c:v>
                </c:pt>
                <c:pt idx="3">
                  <c:v>3.2999999999301508</c:v>
                </c:pt>
                <c:pt idx="4">
                  <c:v>4.5</c:v>
                </c:pt>
                <c:pt idx="5">
                  <c:v>5.816666666592937</c:v>
                </c:pt>
                <c:pt idx="6">
                  <c:v>7.4333333332906477</c:v>
                </c:pt>
                <c:pt idx="7">
                  <c:v>13.666666666511446</c:v>
                </c:pt>
              </c:numCache>
            </c:numRef>
          </c:xVal>
          <c:yVal>
            <c:numRef>
              <c:f>SuppSheet17!$G$6:$G$13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D5-430E-9BD5-FBBDA65A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703936"/>
        <c:axId val="1739712672"/>
      </c:scatterChart>
      <c:valAx>
        <c:axId val="17397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12672"/>
        <c:crosses val="autoZero"/>
        <c:crossBetween val="midCat"/>
      </c:valAx>
      <c:valAx>
        <c:axId val="17397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0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SuppSheet17!$C$6:$C$13</c:f>
              <c:numCache>
                <c:formatCode>0.0</c:formatCode>
                <c:ptCount val="8"/>
                <c:pt idx="0">
                  <c:v>0</c:v>
                </c:pt>
                <c:pt idx="1">
                  <c:v>1.0166666666627862</c:v>
                </c:pt>
                <c:pt idx="2">
                  <c:v>2.0999999998603016</c:v>
                </c:pt>
                <c:pt idx="3">
                  <c:v>3.2999999999301508</c:v>
                </c:pt>
                <c:pt idx="4">
                  <c:v>4.5</c:v>
                </c:pt>
                <c:pt idx="5">
                  <c:v>5.816666666592937</c:v>
                </c:pt>
                <c:pt idx="6">
                  <c:v>7.4333333332906477</c:v>
                </c:pt>
                <c:pt idx="7">
                  <c:v>13.666666666511446</c:v>
                </c:pt>
              </c:numCache>
            </c:numRef>
          </c:xVal>
          <c:yVal>
            <c:numRef>
              <c:f>SuppSheet17!$D$6:$D$13</c:f>
              <c:numCache>
                <c:formatCode>0.000</c:formatCode>
                <c:ptCount val="8"/>
                <c:pt idx="0">
                  <c:v>2.3E-2</c:v>
                </c:pt>
                <c:pt idx="1">
                  <c:v>3.5999999999999997E-2</c:v>
                </c:pt>
                <c:pt idx="2">
                  <c:v>5.2999999999999999E-2</c:v>
                </c:pt>
                <c:pt idx="3">
                  <c:v>8.5000000000000006E-2</c:v>
                </c:pt>
                <c:pt idx="4">
                  <c:v>0.106</c:v>
                </c:pt>
                <c:pt idx="5">
                  <c:v>0.114</c:v>
                </c:pt>
                <c:pt idx="6">
                  <c:v>0.11799999999999999</c:v>
                </c:pt>
                <c:pt idx="7">
                  <c:v>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7-41DD-AE8E-42174A895F4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SuppSheet17!$C$6:$C$13</c:f>
              <c:numCache>
                <c:formatCode>0.0</c:formatCode>
                <c:ptCount val="8"/>
                <c:pt idx="0">
                  <c:v>0</c:v>
                </c:pt>
                <c:pt idx="1">
                  <c:v>1.0166666666627862</c:v>
                </c:pt>
                <c:pt idx="2">
                  <c:v>2.0999999998603016</c:v>
                </c:pt>
                <c:pt idx="3">
                  <c:v>3.2999999999301508</c:v>
                </c:pt>
                <c:pt idx="4">
                  <c:v>4.5</c:v>
                </c:pt>
                <c:pt idx="5">
                  <c:v>5.816666666592937</c:v>
                </c:pt>
                <c:pt idx="6">
                  <c:v>7.4333333332906477</c:v>
                </c:pt>
                <c:pt idx="7">
                  <c:v>13.666666666511446</c:v>
                </c:pt>
              </c:numCache>
            </c:numRef>
          </c:xVal>
          <c:yVal>
            <c:numRef>
              <c:f>SuppSheet17!$E$6:$E$13</c:f>
              <c:numCache>
                <c:formatCode>0.000</c:formatCode>
                <c:ptCount val="8"/>
                <c:pt idx="0">
                  <c:v>2.1999999999999999E-2</c:v>
                </c:pt>
                <c:pt idx="1">
                  <c:v>3.3000000000000002E-2</c:v>
                </c:pt>
                <c:pt idx="2">
                  <c:v>0.05</c:v>
                </c:pt>
                <c:pt idx="3">
                  <c:v>8.2000000000000003E-2</c:v>
                </c:pt>
                <c:pt idx="4">
                  <c:v>0.104</c:v>
                </c:pt>
                <c:pt idx="5">
                  <c:v>0.113</c:v>
                </c:pt>
                <c:pt idx="6">
                  <c:v>0.11700000000000001</c:v>
                </c:pt>
                <c:pt idx="7">
                  <c:v>0.111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7-41DD-AE8E-42174A895F4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SuppSheet17!$C$6:$C$13</c:f>
              <c:numCache>
                <c:formatCode>0.0</c:formatCode>
                <c:ptCount val="8"/>
                <c:pt idx="0">
                  <c:v>0</c:v>
                </c:pt>
                <c:pt idx="1">
                  <c:v>1.0166666666627862</c:v>
                </c:pt>
                <c:pt idx="2">
                  <c:v>2.0999999998603016</c:v>
                </c:pt>
                <c:pt idx="3">
                  <c:v>3.2999999999301508</c:v>
                </c:pt>
                <c:pt idx="4">
                  <c:v>4.5</c:v>
                </c:pt>
                <c:pt idx="5">
                  <c:v>5.816666666592937</c:v>
                </c:pt>
                <c:pt idx="6">
                  <c:v>7.4333333332906477</c:v>
                </c:pt>
                <c:pt idx="7">
                  <c:v>13.666666666511446</c:v>
                </c:pt>
              </c:numCache>
            </c:numRef>
          </c:xVal>
          <c:yVal>
            <c:numRef>
              <c:f>SuppSheet17!$F$6:$F$13</c:f>
              <c:numCache>
                <c:formatCode>0.000</c:formatCode>
                <c:ptCount val="8"/>
                <c:pt idx="0">
                  <c:v>2.3E-2</c:v>
                </c:pt>
                <c:pt idx="1">
                  <c:v>3.4000000000000002E-2</c:v>
                </c:pt>
                <c:pt idx="2">
                  <c:v>5.1999999999999998E-2</c:v>
                </c:pt>
                <c:pt idx="3">
                  <c:v>8.5000000000000006E-2</c:v>
                </c:pt>
                <c:pt idx="4">
                  <c:v>0.107</c:v>
                </c:pt>
                <c:pt idx="5">
                  <c:v>0.11600000000000001</c:v>
                </c:pt>
                <c:pt idx="6">
                  <c:v>0.11799999999999999</c:v>
                </c:pt>
                <c:pt idx="7">
                  <c:v>0.112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57-41DD-AE8E-42174A895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703936"/>
        <c:axId val="1739712672"/>
      </c:scatterChart>
      <c:valAx>
        <c:axId val="17397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12672"/>
        <c:crosses val="autoZero"/>
        <c:crossBetween val="midCat"/>
      </c:valAx>
      <c:valAx>
        <c:axId val="1739712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0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403G100 with</a:t>
            </a:r>
            <a:r>
              <a:rPr lang="en-US" baseline="0"/>
              <a:t> 0g/L glucose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384644694459101"/>
          <c:y val="6.6611205357543599E-2"/>
          <c:w val="0.80241280429046702"/>
          <c:h val="0.72309122629489697"/>
        </c:manualLayout>
      </c:layout>
      <c:scatterChart>
        <c:scatterStyle val="lineMarker"/>
        <c:varyColors val="0"/>
        <c:ser>
          <c:idx val="0"/>
          <c:order val="0"/>
          <c:tx>
            <c:v>pH = 6.9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[1]Data!$AG$52:$AG$62</c:f>
                <c:numCache>
                  <c:formatCode>General</c:formatCode>
                  <c:ptCount val="11"/>
                  <c:pt idx="0">
                    <c:v>1.1269427669584684E-3</c:v>
                  </c:pt>
                  <c:pt idx="1">
                    <c:v>6.6583281184793891E-4</c:v>
                  </c:pt>
                  <c:pt idx="2">
                    <c:v>8.6602540378443945E-4</c:v>
                  </c:pt>
                  <c:pt idx="3">
                    <c:v>3.5118845842842497E-3</c:v>
                  </c:pt>
                  <c:pt idx="4">
                    <c:v>1.5716233645501766E-3</c:v>
                  </c:pt>
                  <c:pt idx="5">
                    <c:v>6.3508529610859855E-4</c:v>
                  </c:pt>
                  <c:pt idx="6">
                    <c:v>2.2368132093076778E-3</c:v>
                  </c:pt>
                  <c:pt idx="7">
                    <c:v>8.1853527718724344E-4</c:v>
                  </c:pt>
                  <c:pt idx="8">
                    <c:v>1.6178504257192625E-2</c:v>
                  </c:pt>
                  <c:pt idx="9">
                    <c:v>2.5166114784235682E-4</c:v>
                  </c:pt>
                  <c:pt idx="10">
                    <c:v>1.266227994214838E-3</c:v>
                  </c:pt>
                </c:numCache>
              </c:numRef>
            </c:plus>
            <c:minus>
              <c:numRef>
                <c:f>[1]Data!$AG$52:$AG$62</c:f>
                <c:numCache>
                  <c:formatCode>General</c:formatCode>
                  <c:ptCount val="11"/>
                  <c:pt idx="0">
                    <c:v>1.1269427669584684E-3</c:v>
                  </c:pt>
                  <c:pt idx="1">
                    <c:v>6.6583281184793891E-4</c:v>
                  </c:pt>
                  <c:pt idx="2">
                    <c:v>8.6602540378443945E-4</c:v>
                  </c:pt>
                  <c:pt idx="3">
                    <c:v>3.5118845842842497E-3</c:v>
                  </c:pt>
                  <c:pt idx="4">
                    <c:v>1.5716233645501766E-3</c:v>
                  </c:pt>
                  <c:pt idx="5">
                    <c:v>6.3508529610859855E-4</c:v>
                  </c:pt>
                  <c:pt idx="6">
                    <c:v>2.2368132093076778E-3</c:v>
                  </c:pt>
                  <c:pt idx="7">
                    <c:v>8.1853527718724344E-4</c:v>
                  </c:pt>
                  <c:pt idx="8">
                    <c:v>1.6178504257192625E-2</c:v>
                  </c:pt>
                  <c:pt idx="9">
                    <c:v>2.5166114784235682E-4</c:v>
                  </c:pt>
                  <c:pt idx="10">
                    <c:v>1.266227994214838E-3</c:v>
                  </c:pt>
                </c:numCache>
              </c:numRef>
            </c:minus>
          </c:errBars>
          <c:xVal>
            <c:numRef>
              <c:f>[1]Data!$AE$52:$AE$62</c:f>
              <c:numCache>
                <c:formatCode>General</c:formatCode>
                <c:ptCount val="11"/>
                <c:pt idx="0">
                  <c:v>0.48999999999999994</c:v>
                </c:pt>
                <c:pt idx="1">
                  <c:v>0.7</c:v>
                </c:pt>
                <c:pt idx="2">
                  <c:v>0.84</c:v>
                </c:pt>
                <c:pt idx="3">
                  <c:v>1.0499999999999998</c:v>
                </c:pt>
                <c:pt idx="4">
                  <c:v>1.4</c:v>
                </c:pt>
                <c:pt idx="5">
                  <c:v>1.75</c:v>
                </c:pt>
                <c:pt idx="6">
                  <c:v>2.8</c:v>
                </c:pt>
                <c:pt idx="7">
                  <c:v>3.5</c:v>
                </c:pt>
                <c:pt idx="8">
                  <c:v>5.6</c:v>
                </c:pt>
                <c:pt idx="9">
                  <c:v>7</c:v>
                </c:pt>
                <c:pt idx="10">
                  <c:v>8.3999999999999986</c:v>
                </c:pt>
              </c:numCache>
            </c:numRef>
          </c:xVal>
          <c:yVal>
            <c:numRef>
              <c:f>[1]Data!$AF$52:$AF$62</c:f>
              <c:numCache>
                <c:formatCode>General</c:formatCode>
                <c:ptCount val="11"/>
                <c:pt idx="0">
                  <c:v>0.14510000000000001</c:v>
                </c:pt>
                <c:pt idx="1">
                  <c:v>0.12826666666666667</c:v>
                </c:pt>
                <c:pt idx="2">
                  <c:v>0.14829999999999999</c:v>
                </c:pt>
                <c:pt idx="3">
                  <c:v>0.13953333333333331</c:v>
                </c:pt>
                <c:pt idx="4">
                  <c:v>0.13949999999999999</c:v>
                </c:pt>
                <c:pt idx="5">
                  <c:v>0.12783333333333333</c:v>
                </c:pt>
                <c:pt idx="6">
                  <c:v>6.8533333333333335E-2</c:v>
                </c:pt>
                <c:pt idx="7">
                  <c:v>4.9000000000000009E-2</c:v>
                </c:pt>
                <c:pt idx="8">
                  <c:v>4.6699999999999998E-2</c:v>
                </c:pt>
                <c:pt idx="9">
                  <c:v>2.2966666666666666E-2</c:v>
                </c:pt>
                <c:pt idx="10">
                  <c:v>2.3066666666666666E-2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3-4198-A7A1-81C93FAE50B8}"/>
            </c:ext>
          </c:extLst>
        </c:ser>
        <c:ser>
          <c:idx val="1"/>
          <c:order val="1"/>
          <c:tx>
            <c:v>pH = 6.0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[1]Data!$AN$52:$AN$60</c:f>
                <c:numCache>
                  <c:formatCode>General</c:formatCode>
                  <c:ptCount val="9"/>
                  <c:pt idx="0">
                    <c:v>1.3683566786477858E-2</c:v>
                  </c:pt>
                  <c:pt idx="1">
                    <c:v>4.1327956639543679E-3</c:v>
                  </c:pt>
                  <c:pt idx="2">
                    <c:v>1.0730486164817201E-2</c:v>
                  </c:pt>
                  <c:pt idx="3">
                    <c:v>1.8244268506392183E-2</c:v>
                  </c:pt>
                  <c:pt idx="4">
                    <c:v>1.8369902921173294E-2</c:v>
                  </c:pt>
                  <c:pt idx="5">
                    <c:v>7.2270325860618843E-3</c:v>
                  </c:pt>
                </c:numCache>
              </c:numRef>
            </c:plus>
            <c:minus>
              <c:numRef>
                <c:f>[1]Data!$AN$52:$AN$60</c:f>
                <c:numCache>
                  <c:formatCode>General</c:formatCode>
                  <c:ptCount val="9"/>
                  <c:pt idx="0">
                    <c:v>1.3683566786477858E-2</c:v>
                  </c:pt>
                  <c:pt idx="1">
                    <c:v>4.1327956639543679E-3</c:v>
                  </c:pt>
                  <c:pt idx="2">
                    <c:v>1.0730486164817201E-2</c:v>
                  </c:pt>
                  <c:pt idx="3">
                    <c:v>1.8244268506392183E-2</c:v>
                  </c:pt>
                  <c:pt idx="4">
                    <c:v>1.8369902921173294E-2</c:v>
                  </c:pt>
                  <c:pt idx="5">
                    <c:v>7.2270325860618843E-3</c:v>
                  </c:pt>
                </c:numCache>
              </c:numRef>
            </c:minus>
          </c:errBars>
          <c:xVal>
            <c:numRef>
              <c:f>[1]Data!$AL$52:$AL$60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0.17499999999999999</c:v>
                </c:pt>
                <c:pt idx="3">
                  <c:v>0.35</c:v>
                </c:pt>
                <c:pt idx="4">
                  <c:v>0.7</c:v>
                </c:pt>
                <c:pt idx="5">
                  <c:v>1.4</c:v>
                </c:pt>
                <c:pt idx="6">
                  <c:v>3.5</c:v>
                </c:pt>
                <c:pt idx="7">
                  <c:v>5.6</c:v>
                </c:pt>
                <c:pt idx="8">
                  <c:v>7</c:v>
                </c:pt>
              </c:numCache>
            </c:numRef>
          </c:xVal>
          <c:yVal>
            <c:numRef>
              <c:f>[1]Data!$AM$52:$AM$60</c:f>
              <c:numCache>
                <c:formatCode>General</c:formatCode>
                <c:ptCount val="9"/>
                <c:pt idx="0">
                  <c:v>3.9799999999999995E-2</c:v>
                </c:pt>
                <c:pt idx="1">
                  <c:v>9.9100000000000008E-2</c:v>
                </c:pt>
                <c:pt idx="2">
                  <c:v>0.13746666666666665</c:v>
                </c:pt>
                <c:pt idx="3">
                  <c:v>0.15826666666666667</c:v>
                </c:pt>
                <c:pt idx="4">
                  <c:v>0.14166666666666669</c:v>
                </c:pt>
                <c:pt idx="5">
                  <c:v>2.6399999999999996E-2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3-4198-A7A1-81C93FAE50B8}"/>
            </c:ext>
          </c:extLst>
        </c:ser>
        <c:ser>
          <c:idx val="2"/>
          <c:order val="2"/>
          <c:tx>
            <c:v>pH = 5.0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00B05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[1]Data!$AU$52:$AU$57</c:f>
                <c:numCache>
                  <c:formatCode>General</c:formatCode>
                  <c:ptCount val="6"/>
                  <c:pt idx="1">
                    <c:v>7.7693843599948879E-3</c:v>
                  </c:pt>
                  <c:pt idx="2">
                    <c:v>4.2146569650842692E-3</c:v>
                  </c:pt>
                  <c:pt idx="3">
                    <c:v>7.4101282040190883E-3</c:v>
                  </c:pt>
                  <c:pt idx="4">
                    <c:v>6.8061246927552822E-3</c:v>
                  </c:pt>
                  <c:pt idx="5">
                    <c:v>1.0929013374195006E-2</c:v>
                  </c:pt>
                </c:numCache>
              </c:numRef>
            </c:plus>
            <c:minus>
              <c:numRef>
                <c:f>[1]Data!$AU$52:$AU$57</c:f>
                <c:numCache>
                  <c:formatCode>General</c:formatCode>
                  <c:ptCount val="6"/>
                  <c:pt idx="1">
                    <c:v>7.7693843599948879E-3</c:v>
                  </c:pt>
                  <c:pt idx="2">
                    <c:v>4.2146569650842692E-3</c:v>
                  </c:pt>
                  <c:pt idx="3">
                    <c:v>7.4101282040190883E-3</c:v>
                  </c:pt>
                  <c:pt idx="4">
                    <c:v>6.8061246927552822E-3</c:v>
                  </c:pt>
                  <c:pt idx="5">
                    <c:v>1.0929013374195006E-2</c:v>
                  </c:pt>
                </c:numCache>
              </c:numRef>
            </c:minus>
          </c:errBars>
          <c:xVal>
            <c:numRef>
              <c:f>[1]Data!$AS$52:$AS$57</c:f>
              <c:numCache>
                <c:formatCode>General</c:formatCode>
                <c:ptCount val="6"/>
                <c:pt idx="0">
                  <c:v>0</c:v>
                </c:pt>
                <c:pt idx="1">
                  <c:v>7.0000000000000007E-2</c:v>
                </c:pt>
                <c:pt idx="2">
                  <c:v>0.17499999999999999</c:v>
                </c:pt>
                <c:pt idx="3">
                  <c:v>0.35</c:v>
                </c:pt>
                <c:pt idx="4">
                  <c:v>0.7</c:v>
                </c:pt>
                <c:pt idx="5">
                  <c:v>1.4</c:v>
                </c:pt>
              </c:numCache>
            </c:numRef>
          </c:xVal>
          <c:yVal>
            <c:numRef>
              <c:f>[1]Data!$AT$52:$AT$57</c:f>
              <c:numCache>
                <c:formatCode>General</c:formatCode>
                <c:ptCount val="6"/>
                <c:pt idx="1">
                  <c:v>2.2633333333333335E-2</c:v>
                </c:pt>
                <c:pt idx="2">
                  <c:v>9.2333333333333323E-2</c:v>
                </c:pt>
                <c:pt idx="3">
                  <c:v>5.4199999999999998E-2</c:v>
                </c:pt>
                <c:pt idx="4">
                  <c:v>3.216666666666667E-2</c:v>
                </c:pt>
                <c:pt idx="5">
                  <c:v>1.4466666666666668E-2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23-4198-A7A1-81C93FAE5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38688"/>
        <c:axId val="547739264"/>
      </c:scatterChart>
      <c:valAx>
        <c:axId val="54773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 Concentration (g/L)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39264"/>
        <c:crosses val="autoZero"/>
        <c:crossBetween val="midCat"/>
      </c:valAx>
      <c:valAx>
        <c:axId val="547739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Avg Mu (1/h)</a:t>
                </a:r>
              </a:p>
              <a:p>
                <a:pPr>
                  <a:defRPr b="1"/>
                </a:pPr>
                <a:endParaRPr lang="en-US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738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589586921427795"/>
          <c:y val="0.30751359014659402"/>
          <c:w val="0.14456646045019164"/>
          <c:h val="0.263704712096016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Abiotic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2"/>
              <c:pt idx="0">
                <c:v>0</c:v>
              </c:pt>
              <c:pt idx="1">
                <c:v>2.5166666666627862</c:v>
              </c:pt>
              <c:pt idx="2">
                <c:v>5.2333333332790062</c:v>
              </c:pt>
              <c:pt idx="3">
                <c:v>8.4999999999417923</c:v>
              </c:pt>
              <c:pt idx="4">
                <c:v>11.549999999930151</c:v>
              </c:pt>
              <c:pt idx="5">
                <c:v>17.466666666674428</c:v>
              </c:pt>
              <c:pt idx="6">
                <c:v>22.433333333290648</c:v>
              </c:pt>
              <c:pt idx="7">
                <c:v>30.916666666686069</c:v>
              </c:pt>
              <c:pt idx="8">
                <c:v>52.266666666604578</c:v>
              </c:pt>
              <c:pt idx="9">
                <c:v>74.683333333348855</c:v>
              </c:pt>
              <c:pt idx="10">
                <c:v>98.966666666732635</c:v>
              </c:pt>
              <c:pt idx="11">
                <c:v>127.09999999991851</c:v>
              </c:pt>
            </c:numLit>
          </c:xVal>
          <c:yVal>
            <c:numLit>
              <c:formatCode>General</c:formatCode>
              <c:ptCount val="12"/>
              <c:pt idx="0">
                <c:v>26.778741320005167</c:v>
              </c:pt>
              <c:pt idx="1">
                <c:v>27.783846128336318</c:v>
              </c:pt>
              <c:pt idx="2">
                <c:v>27.773226006724613</c:v>
              </c:pt>
              <c:pt idx="3">
                <c:v>27.905846164026507</c:v>
              </c:pt>
              <c:pt idx="5">
                <c:v>27.26473426788932</c:v>
              </c:pt>
              <c:pt idx="8">
                <c:v>29.875477744559966</c:v>
              </c:pt>
              <c:pt idx="11">
                <c:v>34.496585811984936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06C-429C-BD07-B97A55978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021536"/>
        <c:axId val="562021864"/>
      </c:scatterChart>
      <c:valAx>
        <c:axId val="56202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21864"/>
        <c:crosses val="autoZero"/>
        <c:crossBetween val="midCat"/>
      </c:valAx>
      <c:valAx>
        <c:axId val="56202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2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OD600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2"/>
                <c:pt idx="0">
                  <c:v>1.1547005383792527E-3</c:v>
                </c:pt>
                <c:pt idx="1">
                  <c:v>0</c:v>
                </c:pt>
                <c:pt idx="2">
                  <c:v>5.2915026221291859E-3</c:v>
                </c:pt>
                <c:pt idx="3">
                  <c:v>6.0827625302982248E-3</c:v>
                </c:pt>
                <c:pt idx="4">
                  <c:v>5.7735026918962467E-3</c:v>
                </c:pt>
                <c:pt idx="5">
                  <c:v>7.2341781380702262E-3</c:v>
                </c:pt>
                <c:pt idx="6">
                  <c:v>8.3864970836060905E-3</c:v>
                </c:pt>
                <c:pt idx="7">
                  <c:v>9.8149545762236459E-3</c:v>
                </c:pt>
                <c:pt idx="8">
                  <c:v>1.3856406460551031E-2</c:v>
                </c:pt>
                <c:pt idx="9">
                  <c:v>1.7925772879665004E-2</c:v>
                </c:pt>
                <c:pt idx="10">
                  <c:v>2.2030282189144428E-2</c:v>
                </c:pt>
                <c:pt idx="11">
                  <c:v>2.9143323992525852E-2</c:v>
                </c:pt>
              </c:numLit>
            </c:plus>
            <c:minus>
              <c:numLit>
                <c:formatCode>General</c:formatCode>
                <c:ptCount val="12"/>
                <c:pt idx="0">
                  <c:v>1.1547005383792527E-3</c:v>
                </c:pt>
                <c:pt idx="1">
                  <c:v>0</c:v>
                </c:pt>
                <c:pt idx="2">
                  <c:v>5.2915026221291859E-3</c:v>
                </c:pt>
                <c:pt idx="3">
                  <c:v>6.0827625302982248E-3</c:v>
                </c:pt>
                <c:pt idx="4">
                  <c:v>5.7735026918962467E-3</c:v>
                </c:pt>
                <c:pt idx="5">
                  <c:v>7.2341781380702262E-3</c:v>
                </c:pt>
                <c:pt idx="6">
                  <c:v>8.3864970836060905E-3</c:v>
                </c:pt>
                <c:pt idx="7">
                  <c:v>9.8149545762236459E-3</c:v>
                </c:pt>
                <c:pt idx="8">
                  <c:v>1.3856406460551031E-2</c:v>
                </c:pt>
                <c:pt idx="9">
                  <c:v>1.7925772879665004E-2</c:v>
                </c:pt>
                <c:pt idx="10">
                  <c:v>2.2030282189144428E-2</c:v>
                </c:pt>
                <c:pt idx="11">
                  <c:v>2.9143323992525852E-2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2"/>
              <c:pt idx="0">
                <c:v>0</c:v>
              </c:pt>
              <c:pt idx="1">
                <c:v>2.5166666666627862</c:v>
              </c:pt>
              <c:pt idx="2">
                <c:v>5.2333333332790062</c:v>
              </c:pt>
              <c:pt idx="3">
                <c:v>8.4999999999417923</c:v>
              </c:pt>
              <c:pt idx="4">
                <c:v>11.549999999930151</c:v>
              </c:pt>
              <c:pt idx="5">
                <c:v>17.466666666674428</c:v>
              </c:pt>
              <c:pt idx="6">
                <c:v>22.433333333290648</c:v>
              </c:pt>
              <c:pt idx="7">
                <c:v>30.916666666686069</c:v>
              </c:pt>
              <c:pt idx="8">
                <c:v>52.266666666604578</c:v>
              </c:pt>
              <c:pt idx="9">
                <c:v>74.683333333348855</c:v>
              </c:pt>
              <c:pt idx="10">
                <c:v>98.966666666732635</c:v>
              </c:pt>
              <c:pt idx="11">
                <c:v>127.09999999991851</c:v>
              </c:pt>
            </c:numLit>
          </c:xVal>
          <c:yVal>
            <c:numLit>
              <c:formatCode>General</c:formatCode>
              <c:ptCount val="12"/>
              <c:pt idx="0">
                <c:v>6.533333333333334E-2</c:v>
              </c:pt>
              <c:pt idx="1">
                <c:v>0.11</c:v>
              </c:pt>
              <c:pt idx="2">
                <c:v>0.16500000000000001</c:v>
              </c:pt>
              <c:pt idx="3">
                <c:v>0.19099999999999998</c:v>
              </c:pt>
              <c:pt idx="4">
                <c:v>0.20566666666666666</c:v>
              </c:pt>
              <c:pt idx="5">
                <c:v>0.23333333333333331</c:v>
              </c:pt>
              <c:pt idx="6">
                <c:v>0.24666666666666667</c:v>
              </c:pt>
              <c:pt idx="7">
                <c:v>0.26733333333333337</c:v>
              </c:pt>
              <c:pt idx="8">
                <c:v>0.3</c:v>
              </c:pt>
              <c:pt idx="9">
                <c:v>0.33266666666666667</c:v>
              </c:pt>
              <c:pt idx="10">
                <c:v>0.36933333333333335</c:v>
              </c:pt>
              <c:pt idx="11">
                <c:v>0.41466666666666668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586-4957-8A97-8E71E8383AE3}"/>
            </c:ext>
          </c:extLst>
        </c:ser>
        <c:ser>
          <c:idx val="1"/>
          <c:order val="1"/>
          <c:tx>
            <c:v>OD600 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2"/>
                <c:pt idx="0">
                  <c:v>1.1547005383792527E-3</c:v>
                </c:pt>
                <c:pt idx="1">
                  <c:v>1.6996749443881478E-17</c:v>
                </c:pt>
                <c:pt idx="2">
                  <c:v>5.233967238217411E-3</c:v>
                </c:pt>
                <c:pt idx="3">
                  <c:v>5.9760636751121721E-3</c:v>
                </c:pt>
                <c:pt idx="4">
                  <c:v>5.6367498488747734E-3</c:v>
                </c:pt>
                <c:pt idx="5">
                  <c:v>6.978156680095546E-3</c:v>
                </c:pt>
                <c:pt idx="6">
                  <c:v>8.0090961794285591E-3</c:v>
                </c:pt>
                <c:pt idx="7">
                  <c:v>9.2164312650879435E-3</c:v>
                </c:pt>
                <c:pt idx="8">
                  <c:v>1.2485646369577916E-2</c:v>
                </c:pt>
                <c:pt idx="9">
                  <c:v>1.5495016886652127E-2</c:v>
                </c:pt>
                <c:pt idx="10">
                  <c:v>1.8238786979199204E-2</c:v>
                </c:pt>
                <c:pt idx="11">
                  <c:v>2.3002281724702197E-2</c:v>
                </c:pt>
              </c:numLit>
            </c:plus>
            <c:minus>
              <c:numLit>
                <c:formatCode>General</c:formatCode>
                <c:ptCount val="12"/>
                <c:pt idx="0">
                  <c:v>1.1547005383792527E-3</c:v>
                </c:pt>
                <c:pt idx="1">
                  <c:v>1.6996749443881478E-17</c:v>
                </c:pt>
                <c:pt idx="2">
                  <c:v>5.233967238217411E-3</c:v>
                </c:pt>
                <c:pt idx="3">
                  <c:v>5.9760636751121721E-3</c:v>
                </c:pt>
                <c:pt idx="4">
                  <c:v>5.6367498488747734E-3</c:v>
                </c:pt>
                <c:pt idx="5">
                  <c:v>6.978156680095546E-3</c:v>
                </c:pt>
                <c:pt idx="6">
                  <c:v>8.0090961794285591E-3</c:v>
                </c:pt>
                <c:pt idx="7">
                  <c:v>9.2164312650879435E-3</c:v>
                </c:pt>
                <c:pt idx="8">
                  <c:v>1.2485646369577916E-2</c:v>
                </c:pt>
                <c:pt idx="9">
                  <c:v>1.5495016886652127E-2</c:v>
                </c:pt>
                <c:pt idx="10">
                  <c:v>1.8238786979199204E-2</c:v>
                </c:pt>
                <c:pt idx="11">
                  <c:v>2.3002281724702197E-2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2"/>
              <c:pt idx="0">
                <c:v>0</c:v>
              </c:pt>
              <c:pt idx="1">
                <c:v>2.5166666666627862</c:v>
              </c:pt>
              <c:pt idx="2">
                <c:v>5.2333333332790062</c:v>
              </c:pt>
              <c:pt idx="3">
                <c:v>8.4999999999417923</c:v>
              </c:pt>
              <c:pt idx="4">
                <c:v>11.549999999930151</c:v>
              </c:pt>
              <c:pt idx="5">
                <c:v>17.466666666674428</c:v>
              </c:pt>
              <c:pt idx="6">
                <c:v>22.433333333290648</c:v>
              </c:pt>
              <c:pt idx="7">
                <c:v>30.916666666686069</c:v>
              </c:pt>
              <c:pt idx="8">
                <c:v>52.266666666604578</c:v>
              </c:pt>
              <c:pt idx="9">
                <c:v>74.683333333348855</c:v>
              </c:pt>
              <c:pt idx="10">
                <c:v>98.966666666732635</c:v>
              </c:pt>
              <c:pt idx="11">
                <c:v>127.09999999991851</c:v>
              </c:pt>
            </c:numLit>
          </c:xVal>
          <c:yVal>
            <c:numLit>
              <c:formatCode>General</c:formatCode>
              <c:ptCount val="12"/>
              <c:pt idx="0">
                <c:v>6.533333333333334E-2</c:v>
              </c:pt>
              <c:pt idx="1">
                <c:v>0.10942156543291941</c:v>
              </c:pt>
              <c:pt idx="2">
                <c:v>0.16320592768758307</c:v>
              </c:pt>
              <c:pt idx="3">
                <c:v>0.18764963390580744</c:v>
              </c:pt>
              <c:pt idx="4">
                <c:v>0.20079518692857021</c:v>
              </c:pt>
              <c:pt idx="5">
                <c:v>0.22507554107912872</c:v>
              </c:pt>
              <c:pt idx="6">
                <c:v>0.23556641561996502</c:v>
              </c:pt>
              <c:pt idx="7">
                <c:v>0.25103114562568773</c:v>
              </c:pt>
              <c:pt idx="8">
                <c:v>0.27032217346808535</c:v>
              </c:pt>
              <c:pt idx="9">
                <c:v>0.28755667341259999</c:v>
              </c:pt>
              <c:pt idx="10">
                <c:v>0.30576966437150538</c:v>
              </c:pt>
              <c:pt idx="11">
                <c:v>0.32728866106543114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586-4957-8A97-8E71E8383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82288"/>
        <c:axId val="741086224"/>
      </c:scatterChart>
      <c:valAx>
        <c:axId val="7410822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86224"/>
        <c:crosses val="autoZero"/>
        <c:crossBetween val="midCat"/>
      </c:valAx>
      <c:valAx>
        <c:axId val="741086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8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34230096237971"/>
          <c:y val="7.9281860600758258E-2"/>
          <c:w val="0.21787992125984251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2"/>
                <c:pt idx="0">
                  <c:v>1.1547005383792781E-2</c:v>
                </c:pt>
                <c:pt idx="1">
                  <c:v>5.7735026918961348E-3</c:v>
                </c:pt>
                <c:pt idx="2">
                  <c:v>2.081665999466124E-2</c:v>
                </c:pt>
                <c:pt idx="3">
                  <c:v>1.5275252316519529E-2</c:v>
                </c:pt>
                <c:pt idx="4">
                  <c:v>2.6457513110645845E-2</c:v>
                </c:pt>
                <c:pt idx="5">
                  <c:v>5.507570547286119E-2</c:v>
                </c:pt>
                <c:pt idx="6">
                  <c:v>9.7125348562223365E-2</c:v>
                </c:pt>
                <c:pt idx="7">
                  <c:v>4.5825756949558302E-2</c:v>
                </c:pt>
                <c:pt idx="8">
                  <c:v>3.5118845842842597E-2</c:v>
                </c:pt>
                <c:pt idx="9">
                  <c:v>6.1101009266077921E-2</c:v>
                </c:pt>
                <c:pt idx="10">
                  <c:v>1.5275252316519142E-2</c:v>
                </c:pt>
                <c:pt idx="11">
                  <c:v>1.1547005383792781E-2</c:v>
                </c:pt>
              </c:numLit>
            </c:plus>
            <c:minus>
              <c:numLit>
                <c:formatCode>General</c:formatCode>
                <c:ptCount val="12"/>
                <c:pt idx="0">
                  <c:v>1.1547005383792781E-2</c:v>
                </c:pt>
                <c:pt idx="1">
                  <c:v>5.7735026918961348E-3</c:v>
                </c:pt>
                <c:pt idx="2">
                  <c:v>2.081665999466124E-2</c:v>
                </c:pt>
                <c:pt idx="3">
                  <c:v>1.5275252316519529E-2</c:v>
                </c:pt>
                <c:pt idx="4">
                  <c:v>2.6457513110645845E-2</c:v>
                </c:pt>
                <c:pt idx="5">
                  <c:v>5.507570547286119E-2</c:v>
                </c:pt>
                <c:pt idx="6">
                  <c:v>9.7125348562223365E-2</c:v>
                </c:pt>
                <c:pt idx="7">
                  <c:v>4.5825756949558302E-2</c:v>
                </c:pt>
                <c:pt idx="8">
                  <c:v>3.5118845842842597E-2</c:v>
                </c:pt>
                <c:pt idx="9">
                  <c:v>6.1101009266077921E-2</c:v>
                </c:pt>
                <c:pt idx="10">
                  <c:v>1.5275252316519142E-2</c:v>
                </c:pt>
                <c:pt idx="11">
                  <c:v>1.1547005383792781E-2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2"/>
              <c:pt idx="0">
                <c:v>0</c:v>
              </c:pt>
              <c:pt idx="1">
                <c:v>2.5166666666627862</c:v>
              </c:pt>
              <c:pt idx="2">
                <c:v>5.2333333332790062</c:v>
              </c:pt>
              <c:pt idx="3">
                <c:v>8.4999999999417923</c:v>
              </c:pt>
              <c:pt idx="4">
                <c:v>11.549999999930151</c:v>
              </c:pt>
              <c:pt idx="5">
                <c:v>17.466666666674428</c:v>
              </c:pt>
              <c:pt idx="6">
                <c:v>22.433333333290648</c:v>
              </c:pt>
              <c:pt idx="7">
                <c:v>30.916666666686069</c:v>
              </c:pt>
              <c:pt idx="8">
                <c:v>52.266666666604578</c:v>
              </c:pt>
              <c:pt idx="9">
                <c:v>74.683333333348855</c:v>
              </c:pt>
              <c:pt idx="10">
                <c:v>98.966666666732635</c:v>
              </c:pt>
              <c:pt idx="11">
                <c:v>127.09999999991851</c:v>
              </c:pt>
            </c:numLit>
          </c:xVal>
          <c:yVal>
            <c:numLit>
              <c:formatCode>General</c:formatCode>
              <c:ptCount val="12"/>
              <c:pt idx="0">
                <c:v>6.9033333333333333</c:v>
              </c:pt>
              <c:pt idx="1">
                <c:v>6.8033333333333337</c:v>
              </c:pt>
              <c:pt idx="2">
                <c:v>6.6166666666666663</c:v>
              </c:pt>
              <c:pt idx="3">
                <c:v>6.4833333333333334</c:v>
              </c:pt>
              <c:pt idx="4">
                <c:v>6.37</c:v>
              </c:pt>
              <c:pt idx="5">
                <c:v>6.1466666666666656</c:v>
              </c:pt>
              <c:pt idx="6">
                <c:v>5.916666666666667</c:v>
              </c:pt>
              <c:pt idx="7">
                <c:v>5.59</c:v>
              </c:pt>
              <c:pt idx="8">
                <c:v>5.9566666666666661</c:v>
              </c:pt>
              <c:pt idx="9">
                <c:v>6.3433333333333337</c:v>
              </c:pt>
              <c:pt idx="10">
                <c:v>6.456666666666667</c:v>
              </c:pt>
              <c:pt idx="11">
                <c:v>6.5266666666666664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055-4D39-AD9D-A21E9BA728C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2"/>
              <c:pt idx="0">
                <c:v>0</c:v>
              </c:pt>
              <c:pt idx="1">
                <c:v>2.5166666666627862</c:v>
              </c:pt>
              <c:pt idx="2">
                <c:v>5.2333333332790062</c:v>
              </c:pt>
              <c:pt idx="3">
                <c:v>8.4999999999417923</c:v>
              </c:pt>
              <c:pt idx="4">
                <c:v>11.549999999930151</c:v>
              </c:pt>
              <c:pt idx="5">
                <c:v>17.466666666674428</c:v>
              </c:pt>
              <c:pt idx="6">
                <c:v>22.433333333290648</c:v>
              </c:pt>
              <c:pt idx="7">
                <c:v>30.916666666686069</c:v>
              </c:pt>
              <c:pt idx="8">
                <c:v>52.266666666604578</c:v>
              </c:pt>
              <c:pt idx="9">
                <c:v>74.683333333348855</c:v>
              </c:pt>
              <c:pt idx="10">
                <c:v>98.966666666732635</c:v>
              </c:pt>
              <c:pt idx="11">
                <c:v>127.09999999991851</c:v>
              </c:pt>
            </c:numLit>
          </c:xVal>
          <c:yVal>
            <c:numLit>
              <c:formatCode>General</c:formatCode>
              <c:ptCount val="12"/>
              <c:pt idx="0">
                <c:v>6.97</c:v>
              </c:pt>
              <c:pt idx="1">
                <c:v>6.95</c:v>
              </c:pt>
              <c:pt idx="2">
                <c:v>6.95</c:v>
              </c:pt>
              <c:pt idx="3">
                <c:v>6.93</c:v>
              </c:pt>
              <c:pt idx="4">
                <c:v>6.91</c:v>
              </c:pt>
              <c:pt idx="5">
                <c:v>6.9</c:v>
              </c:pt>
              <c:pt idx="6">
                <c:v>6.86</c:v>
              </c:pt>
              <c:pt idx="7">
                <c:v>6.84</c:v>
              </c:pt>
              <c:pt idx="8">
                <c:v>6.76</c:v>
              </c:pt>
              <c:pt idx="9">
                <c:v>6.66</c:v>
              </c:pt>
              <c:pt idx="10">
                <c:v>6.59</c:v>
              </c:pt>
              <c:pt idx="11">
                <c:v>6.54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055-4D39-AD9D-A21E9BA7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965848"/>
        <c:axId val="740968472"/>
      </c:scatterChart>
      <c:valAx>
        <c:axId val="7409658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68472"/>
        <c:crosses val="autoZero"/>
        <c:crossBetween val="midCat"/>
      </c:valAx>
      <c:valAx>
        <c:axId val="74096847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6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ECOM + 403 1:2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2"/>
                <c:pt idx="0">
                  <c:v>1.1547005383792781E-2</c:v>
                </c:pt>
                <c:pt idx="1">
                  <c:v>5.7735026918961348E-3</c:v>
                </c:pt>
                <c:pt idx="2">
                  <c:v>2.081665999466124E-2</c:v>
                </c:pt>
                <c:pt idx="3">
                  <c:v>1.5275252316519529E-2</c:v>
                </c:pt>
                <c:pt idx="4">
                  <c:v>2.6457513110645845E-2</c:v>
                </c:pt>
                <c:pt idx="5">
                  <c:v>5.507570547286119E-2</c:v>
                </c:pt>
                <c:pt idx="6">
                  <c:v>9.7125348562223365E-2</c:v>
                </c:pt>
                <c:pt idx="7">
                  <c:v>4.5825756949558302E-2</c:v>
                </c:pt>
                <c:pt idx="8">
                  <c:v>3.5118845842842597E-2</c:v>
                </c:pt>
                <c:pt idx="9">
                  <c:v>6.1101009266077921E-2</c:v>
                </c:pt>
                <c:pt idx="10">
                  <c:v>1.5275252316519142E-2</c:v>
                </c:pt>
                <c:pt idx="11">
                  <c:v>1.1547005383792781E-2</c:v>
                </c:pt>
              </c:numLit>
            </c:plus>
            <c:minus>
              <c:numLit>
                <c:formatCode>General</c:formatCode>
                <c:ptCount val="12"/>
                <c:pt idx="0">
                  <c:v>1.1547005383792781E-2</c:v>
                </c:pt>
                <c:pt idx="1">
                  <c:v>5.7735026918961348E-3</c:v>
                </c:pt>
                <c:pt idx="2">
                  <c:v>2.081665999466124E-2</c:v>
                </c:pt>
                <c:pt idx="3">
                  <c:v>1.5275252316519529E-2</c:v>
                </c:pt>
                <c:pt idx="4">
                  <c:v>2.6457513110645845E-2</c:v>
                </c:pt>
                <c:pt idx="5">
                  <c:v>5.507570547286119E-2</c:v>
                </c:pt>
                <c:pt idx="6">
                  <c:v>9.7125348562223365E-2</c:v>
                </c:pt>
                <c:pt idx="7">
                  <c:v>4.5825756949558302E-2</c:v>
                </c:pt>
                <c:pt idx="8">
                  <c:v>3.5118845842842597E-2</c:v>
                </c:pt>
                <c:pt idx="9">
                  <c:v>6.1101009266077921E-2</c:v>
                </c:pt>
                <c:pt idx="10">
                  <c:v>1.5275252316519142E-2</c:v>
                </c:pt>
                <c:pt idx="11">
                  <c:v>1.1547005383792781E-2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2"/>
              <c:pt idx="0">
                <c:v>0</c:v>
              </c:pt>
              <c:pt idx="1">
                <c:v>2.5166666666627862</c:v>
              </c:pt>
              <c:pt idx="2">
                <c:v>5.2333333332790062</c:v>
              </c:pt>
              <c:pt idx="3">
                <c:v>8.4999999999417923</c:v>
              </c:pt>
              <c:pt idx="4">
                <c:v>11.549999999930151</c:v>
              </c:pt>
              <c:pt idx="5">
                <c:v>17.466666666674428</c:v>
              </c:pt>
              <c:pt idx="6">
                <c:v>22.433333333290648</c:v>
              </c:pt>
              <c:pt idx="7">
                <c:v>30.916666666686069</c:v>
              </c:pt>
              <c:pt idx="8">
                <c:v>52.266666666604578</c:v>
              </c:pt>
              <c:pt idx="9">
                <c:v>74.683333333348855</c:v>
              </c:pt>
              <c:pt idx="10">
                <c:v>98.966666666732635</c:v>
              </c:pt>
              <c:pt idx="11">
                <c:v>127.09999999991851</c:v>
              </c:pt>
            </c:numLit>
          </c:xVal>
          <c:yVal>
            <c:numLit>
              <c:formatCode>General</c:formatCode>
              <c:ptCount val="12"/>
              <c:pt idx="0">
                <c:v>6.9033333333333333</c:v>
              </c:pt>
              <c:pt idx="1">
                <c:v>6.8033333333333337</c:v>
              </c:pt>
              <c:pt idx="2">
                <c:v>6.6166666666666663</c:v>
              </c:pt>
              <c:pt idx="3">
                <c:v>6.4833333333333334</c:v>
              </c:pt>
              <c:pt idx="4">
                <c:v>6.37</c:v>
              </c:pt>
              <c:pt idx="5">
                <c:v>6.1466666666666656</c:v>
              </c:pt>
              <c:pt idx="6">
                <c:v>5.916666666666667</c:v>
              </c:pt>
              <c:pt idx="7">
                <c:v>5.59</c:v>
              </c:pt>
              <c:pt idx="8">
                <c:v>5.9566666666666661</c:v>
              </c:pt>
              <c:pt idx="9">
                <c:v>6.3433333333333337</c:v>
              </c:pt>
              <c:pt idx="10">
                <c:v>6.456666666666667</c:v>
              </c:pt>
              <c:pt idx="11">
                <c:v>6.5266666666666664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09C-4748-A21C-410E9ECE1A9D}"/>
            </c:ext>
          </c:extLst>
        </c:ser>
        <c:ser>
          <c:idx val="2"/>
          <c:order val="2"/>
          <c:tx>
            <c:v>glucose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2"/>
                <c:pt idx="0">
                  <c:v>0.61269961296169673</c:v>
                </c:pt>
                <c:pt idx="1">
                  <c:v>0.43724825383909904</c:v>
                </c:pt>
                <c:pt idx="2">
                  <c:v>0.13353310011957753</c:v>
                </c:pt>
                <c:pt idx="3">
                  <c:v>0.43335848283986039</c:v>
                </c:pt>
                <c:pt idx="5">
                  <c:v>0.10345417619831818</c:v>
                </c:pt>
                <c:pt idx="8">
                  <c:v>0.17620772294466369</c:v>
                </c:pt>
                <c:pt idx="11">
                  <c:v>0.96673490767995773</c:v>
                </c:pt>
              </c:numLit>
            </c:plus>
            <c:minus>
              <c:numLit>
                <c:formatCode>General</c:formatCode>
                <c:ptCount val="12"/>
                <c:pt idx="0">
                  <c:v>0.61269961296169673</c:v>
                </c:pt>
                <c:pt idx="1">
                  <c:v>0.43724825383909904</c:v>
                </c:pt>
                <c:pt idx="2">
                  <c:v>0.13353310011957753</c:v>
                </c:pt>
                <c:pt idx="3">
                  <c:v>0.43335848283986039</c:v>
                </c:pt>
                <c:pt idx="5">
                  <c:v>0.10345417619831818</c:v>
                </c:pt>
                <c:pt idx="8">
                  <c:v>0.17620772294466369</c:v>
                </c:pt>
                <c:pt idx="11">
                  <c:v>0.96673490767995773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2"/>
              <c:pt idx="0">
                <c:v>0</c:v>
              </c:pt>
              <c:pt idx="1">
                <c:v>2.5166666666627862</c:v>
              </c:pt>
              <c:pt idx="2">
                <c:v>5.2333333332790062</c:v>
              </c:pt>
              <c:pt idx="3">
                <c:v>8.4999999999417923</c:v>
              </c:pt>
              <c:pt idx="4">
                <c:v>11.549999999930151</c:v>
              </c:pt>
              <c:pt idx="5">
                <c:v>17.466666666674428</c:v>
              </c:pt>
              <c:pt idx="6">
                <c:v>22.433333333290648</c:v>
              </c:pt>
              <c:pt idx="7">
                <c:v>30.916666666686069</c:v>
              </c:pt>
              <c:pt idx="8">
                <c:v>52.266666666604578</c:v>
              </c:pt>
              <c:pt idx="9">
                <c:v>74.683333333348855</c:v>
              </c:pt>
              <c:pt idx="10">
                <c:v>98.966666666732635</c:v>
              </c:pt>
              <c:pt idx="11">
                <c:v>127.09999999991851</c:v>
              </c:pt>
            </c:numLit>
          </c:xVal>
          <c:yVal>
            <c:numLit>
              <c:formatCode>General</c:formatCode>
              <c:ptCount val="12"/>
              <c:pt idx="0">
                <c:v>27.017884409973032</c:v>
              </c:pt>
              <c:pt idx="1">
                <c:v>27.025175101001505</c:v>
              </c:pt>
              <c:pt idx="2">
                <c:v>26.821854530456147</c:v>
              </c:pt>
              <c:pt idx="3">
                <c:v>26.271734529273896</c:v>
              </c:pt>
              <c:pt idx="5">
                <c:v>25.652627241926101</c:v>
              </c:pt>
              <c:pt idx="8">
                <c:v>24.308707640932976</c:v>
              </c:pt>
              <c:pt idx="11">
                <c:v>26.472977990171227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09C-4748-A21C-410E9ECE1A9D}"/>
            </c:ext>
          </c:extLst>
        </c:ser>
        <c:ser>
          <c:idx val="3"/>
          <c:order val="3"/>
          <c:tx>
            <c:v>lactate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2"/>
                <c:pt idx="0">
                  <c:v>0</c:v>
                </c:pt>
                <c:pt idx="1">
                  <c:v>3.0506521231880718E-2</c:v>
                </c:pt>
                <c:pt idx="2">
                  <c:v>5.565610714233471E-2</c:v>
                </c:pt>
                <c:pt idx="3">
                  <c:v>9.7770944671868823E-2</c:v>
                </c:pt>
                <c:pt idx="5">
                  <c:v>0.10748623852502041</c:v>
                </c:pt>
                <c:pt idx="8">
                  <c:v>2.2696590218345979E-2</c:v>
                </c:pt>
                <c:pt idx="11">
                  <c:v>4.8681824829048238E-2</c:v>
                </c:pt>
              </c:numLit>
            </c:plus>
            <c:minus>
              <c:numLit>
                <c:formatCode>General</c:formatCode>
                <c:ptCount val="12"/>
                <c:pt idx="0">
                  <c:v>0</c:v>
                </c:pt>
                <c:pt idx="1">
                  <c:v>3.0506521231880718E-2</c:v>
                </c:pt>
                <c:pt idx="2">
                  <c:v>5.565610714233471E-2</c:v>
                </c:pt>
                <c:pt idx="3">
                  <c:v>9.7770944671868823E-2</c:v>
                </c:pt>
                <c:pt idx="5">
                  <c:v>0.10748623852502041</c:v>
                </c:pt>
                <c:pt idx="8">
                  <c:v>2.2696590218345979E-2</c:v>
                </c:pt>
                <c:pt idx="11">
                  <c:v>4.8681824829048238E-2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2"/>
              <c:pt idx="0">
                <c:v>0</c:v>
              </c:pt>
              <c:pt idx="1">
                <c:v>2.5166666666627862</c:v>
              </c:pt>
              <c:pt idx="2">
                <c:v>5.2333333332790062</c:v>
              </c:pt>
              <c:pt idx="3">
                <c:v>8.4999999999417923</c:v>
              </c:pt>
              <c:pt idx="4">
                <c:v>11.549999999930151</c:v>
              </c:pt>
              <c:pt idx="5">
                <c:v>17.466666666674428</c:v>
              </c:pt>
              <c:pt idx="6">
                <c:v>22.433333333290648</c:v>
              </c:pt>
              <c:pt idx="7">
                <c:v>30.916666666686069</c:v>
              </c:pt>
              <c:pt idx="8">
                <c:v>52.266666666604578</c:v>
              </c:pt>
              <c:pt idx="9">
                <c:v>74.683333333348855</c:v>
              </c:pt>
              <c:pt idx="10">
                <c:v>98.966666666732635</c:v>
              </c:pt>
              <c:pt idx="11">
                <c:v>127.09999999991851</c:v>
              </c:pt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0.16348128203267848</c:v>
              </c:pt>
              <c:pt idx="2">
                <c:v>0.3556569656244058</c:v>
              </c:pt>
              <c:pt idx="3">
                <c:v>0.76108745254664523</c:v>
              </c:pt>
              <c:pt idx="5">
                <c:v>2.1052121876416772</c:v>
              </c:pt>
              <c:pt idx="8">
                <c:v>1.4127937313679189</c:v>
              </c:pt>
              <c:pt idx="11">
                <c:v>0.21306258263850095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09C-4748-A21C-410E9ECE1A9D}"/>
            </c:ext>
          </c:extLst>
        </c:ser>
        <c:ser>
          <c:idx val="4"/>
          <c:order val="4"/>
          <c:tx>
            <c:v>acetate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2"/>
                <c:pt idx="0">
                  <c:v>0.11654873029575917</c:v>
                </c:pt>
                <c:pt idx="1">
                  <c:v>2.0493541272951114E-2</c:v>
                </c:pt>
                <c:pt idx="2">
                  <c:v>4.2571644985878794E-2</c:v>
                </c:pt>
                <c:pt idx="3">
                  <c:v>4.2487721732410229E-2</c:v>
                </c:pt>
                <c:pt idx="5">
                  <c:v>9.8637262580582252E-2</c:v>
                </c:pt>
                <c:pt idx="8">
                  <c:v>8.5521504784884614E-2</c:v>
                </c:pt>
                <c:pt idx="11">
                  <c:v>0</c:v>
                </c:pt>
              </c:numLit>
            </c:plus>
            <c:minus>
              <c:numLit>
                <c:formatCode>General</c:formatCode>
                <c:ptCount val="12"/>
                <c:pt idx="0">
                  <c:v>0.11654873029575917</c:v>
                </c:pt>
                <c:pt idx="1">
                  <c:v>2.0493541272951114E-2</c:v>
                </c:pt>
                <c:pt idx="2">
                  <c:v>4.2571644985878794E-2</c:v>
                </c:pt>
                <c:pt idx="3">
                  <c:v>4.2487721732410229E-2</c:v>
                </c:pt>
                <c:pt idx="5">
                  <c:v>9.8637262580582252E-2</c:v>
                </c:pt>
                <c:pt idx="8">
                  <c:v>8.5521504784884614E-2</c:v>
                </c:pt>
                <c:pt idx="11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2"/>
              <c:pt idx="0">
                <c:v>0</c:v>
              </c:pt>
              <c:pt idx="1">
                <c:v>2.5166666666627862</c:v>
              </c:pt>
              <c:pt idx="2">
                <c:v>5.2333333332790062</c:v>
              </c:pt>
              <c:pt idx="3">
                <c:v>8.4999999999417923</c:v>
              </c:pt>
              <c:pt idx="4">
                <c:v>11.549999999930151</c:v>
              </c:pt>
              <c:pt idx="5">
                <c:v>17.466666666674428</c:v>
              </c:pt>
              <c:pt idx="6">
                <c:v>22.433333333290648</c:v>
              </c:pt>
              <c:pt idx="7">
                <c:v>30.916666666686069</c:v>
              </c:pt>
              <c:pt idx="8">
                <c:v>52.266666666604578</c:v>
              </c:pt>
              <c:pt idx="9">
                <c:v>74.683333333348855</c:v>
              </c:pt>
              <c:pt idx="10">
                <c:v>98.966666666732635</c:v>
              </c:pt>
              <c:pt idx="11">
                <c:v>127.09999999991851</c:v>
              </c:pt>
            </c:numLit>
          </c:xVal>
          <c:yVal>
            <c:numLit>
              <c:formatCode>General</c:formatCode>
              <c:ptCount val="12"/>
              <c:pt idx="0">
                <c:v>0.13065365908878027</c:v>
              </c:pt>
              <c:pt idx="1">
                <c:v>0.31998249309354987</c:v>
              </c:pt>
              <c:pt idx="2">
                <c:v>0.51170938888080675</c:v>
              </c:pt>
              <c:pt idx="3">
                <c:v>0.50712142077334343</c:v>
              </c:pt>
              <c:pt idx="5">
                <c:v>0.11101145097564986</c:v>
              </c:pt>
              <c:pt idx="8">
                <c:v>1.1474555017123207</c:v>
              </c:pt>
              <c:pt idx="1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09C-4748-A21C-410E9EC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246112"/>
        <c:axId val="643236272"/>
      </c:scatterChart>
      <c:scatterChart>
        <c:scatterStyle val="lineMarker"/>
        <c:varyColors val="0"/>
        <c:ser>
          <c:idx val="0"/>
          <c:order val="0"/>
          <c:tx>
            <c:v>OD600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2"/>
                <c:pt idx="0">
                  <c:v>1.1547005383792527E-3</c:v>
                </c:pt>
                <c:pt idx="1">
                  <c:v>0</c:v>
                </c:pt>
                <c:pt idx="2">
                  <c:v>5.2915026221291859E-3</c:v>
                </c:pt>
                <c:pt idx="3">
                  <c:v>6.0827625302982248E-3</c:v>
                </c:pt>
                <c:pt idx="4">
                  <c:v>5.7735026918962467E-3</c:v>
                </c:pt>
                <c:pt idx="5">
                  <c:v>7.2341781380702262E-3</c:v>
                </c:pt>
                <c:pt idx="6">
                  <c:v>8.3864970836060905E-3</c:v>
                </c:pt>
                <c:pt idx="7">
                  <c:v>9.8149545762236459E-3</c:v>
                </c:pt>
                <c:pt idx="8">
                  <c:v>1.3856406460551031E-2</c:v>
                </c:pt>
                <c:pt idx="9">
                  <c:v>1.7925772879665004E-2</c:v>
                </c:pt>
                <c:pt idx="10">
                  <c:v>2.2030282189144428E-2</c:v>
                </c:pt>
                <c:pt idx="11">
                  <c:v>2.9143323992525852E-2</c:v>
                </c:pt>
              </c:numLit>
            </c:plus>
            <c:minus>
              <c:numLit>
                <c:formatCode>General</c:formatCode>
                <c:ptCount val="12"/>
                <c:pt idx="0">
                  <c:v>1.1547005383792527E-3</c:v>
                </c:pt>
                <c:pt idx="1">
                  <c:v>0</c:v>
                </c:pt>
                <c:pt idx="2">
                  <c:v>5.2915026221291859E-3</c:v>
                </c:pt>
                <c:pt idx="3">
                  <c:v>6.0827625302982248E-3</c:v>
                </c:pt>
                <c:pt idx="4">
                  <c:v>5.7735026918962467E-3</c:v>
                </c:pt>
                <c:pt idx="5">
                  <c:v>7.2341781380702262E-3</c:v>
                </c:pt>
                <c:pt idx="6">
                  <c:v>8.3864970836060905E-3</c:v>
                </c:pt>
                <c:pt idx="7">
                  <c:v>9.8149545762236459E-3</c:v>
                </c:pt>
                <c:pt idx="8">
                  <c:v>1.3856406460551031E-2</c:v>
                </c:pt>
                <c:pt idx="9">
                  <c:v>1.7925772879665004E-2</c:v>
                </c:pt>
                <c:pt idx="10">
                  <c:v>2.2030282189144428E-2</c:v>
                </c:pt>
                <c:pt idx="11">
                  <c:v>2.9143323992525852E-2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2"/>
              <c:pt idx="0">
                <c:v>0</c:v>
              </c:pt>
              <c:pt idx="1">
                <c:v>2.5166666666627862</c:v>
              </c:pt>
              <c:pt idx="2">
                <c:v>5.2333333332790062</c:v>
              </c:pt>
              <c:pt idx="3">
                <c:v>8.4999999999417923</c:v>
              </c:pt>
              <c:pt idx="4">
                <c:v>11.549999999930151</c:v>
              </c:pt>
              <c:pt idx="5">
                <c:v>17.466666666674428</c:v>
              </c:pt>
              <c:pt idx="6">
                <c:v>22.433333333290648</c:v>
              </c:pt>
              <c:pt idx="7">
                <c:v>30.916666666686069</c:v>
              </c:pt>
              <c:pt idx="8">
                <c:v>52.266666666604578</c:v>
              </c:pt>
              <c:pt idx="9">
                <c:v>74.683333333348855</c:v>
              </c:pt>
              <c:pt idx="10">
                <c:v>98.966666666732635</c:v>
              </c:pt>
              <c:pt idx="11">
                <c:v>127.09999999991851</c:v>
              </c:pt>
            </c:numLit>
          </c:xVal>
          <c:yVal>
            <c:numLit>
              <c:formatCode>General</c:formatCode>
              <c:ptCount val="12"/>
              <c:pt idx="0">
                <c:v>6.533333333333334E-2</c:v>
              </c:pt>
              <c:pt idx="1">
                <c:v>0.11</c:v>
              </c:pt>
              <c:pt idx="2">
                <c:v>0.16500000000000001</c:v>
              </c:pt>
              <c:pt idx="3">
                <c:v>0.19099999999999998</c:v>
              </c:pt>
              <c:pt idx="4">
                <c:v>0.20566666666666666</c:v>
              </c:pt>
              <c:pt idx="5">
                <c:v>0.23333333333333331</c:v>
              </c:pt>
              <c:pt idx="6">
                <c:v>0.24666666666666667</c:v>
              </c:pt>
              <c:pt idx="7">
                <c:v>0.26733333333333337</c:v>
              </c:pt>
              <c:pt idx="8">
                <c:v>0.3</c:v>
              </c:pt>
              <c:pt idx="9">
                <c:v>0.33266666666666667</c:v>
              </c:pt>
              <c:pt idx="10">
                <c:v>0.36933333333333335</c:v>
              </c:pt>
              <c:pt idx="11">
                <c:v>0.41466666666666668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09C-4748-A21C-410E9EC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90488"/>
        <c:axId val="741096392"/>
      </c:scatterChart>
      <c:valAx>
        <c:axId val="6432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36272"/>
        <c:crosses val="autoZero"/>
        <c:crossBetween val="midCat"/>
      </c:valAx>
      <c:valAx>
        <c:axId val="6432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Metabolites (mM) or 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46112"/>
        <c:crosses val="autoZero"/>
        <c:crossBetween val="midCat"/>
      </c:valAx>
      <c:valAx>
        <c:axId val="741096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90488"/>
        <c:crosses val="max"/>
        <c:crossBetween val="midCat"/>
      </c:valAx>
      <c:valAx>
        <c:axId val="741090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09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ECOM + 403 1:2 Ratio, Corrected</a:t>
            </a:r>
            <a:r>
              <a:rPr lang="en-US" baseline="0"/>
              <a:t>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2"/>
                <c:pt idx="0">
                  <c:v>1.1547005383792781E-2</c:v>
                </c:pt>
                <c:pt idx="1">
                  <c:v>5.7735026918961348E-3</c:v>
                </c:pt>
                <c:pt idx="2">
                  <c:v>2.081665999466124E-2</c:v>
                </c:pt>
                <c:pt idx="3">
                  <c:v>1.5275252316519529E-2</c:v>
                </c:pt>
                <c:pt idx="4">
                  <c:v>2.6457513110645845E-2</c:v>
                </c:pt>
                <c:pt idx="5">
                  <c:v>5.507570547286119E-2</c:v>
                </c:pt>
                <c:pt idx="6">
                  <c:v>9.7125348562223365E-2</c:v>
                </c:pt>
                <c:pt idx="7">
                  <c:v>4.5825756949558302E-2</c:v>
                </c:pt>
                <c:pt idx="8">
                  <c:v>3.5118845842842597E-2</c:v>
                </c:pt>
                <c:pt idx="9">
                  <c:v>6.1101009266077921E-2</c:v>
                </c:pt>
                <c:pt idx="10">
                  <c:v>1.5275252316519142E-2</c:v>
                </c:pt>
                <c:pt idx="11">
                  <c:v>1.1547005383792781E-2</c:v>
                </c:pt>
              </c:numLit>
            </c:plus>
            <c:minus>
              <c:numLit>
                <c:formatCode>General</c:formatCode>
                <c:ptCount val="12"/>
                <c:pt idx="0">
                  <c:v>1.1547005383792781E-2</c:v>
                </c:pt>
                <c:pt idx="1">
                  <c:v>5.7735026918961348E-3</c:v>
                </c:pt>
                <c:pt idx="2">
                  <c:v>2.081665999466124E-2</c:v>
                </c:pt>
                <c:pt idx="3">
                  <c:v>1.5275252316519529E-2</c:v>
                </c:pt>
                <c:pt idx="4">
                  <c:v>2.6457513110645845E-2</c:v>
                </c:pt>
                <c:pt idx="5">
                  <c:v>5.507570547286119E-2</c:v>
                </c:pt>
                <c:pt idx="6">
                  <c:v>9.7125348562223365E-2</c:v>
                </c:pt>
                <c:pt idx="7">
                  <c:v>4.5825756949558302E-2</c:v>
                </c:pt>
                <c:pt idx="8">
                  <c:v>3.5118845842842597E-2</c:v>
                </c:pt>
                <c:pt idx="9">
                  <c:v>6.1101009266077921E-2</c:v>
                </c:pt>
                <c:pt idx="10">
                  <c:v>1.5275252316519142E-2</c:v>
                </c:pt>
                <c:pt idx="11">
                  <c:v>1.1547005383792781E-2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2"/>
              <c:pt idx="0">
                <c:v>0</c:v>
              </c:pt>
              <c:pt idx="1">
                <c:v>2.5166666666627862</c:v>
              </c:pt>
              <c:pt idx="2">
                <c:v>5.2333333332790062</c:v>
              </c:pt>
              <c:pt idx="3">
                <c:v>8.4999999999417923</c:v>
              </c:pt>
              <c:pt idx="4">
                <c:v>11.549999999930151</c:v>
              </c:pt>
              <c:pt idx="5">
                <c:v>17.466666666674428</c:v>
              </c:pt>
              <c:pt idx="6">
                <c:v>22.433333333290648</c:v>
              </c:pt>
              <c:pt idx="7">
                <c:v>30.916666666686069</c:v>
              </c:pt>
              <c:pt idx="8">
                <c:v>52.266666666604578</c:v>
              </c:pt>
              <c:pt idx="9">
                <c:v>74.683333333348855</c:v>
              </c:pt>
              <c:pt idx="10">
                <c:v>98.966666666732635</c:v>
              </c:pt>
              <c:pt idx="11">
                <c:v>127.09999999991851</c:v>
              </c:pt>
            </c:numLit>
          </c:xVal>
          <c:yVal>
            <c:numLit>
              <c:formatCode>General</c:formatCode>
              <c:ptCount val="12"/>
              <c:pt idx="0">
                <c:v>6.9033333333333333</c:v>
              </c:pt>
              <c:pt idx="1">
                <c:v>6.8033333333333337</c:v>
              </c:pt>
              <c:pt idx="2">
                <c:v>6.6166666666666663</c:v>
              </c:pt>
              <c:pt idx="3">
                <c:v>6.4833333333333334</c:v>
              </c:pt>
              <c:pt idx="4">
                <c:v>6.37</c:v>
              </c:pt>
              <c:pt idx="5">
                <c:v>6.1466666666666656</c:v>
              </c:pt>
              <c:pt idx="6">
                <c:v>5.916666666666667</c:v>
              </c:pt>
              <c:pt idx="7">
                <c:v>5.59</c:v>
              </c:pt>
              <c:pt idx="8">
                <c:v>5.9566666666666661</c:v>
              </c:pt>
              <c:pt idx="9">
                <c:v>6.3433333333333337</c:v>
              </c:pt>
              <c:pt idx="10">
                <c:v>6.456666666666667</c:v>
              </c:pt>
              <c:pt idx="11">
                <c:v>6.5266666666666664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3C8-44C2-B517-0E23BF586922}"/>
            </c:ext>
          </c:extLst>
        </c:ser>
        <c:ser>
          <c:idx val="2"/>
          <c:order val="2"/>
          <c:tx>
            <c:v>glucose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2"/>
                <c:pt idx="0">
                  <c:v>0.61269961296169673</c:v>
                </c:pt>
                <c:pt idx="1">
                  <c:v>0.43494898561713446</c:v>
                </c:pt>
                <c:pt idx="2">
                  <c:v>0.13208117261826965</c:v>
                </c:pt>
                <c:pt idx="3">
                  <c:v>0.42575686206741331</c:v>
                </c:pt>
                <c:pt idx="5">
                  <c:v>9.97928772202792E-2</c:v>
                </c:pt>
                <c:pt idx="8">
                  <c:v>0.15877618216088055</c:v>
                </c:pt>
                <c:pt idx="11">
                  <c:v>0.76302582043356937</c:v>
                </c:pt>
              </c:numLit>
            </c:plus>
            <c:minus>
              <c:numLit>
                <c:formatCode>General</c:formatCode>
                <c:ptCount val="12"/>
                <c:pt idx="0">
                  <c:v>0.61269961296169673</c:v>
                </c:pt>
                <c:pt idx="1">
                  <c:v>0.43494898561713446</c:v>
                </c:pt>
                <c:pt idx="2">
                  <c:v>0.13208117261826965</c:v>
                </c:pt>
                <c:pt idx="3">
                  <c:v>0.42575686206741331</c:v>
                </c:pt>
                <c:pt idx="5">
                  <c:v>9.97928772202792E-2</c:v>
                </c:pt>
                <c:pt idx="8">
                  <c:v>0.15877618216088055</c:v>
                </c:pt>
                <c:pt idx="11">
                  <c:v>0.76302582043356937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2"/>
              <c:pt idx="0">
                <c:v>0</c:v>
              </c:pt>
              <c:pt idx="1">
                <c:v>2.5166666666627862</c:v>
              </c:pt>
              <c:pt idx="2">
                <c:v>5.2333333332790062</c:v>
              </c:pt>
              <c:pt idx="3">
                <c:v>8.4999999999417923</c:v>
              </c:pt>
              <c:pt idx="4">
                <c:v>11.549999999930151</c:v>
              </c:pt>
              <c:pt idx="5">
                <c:v>17.466666666674428</c:v>
              </c:pt>
              <c:pt idx="6">
                <c:v>22.433333333290648</c:v>
              </c:pt>
              <c:pt idx="7">
                <c:v>30.916666666686069</c:v>
              </c:pt>
              <c:pt idx="8">
                <c:v>52.266666666604578</c:v>
              </c:pt>
              <c:pt idx="9">
                <c:v>74.683333333348855</c:v>
              </c:pt>
              <c:pt idx="10">
                <c:v>98.966666666732635</c:v>
              </c:pt>
              <c:pt idx="11">
                <c:v>127.09999999991851</c:v>
              </c:pt>
            </c:numLit>
          </c:xVal>
          <c:yVal>
            <c:numLit>
              <c:formatCode>General</c:formatCode>
              <c:ptCount val="12"/>
              <c:pt idx="0">
                <c:v>27.017884409973032</c:v>
              </c:pt>
              <c:pt idx="1">
                <c:v>26.883063324094</c:v>
              </c:pt>
              <c:pt idx="2">
                <c:v>26.530216066330286</c:v>
              </c:pt>
              <c:pt idx="3">
                <c:v>25.810897206747679</c:v>
              </c:pt>
              <c:pt idx="5">
                <c:v>24.744766956761637</c:v>
              </c:pt>
              <c:pt idx="8">
                <c:v>21.903942278990854</c:v>
              </c:pt>
              <c:pt idx="11">
                <c:v>20.894627461779187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3C8-44C2-B517-0E23BF586922}"/>
            </c:ext>
          </c:extLst>
        </c:ser>
        <c:ser>
          <c:idx val="3"/>
          <c:order val="3"/>
          <c:tx>
            <c:v>lactate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2"/>
                <c:pt idx="0">
                  <c:v>0</c:v>
                </c:pt>
                <c:pt idx="1">
                  <c:v>3.0346102810045496E-2</c:v>
                </c:pt>
                <c:pt idx="2">
                  <c:v>5.5050949076631779E-2</c:v>
                </c:pt>
                <c:pt idx="3">
                  <c:v>9.6055926567022859E-2</c:v>
                </c:pt>
                <c:pt idx="5">
                  <c:v>0.10368224269105389</c:v>
                </c:pt>
                <c:pt idx="8">
                  <c:v>2.0451305327125871E-2</c:v>
                </c:pt>
                <c:pt idx="11">
                  <c:v>3.8423655787430185E-2</c:v>
                </c:pt>
              </c:numLit>
            </c:plus>
            <c:minus>
              <c:numLit>
                <c:formatCode>General</c:formatCode>
                <c:ptCount val="12"/>
                <c:pt idx="0">
                  <c:v>0</c:v>
                </c:pt>
                <c:pt idx="1">
                  <c:v>3.0346102810045496E-2</c:v>
                </c:pt>
                <c:pt idx="2">
                  <c:v>5.5050949076631779E-2</c:v>
                </c:pt>
                <c:pt idx="3">
                  <c:v>9.6055926567022859E-2</c:v>
                </c:pt>
                <c:pt idx="5">
                  <c:v>0.10368224269105389</c:v>
                </c:pt>
                <c:pt idx="8">
                  <c:v>2.0451305327125871E-2</c:v>
                </c:pt>
                <c:pt idx="11">
                  <c:v>3.8423655787430185E-2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2"/>
              <c:pt idx="0">
                <c:v>0</c:v>
              </c:pt>
              <c:pt idx="1">
                <c:v>2.5166666666627862</c:v>
              </c:pt>
              <c:pt idx="2">
                <c:v>5.2333333332790062</c:v>
              </c:pt>
              <c:pt idx="3">
                <c:v>8.4999999999417923</c:v>
              </c:pt>
              <c:pt idx="4">
                <c:v>11.549999999930151</c:v>
              </c:pt>
              <c:pt idx="5">
                <c:v>17.466666666674428</c:v>
              </c:pt>
              <c:pt idx="6">
                <c:v>22.433333333290648</c:v>
              </c:pt>
              <c:pt idx="7">
                <c:v>30.916666666686069</c:v>
              </c:pt>
              <c:pt idx="8">
                <c:v>52.266666666604578</c:v>
              </c:pt>
              <c:pt idx="9">
                <c:v>74.683333333348855</c:v>
              </c:pt>
              <c:pt idx="10">
                <c:v>98.966666666732635</c:v>
              </c:pt>
              <c:pt idx="11">
                <c:v>127.09999999991851</c:v>
              </c:pt>
            </c:numLit>
          </c:xVal>
          <c:yVal>
            <c:numLit>
              <c:formatCode>General</c:formatCode>
              <c:ptCount val="12"/>
              <c:pt idx="0">
                <c:v>0</c:v>
              </c:pt>
              <c:pt idx="1">
                <c:v>0.16262161635451161</c:v>
              </c:pt>
              <c:pt idx="2">
                <c:v>0.3517898485653454</c:v>
              </c:pt>
              <c:pt idx="3">
                <c:v>0.74773707769990339</c:v>
              </c:pt>
              <c:pt idx="5">
                <c:v>2.0307075952278288</c:v>
              </c:pt>
              <c:pt idx="8">
                <c:v>1.2730315737515403</c:v>
              </c:pt>
              <c:pt idx="11">
                <c:v>0.16816632008415855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3C8-44C2-B517-0E23BF586922}"/>
            </c:ext>
          </c:extLst>
        </c:ser>
        <c:ser>
          <c:idx val="4"/>
          <c:order val="4"/>
          <c:tx>
            <c:v>acetate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2"/>
                <c:pt idx="0">
                  <c:v>0.11654873029575917</c:v>
                </c:pt>
                <c:pt idx="1">
                  <c:v>2.0385776066822327E-2</c:v>
                </c:pt>
                <c:pt idx="2">
                  <c:v>4.2108756443071445E-2</c:v>
                </c:pt>
                <c:pt idx="3">
                  <c:v>4.1742436798840848E-2</c:v>
                </c:pt>
                <c:pt idx="5">
                  <c:v>9.5146436768094214E-2</c:v>
                </c:pt>
                <c:pt idx="8">
                  <c:v>7.7061196839037616E-2</c:v>
                </c:pt>
                <c:pt idx="11">
                  <c:v>0</c:v>
                </c:pt>
              </c:numLit>
            </c:plus>
            <c:minus>
              <c:numLit>
                <c:formatCode>General</c:formatCode>
                <c:ptCount val="12"/>
                <c:pt idx="0">
                  <c:v>0.11654873029575917</c:v>
                </c:pt>
                <c:pt idx="1">
                  <c:v>2.0385776066822327E-2</c:v>
                </c:pt>
                <c:pt idx="2">
                  <c:v>4.2108756443071445E-2</c:v>
                </c:pt>
                <c:pt idx="3">
                  <c:v>4.1742436798840848E-2</c:v>
                </c:pt>
                <c:pt idx="5">
                  <c:v>9.5146436768094214E-2</c:v>
                </c:pt>
                <c:pt idx="8">
                  <c:v>7.7061196839037616E-2</c:v>
                </c:pt>
                <c:pt idx="11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2"/>
              <c:pt idx="0">
                <c:v>0</c:v>
              </c:pt>
              <c:pt idx="1">
                <c:v>2.5166666666627862</c:v>
              </c:pt>
              <c:pt idx="2">
                <c:v>5.2333333332790062</c:v>
              </c:pt>
              <c:pt idx="3">
                <c:v>8.4999999999417923</c:v>
              </c:pt>
              <c:pt idx="4">
                <c:v>11.549999999930151</c:v>
              </c:pt>
              <c:pt idx="5">
                <c:v>17.466666666674428</c:v>
              </c:pt>
              <c:pt idx="6">
                <c:v>22.433333333290648</c:v>
              </c:pt>
              <c:pt idx="7">
                <c:v>30.916666666686069</c:v>
              </c:pt>
              <c:pt idx="8">
                <c:v>52.266666666604578</c:v>
              </c:pt>
              <c:pt idx="9">
                <c:v>74.683333333348855</c:v>
              </c:pt>
              <c:pt idx="10">
                <c:v>98.966666666732635</c:v>
              </c:pt>
              <c:pt idx="11">
                <c:v>127.09999999991851</c:v>
              </c:pt>
            </c:numLit>
          </c:xVal>
          <c:yVal>
            <c:numLit>
              <c:formatCode>General</c:formatCode>
              <c:ptCount val="12"/>
              <c:pt idx="0">
                <c:v>0.13065365908878027</c:v>
              </c:pt>
              <c:pt idx="1">
                <c:v>0.31829986641295044</c:v>
              </c:pt>
              <c:pt idx="2">
                <c:v>0.50614548799235304</c:v>
              </c:pt>
              <c:pt idx="3">
                <c:v>0.4982259107534599</c:v>
              </c:pt>
              <c:pt idx="5">
                <c:v>0.10708269597567242</c:v>
              </c:pt>
              <c:pt idx="8">
                <c:v>1.0339422172692896</c:v>
              </c:pt>
              <c:pt idx="1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3C8-44C2-B517-0E23BF58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246112"/>
        <c:axId val="643236272"/>
      </c:scatterChart>
      <c:scatterChart>
        <c:scatterStyle val="lineMarker"/>
        <c:varyColors val="0"/>
        <c:ser>
          <c:idx val="0"/>
          <c:order val="0"/>
          <c:tx>
            <c:v>OD600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2"/>
                <c:pt idx="0">
                  <c:v>1.1547005383792527E-3</c:v>
                </c:pt>
                <c:pt idx="1">
                  <c:v>1.6996749443881478E-17</c:v>
                </c:pt>
                <c:pt idx="2">
                  <c:v>5.233967238217411E-3</c:v>
                </c:pt>
                <c:pt idx="3">
                  <c:v>5.9760636751121721E-3</c:v>
                </c:pt>
                <c:pt idx="4">
                  <c:v>5.6367498488747734E-3</c:v>
                </c:pt>
                <c:pt idx="5">
                  <c:v>6.978156680095546E-3</c:v>
                </c:pt>
                <c:pt idx="6">
                  <c:v>8.0090961794285591E-3</c:v>
                </c:pt>
                <c:pt idx="7">
                  <c:v>9.2164312650879435E-3</c:v>
                </c:pt>
                <c:pt idx="8">
                  <c:v>1.2485646369577916E-2</c:v>
                </c:pt>
                <c:pt idx="9">
                  <c:v>1.5495016886652127E-2</c:v>
                </c:pt>
                <c:pt idx="10">
                  <c:v>1.8238786979199204E-2</c:v>
                </c:pt>
                <c:pt idx="11">
                  <c:v>2.3002281724702197E-2</c:v>
                </c:pt>
              </c:numLit>
            </c:plus>
            <c:minus>
              <c:numLit>
                <c:formatCode>General</c:formatCode>
                <c:ptCount val="12"/>
                <c:pt idx="0">
                  <c:v>1.1547005383792527E-3</c:v>
                </c:pt>
                <c:pt idx="1">
                  <c:v>1.6996749443881478E-17</c:v>
                </c:pt>
                <c:pt idx="2">
                  <c:v>5.233967238217411E-3</c:v>
                </c:pt>
                <c:pt idx="3">
                  <c:v>5.9760636751121721E-3</c:v>
                </c:pt>
                <c:pt idx="4">
                  <c:v>5.6367498488747734E-3</c:v>
                </c:pt>
                <c:pt idx="5">
                  <c:v>6.978156680095546E-3</c:v>
                </c:pt>
                <c:pt idx="6">
                  <c:v>8.0090961794285591E-3</c:v>
                </c:pt>
                <c:pt idx="7">
                  <c:v>9.2164312650879435E-3</c:v>
                </c:pt>
                <c:pt idx="8">
                  <c:v>1.2485646369577916E-2</c:v>
                </c:pt>
                <c:pt idx="9">
                  <c:v>1.5495016886652127E-2</c:v>
                </c:pt>
                <c:pt idx="10">
                  <c:v>1.8238786979199204E-2</c:v>
                </c:pt>
                <c:pt idx="11">
                  <c:v>2.3002281724702197E-2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2"/>
              <c:pt idx="0">
                <c:v>0</c:v>
              </c:pt>
              <c:pt idx="1">
                <c:v>2.5166666666627862</c:v>
              </c:pt>
              <c:pt idx="2">
                <c:v>5.2333333332790062</c:v>
              </c:pt>
              <c:pt idx="3">
                <c:v>8.4999999999417923</c:v>
              </c:pt>
              <c:pt idx="4">
                <c:v>11.549999999930151</c:v>
              </c:pt>
              <c:pt idx="5">
                <c:v>17.466666666674428</c:v>
              </c:pt>
              <c:pt idx="6">
                <c:v>22.433333333290648</c:v>
              </c:pt>
              <c:pt idx="7">
                <c:v>30.916666666686069</c:v>
              </c:pt>
              <c:pt idx="8">
                <c:v>52.266666666604578</c:v>
              </c:pt>
              <c:pt idx="9">
                <c:v>74.683333333348855</c:v>
              </c:pt>
              <c:pt idx="10">
                <c:v>98.966666666732635</c:v>
              </c:pt>
              <c:pt idx="11">
                <c:v>127.09999999991851</c:v>
              </c:pt>
            </c:numLit>
          </c:xVal>
          <c:yVal>
            <c:numLit>
              <c:formatCode>General</c:formatCode>
              <c:ptCount val="12"/>
              <c:pt idx="0">
                <c:v>6.533333333333334E-2</c:v>
              </c:pt>
              <c:pt idx="1">
                <c:v>0.10942156543291941</c:v>
              </c:pt>
              <c:pt idx="2">
                <c:v>0.16320592768758307</c:v>
              </c:pt>
              <c:pt idx="3">
                <c:v>0.18764963390580744</c:v>
              </c:pt>
              <c:pt idx="4">
                <c:v>0.20079518692857021</c:v>
              </c:pt>
              <c:pt idx="5">
                <c:v>0.22507554107912872</c:v>
              </c:pt>
              <c:pt idx="6">
                <c:v>0.23556641561996502</c:v>
              </c:pt>
              <c:pt idx="7">
                <c:v>0.25103114562568773</c:v>
              </c:pt>
              <c:pt idx="8">
                <c:v>0.27032217346808535</c:v>
              </c:pt>
              <c:pt idx="9">
                <c:v>0.28755667341259999</c:v>
              </c:pt>
              <c:pt idx="10">
                <c:v>0.30576966437150538</c:v>
              </c:pt>
              <c:pt idx="11">
                <c:v>0.32728866106543114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3C8-44C2-B517-0E23BF58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90488"/>
        <c:axId val="741096392"/>
      </c:scatterChart>
      <c:valAx>
        <c:axId val="6432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36272"/>
        <c:crosses val="autoZero"/>
        <c:crossBetween val="midCat"/>
      </c:valAx>
      <c:valAx>
        <c:axId val="6432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Metabolites (mM) or 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46112"/>
        <c:crosses val="autoZero"/>
        <c:crossBetween val="midCat"/>
      </c:valAx>
      <c:valAx>
        <c:axId val="741096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90488"/>
        <c:crosses val="max"/>
        <c:crossBetween val="midCat"/>
      </c:valAx>
      <c:valAx>
        <c:axId val="741090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09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OD600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2"/>
                <c:pt idx="0">
                  <c:v>1.1547005383792527E-3</c:v>
                </c:pt>
                <c:pt idx="1">
                  <c:v>0</c:v>
                </c:pt>
                <c:pt idx="2">
                  <c:v>5.2915026221291859E-3</c:v>
                </c:pt>
                <c:pt idx="3">
                  <c:v>6.0827625302982248E-3</c:v>
                </c:pt>
                <c:pt idx="4">
                  <c:v>5.7735026918962467E-3</c:v>
                </c:pt>
                <c:pt idx="5">
                  <c:v>7.2341781380702262E-3</c:v>
                </c:pt>
                <c:pt idx="6">
                  <c:v>8.3864970836060905E-3</c:v>
                </c:pt>
                <c:pt idx="7">
                  <c:v>9.8149545762236459E-3</c:v>
                </c:pt>
                <c:pt idx="8">
                  <c:v>1.3856406460551031E-2</c:v>
                </c:pt>
                <c:pt idx="9">
                  <c:v>1.7925772879665004E-2</c:v>
                </c:pt>
                <c:pt idx="10">
                  <c:v>2.2030282189144428E-2</c:v>
                </c:pt>
                <c:pt idx="11">
                  <c:v>2.9143323992525852E-2</c:v>
                </c:pt>
              </c:numLit>
            </c:plus>
            <c:minus>
              <c:numLit>
                <c:formatCode>General</c:formatCode>
                <c:ptCount val="12"/>
                <c:pt idx="0">
                  <c:v>1.1547005383792527E-3</c:v>
                </c:pt>
                <c:pt idx="1">
                  <c:v>0</c:v>
                </c:pt>
                <c:pt idx="2">
                  <c:v>5.2915026221291859E-3</c:v>
                </c:pt>
                <c:pt idx="3">
                  <c:v>6.0827625302982248E-3</c:v>
                </c:pt>
                <c:pt idx="4">
                  <c:v>5.7735026918962467E-3</c:v>
                </c:pt>
                <c:pt idx="5">
                  <c:v>7.2341781380702262E-3</c:v>
                </c:pt>
                <c:pt idx="6">
                  <c:v>8.3864970836060905E-3</c:v>
                </c:pt>
                <c:pt idx="7">
                  <c:v>9.8149545762236459E-3</c:v>
                </c:pt>
                <c:pt idx="8">
                  <c:v>1.3856406460551031E-2</c:v>
                </c:pt>
                <c:pt idx="9">
                  <c:v>1.7925772879665004E-2</c:v>
                </c:pt>
                <c:pt idx="10">
                  <c:v>2.2030282189144428E-2</c:v>
                </c:pt>
                <c:pt idx="11">
                  <c:v>2.9143323992525852E-2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2"/>
              <c:pt idx="0">
                <c:v>0</c:v>
              </c:pt>
              <c:pt idx="1">
                <c:v>2.5166666666627862</c:v>
              </c:pt>
              <c:pt idx="2">
                <c:v>5.2333333332790062</c:v>
              </c:pt>
              <c:pt idx="3">
                <c:v>8.4999999999417923</c:v>
              </c:pt>
              <c:pt idx="4">
                <c:v>11.549999999930151</c:v>
              </c:pt>
              <c:pt idx="5">
                <c:v>17.466666666674428</c:v>
              </c:pt>
              <c:pt idx="6">
                <c:v>22.433333333290648</c:v>
              </c:pt>
              <c:pt idx="7">
                <c:v>30.916666666686069</c:v>
              </c:pt>
              <c:pt idx="8">
                <c:v>52.266666666604578</c:v>
              </c:pt>
              <c:pt idx="9">
                <c:v>74.683333333348855</c:v>
              </c:pt>
              <c:pt idx="10">
                <c:v>98.966666666732635</c:v>
              </c:pt>
              <c:pt idx="11">
                <c:v>127.09999999991851</c:v>
              </c:pt>
            </c:numLit>
          </c:xVal>
          <c:yVal>
            <c:numLit>
              <c:formatCode>General</c:formatCode>
              <c:ptCount val="12"/>
              <c:pt idx="0">
                <c:v>6.533333333333334E-2</c:v>
              </c:pt>
              <c:pt idx="1">
                <c:v>0.11</c:v>
              </c:pt>
              <c:pt idx="2">
                <c:v>0.16500000000000001</c:v>
              </c:pt>
              <c:pt idx="3">
                <c:v>0.19099999999999998</c:v>
              </c:pt>
              <c:pt idx="4">
                <c:v>0.20566666666666666</c:v>
              </c:pt>
              <c:pt idx="5">
                <c:v>0.23333333333333331</c:v>
              </c:pt>
              <c:pt idx="6">
                <c:v>0.24666666666666667</c:v>
              </c:pt>
              <c:pt idx="7">
                <c:v>0.26733333333333337</c:v>
              </c:pt>
              <c:pt idx="8">
                <c:v>0.3</c:v>
              </c:pt>
              <c:pt idx="9">
                <c:v>0.33266666666666667</c:v>
              </c:pt>
              <c:pt idx="10">
                <c:v>0.36933333333333335</c:v>
              </c:pt>
              <c:pt idx="11">
                <c:v>0.41466666666666668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40B-42A8-B9F8-9F619F793D87}"/>
            </c:ext>
          </c:extLst>
        </c:ser>
        <c:ser>
          <c:idx val="1"/>
          <c:order val="1"/>
          <c:tx>
            <c:v>OD600 corrected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2"/>
                <c:pt idx="0">
                  <c:v>1.1547005383792527E-3</c:v>
                </c:pt>
                <c:pt idx="1">
                  <c:v>1.6996749443881478E-17</c:v>
                </c:pt>
                <c:pt idx="2">
                  <c:v>5.233967238217411E-3</c:v>
                </c:pt>
                <c:pt idx="3">
                  <c:v>5.9760636751121721E-3</c:v>
                </c:pt>
                <c:pt idx="4">
                  <c:v>5.6367498488747734E-3</c:v>
                </c:pt>
                <c:pt idx="5">
                  <c:v>6.978156680095546E-3</c:v>
                </c:pt>
                <c:pt idx="6">
                  <c:v>8.0090961794285591E-3</c:v>
                </c:pt>
                <c:pt idx="7">
                  <c:v>9.2164312650879435E-3</c:v>
                </c:pt>
                <c:pt idx="8">
                  <c:v>1.2485646369577916E-2</c:v>
                </c:pt>
                <c:pt idx="9">
                  <c:v>1.5495016886652127E-2</c:v>
                </c:pt>
                <c:pt idx="10">
                  <c:v>1.8238786979199204E-2</c:v>
                </c:pt>
                <c:pt idx="11">
                  <c:v>2.3002281724702197E-2</c:v>
                </c:pt>
              </c:numLit>
            </c:plus>
            <c:minus>
              <c:numLit>
                <c:formatCode>General</c:formatCode>
                <c:ptCount val="12"/>
                <c:pt idx="0">
                  <c:v>1.1547005383792527E-3</c:v>
                </c:pt>
                <c:pt idx="1">
                  <c:v>1.6996749443881478E-17</c:v>
                </c:pt>
                <c:pt idx="2">
                  <c:v>5.233967238217411E-3</c:v>
                </c:pt>
                <c:pt idx="3">
                  <c:v>5.9760636751121721E-3</c:v>
                </c:pt>
                <c:pt idx="4">
                  <c:v>5.6367498488747734E-3</c:v>
                </c:pt>
                <c:pt idx="5">
                  <c:v>6.978156680095546E-3</c:v>
                </c:pt>
                <c:pt idx="6">
                  <c:v>8.0090961794285591E-3</c:v>
                </c:pt>
                <c:pt idx="7">
                  <c:v>9.2164312650879435E-3</c:v>
                </c:pt>
                <c:pt idx="8">
                  <c:v>1.2485646369577916E-2</c:v>
                </c:pt>
                <c:pt idx="9">
                  <c:v>1.5495016886652127E-2</c:v>
                </c:pt>
                <c:pt idx="10">
                  <c:v>1.8238786979199204E-2</c:v>
                </c:pt>
                <c:pt idx="11">
                  <c:v>2.3002281724702197E-2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2"/>
              <c:pt idx="0">
                <c:v>0</c:v>
              </c:pt>
              <c:pt idx="1">
                <c:v>2.5166666666627862</c:v>
              </c:pt>
              <c:pt idx="2">
                <c:v>5.2333333332790062</c:v>
              </c:pt>
              <c:pt idx="3">
                <c:v>8.4999999999417923</c:v>
              </c:pt>
              <c:pt idx="4">
                <c:v>11.549999999930151</c:v>
              </c:pt>
              <c:pt idx="5">
                <c:v>17.466666666674428</c:v>
              </c:pt>
              <c:pt idx="6">
                <c:v>22.433333333290648</c:v>
              </c:pt>
              <c:pt idx="7">
                <c:v>30.916666666686069</c:v>
              </c:pt>
              <c:pt idx="8">
                <c:v>52.266666666604578</c:v>
              </c:pt>
              <c:pt idx="9">
                <c:v>74.683333333348855</c:v>
              </c:pt>
              <c:pt idx="10">
                <c:v>98.966666666732635</c:v>
              </c:pt>
              <c:pt idx="11">
                <c:v>127.09999999991851</c:v>
              </c:pt>
            </c:numLit>
          </c:xVal>
          <c:yVal>
            <c:numLit>
              <c:formatCode>General</c:formatCode>
              <c:ptCount val="12"/>
              <c:pt idx="0">
                <c:v>6.533333333333334E-2</c:v>
              </c:pt>
              <c:pt idx="1">
                <c:v>0.10942156543291941</c:v>
              </c:pt>
              <c:pt idx="2">
                <c:v>0.16320592768758307</c:v>
              </c:pt>
              <c:pt idx="3">
                <c:v>0.18764963390580744</c:v>
              </c:pt>
              <c:pt idx="4">
                <c:v>0.20079518692857021</c:v>
              </c:pt>
              <c:pt idx="5">
                <c:v>0.22507554107912872</c:v>
              </c:pt>
              <c:pt idx="6">
                <c:v>0.23556641561996502</c:v>
              </c:pt>
              <c:pt idx="7">
                <c:v>0.25103114562568773</c:v>
              </c:pt>
              <c:pt idx="8">
                <c:v>0.27032217346808535</c:v>
              </c:pt>
              <c:pt idx="9">
                <c:v>0.28755667341259999</c:v>
              </c:pt>
              <c:pt idx="10">
                <c:v>0.30576966437150538</c:v>
              </c:pt>
              <c:pt idx="11">
                <c:v>0.32728866106543114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40B-42A8-B9F8-9F619F79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82288"/>
        <c:axId val="741086224"/>
      </c:scatterChart>
      <c:valAx>
        <c:axId val="7410822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86224"/>
        <c:crosses val="autoZero"/>
        <c:crossBetween val="midCat"/>
      </c:valAx>
      <c:valAx>
        <c:axId val="7410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8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34230096237971"/>
          <c:y val="7.9281860600758258E-2"/>
          <c:w val="0.21787992125984251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ECOM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2"/>
                <c:pt idx="0">
                  <c:v>0.11995567227620127</c:v>
                </c:pt>
                <c:pt idx="2">
                  <c:v>4.9124233505596672E-2</c:v>
                </c:pt>
                <c:pt idx="4">
                  <c:v>0.11240521756543222</c:v>
                </c:pt>
                <c:pt idx="6">
                  <c:v>0.19965035302402187</c:v>
                </c:pt>
                <c:pt idx="8">
                  <c:v>0.22603296971947928</c:v>
                </c:pt>
                <c:pt idx="10">
                  <c:v>0.27893407124205194</c:v>
                </c:pt>
              </c:numLit>
            </c:plus>
            <c:minus>
              <c:numLit>
                <c:formatCode>General</c:formatCode>
                <c:ptCount val="12"/>
                <c:pt idx="0">
                  <c:v>0.11995567227620127</c:v>
                </c:pt>
                <c:pt idx="2">
                  <c:v>4.9124233505596672E-2</c:v>
                </c:pt>
                <c:pt idx="4">
                  <c:v>0.11240521756543222</c:v>
                </c:pt>
                <c:pt idx="6">
                  <c:v>0.19965035302402187</c:v>
                </c:pt>
                <c:pt idx="8">
                  <c:v>0.22603296971947928</c:v>
                </c:pt>
                <c:pt idx="10">
                  <c:v>0.27893407124205194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2"/>
              <c:pt idx="0">
                <c:v>0</c:v>
              </c:pt>
              <c:pt idx="1">
                <c:v>2.5166666666627862</c:v>
              </c:pt>
              <c:pt idx="2">
                <c:v>5.2333333332790062</c:v>
              </c:pt>
              <c:pt idx="3">
                <c:v>8.4999999999417923</c:v>
              </c:pt>
              <c:pt idx="4">
                <c:v>11.549999999930151</c:v>
              </c:pt>
              <c:pt idx="5">
                <c:v>17.466666666674428</c:v>
              </c:pt>
              <c:pt idx="6">
                <c:v>22.433333333290648</c:v>
              </c:pt>
              <c:pt idx="7">
                <c:v>30.916666666686069</c:v>
              </c:pt>
              <c:pt idx="8">
                <c:v>52.266666666604578</c:v>
              </c:pt>
              <c:pt idx="9">
                <c:v>74.683333333348855</c:v>
              </c:pt>
              <c:pt idx="10">
                <c:v>98.966666666732635</c:v>
              </c:pt>
              <c:pt idx="11">
                <c:v>127.09999999991851</c:v>
              </c:pt>
            </c:numLit>
          </c:xVal>
          <c:yVal>
            <c:numLit>
              <c:formatCode>General</c:formatCode>
              <c:ptCount val="12"/>
              <c:pt idx="0">
                <c:v>0.27687529861442906</c:v>
              </c:pt>
              <c:pt idx="2">
                <c:v>0.25147102604997346</c:v>
              </c:pt>
              <c:pt idx="4">
                <c:v>0.16138262322472849</c:v>
              </c:pt>
              <c:pt idx="6">
                <c:v>6.7931345980126456E-2</c:v>
              </c:pt>
              <c:pt idx="8">
                <c:v>7.2659616137877012E-2</c:v>
              </c:pt>
              <c:pt idx="10">
                <c:v>6.9210848345143558E-2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9EF-4A43-BB7B-5359E47B3395}"/>
            </c:ext>
          </c:extLst>
        </c:ser>
        <c:ser>
          <c:idx val="1"/>
          <c:order val="1"/>
          <c:tx>
            <c:v>403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2"/>
                <c:pt idx="0">
                  <c:v>0.11995567227620132</c:v>
                </c:pt>
                <c:pt idx="2">
                  <c:v>4.9124233505596866E-2</c:v>
                </c:pt>
                <c:pt idx="4">
                  <c:v>0.11240521756543098</c:v>
                </c:pt>
                <c:pt idx="6">
                  <c:v>0.19965035302402256</c:v>
                </c:pt>
                <c:pt idx="8">
                  <c:v>0.22603296971947956</c:v>
                </c:pt>
                <c:pt idx="10">
                  <c:v>0.27893407124205238</c:v>
                </c:pt>
              </c:numLit>
            </c:plus>
            <c:minus>
              <c:numLit>
                <c:formatCode>General</c:formatCode>
                <c:ptCount val="12"/>
                <c:pt idx="0">
                  <c:v>0.11995567227620132</c:v>
                </c:pt>
                <c:pt idx="2">
                  <c:v>4.9124233505596866E-2</c:v>
                </c:pt>
                <c:pt idx="4">
                  <c:v>0.11240521756543098</c:v>
                </c:pt>
                <c:pt idx="6">
                  <c:v>0.19965035302402256</c:v>
                </c:pt>
                <c:pt idx="8">
                  <c:v>0.22603296971947956</c:v>
                </c:pt>
                <c:pt idx="10">
                  <c:v>0.27893407124205238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2"/>
              <c:pt idx="0">
                <c:v>0</c:v>
              </c:pt>
              <c:pt idx="1">
                <c:v>2.5166666666627862</c:v>
              </c:pt>
              <c:pt idx="2">
                <c:v>5.2333333332790062</c:v>
              </c:pt>
              <c:pt idx="3">
                <c:v>8.4999999999417923</c:v>
              </c:pt>
              <c:pt idx="4">
                <c:v>11.549999999930151</c:v>
              </c:pt>
              <c:pt idx="5">
                <c:v>17.466666666674428</c:v>
              </c:pt>
              <c:pt idx="6">
                <c:v>22.433333333290648</c:v>
              </c:pt>
              <c:pt idx="7">
                <c:v>30.916666666686069</c:v>
              </c:pt>
              <c:pt idx="8">
                <c:v>52.266666666604578</c:v>
              </c:pt>
              <c:pt idx="9">
                <c:v>74.683333333348855</c:v>
              </c:pt>
              <c:pt idx="10">
                <c:v>98.966666666732635</c:v>
              </c:pt>
              <c:pt idx="11">
                <c:v>127.09999999991851</c:v>
              </c:pt>
            </c:numLit>
          </c:xVal>
          <c:yVal>
            <c:numLit>
              <c:formatCode>General</c:formatCode>
              <c:ptCount val="12"/>
              <c:pt idx="0">
                <c:v>0.72312470138557094</c:v>
              </c:pt>
              <c:pt idx="2">
                <c:v>0.74852897395002671</c:v>
              </c:pt>
              <c:pt idx="4">
                <c:v>0.83861737677527159</c:v>
              </c:pt>
              <c:pt idx="6">
                <c:v>0.93206865401987349</c:v>
              </c:pt>
              <c:pt idx="8">
                <c:v>0.92734038386212303</c:v>
              </c:pt>
              <c:pt idx="10">
                <c:v>0.93078915165485643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9EF-4A43-BB7B-5359E47B3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79720"/>
        <c:axId val="755980048"/>
      </c:scatterChart>
      <c:valAx>
        <c:axId val="75597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80048"/>
        <c:crosses val="autoZero"/>
        <c:crossBetween val="midCat"/>
      </c:valAx>
      <c:valAx>
        <c:axId val="7559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7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SuppSheet19!$C$6:$C$13</c:f>
              <c:numCache>
                <c:formatCode>0.0</c:formatCode>
                <c:ptCount val="8"/>
                <c:pt idx="0">
                  <c:v>0</c:v>
                </c:pt>
                <c:pt idx="1">
                  <c:v>1.5999999999767169</c:v>
                </c:pt>
                <c:pt idx="2">
                  <c:v>2.6666666668024845</c:v>
                </c:pt>
                <c:pt idx="3">
                  <c:v>4.2000000000698492</c:v>
                </c:pt>
                <c:pt idx="4">
                  <c:v>5.6166666666395031</c:v>
                </c:pt>
                <c:pt idx="5">
                  <c:v>7.1166666666395031</c:v>
                </c:pt>
                <c:pt idx="6">
                  <c:v>8.8500000000349246</c:v>
                </c:pt>
                <c:pt idx="7">
                  <c:v>17.050000000046566</c:v>
                </c:pt>
              </c:numCache>
            </c:numRef>
          </c:xVal>
          <c:yVal>
            <c:numRef>
              <c:f>SuppSheet19!$D$6:$D$13</c:f>
              <c:numCache>
                <c:formatCode>0.000</c:formatCode>
                <c:ptCount val="8"/>
                <c:pt idx="0">
                  <c:v>2.4E-2</c:v>
                </c:pt>
                <c:pt idx="1">
                  <c:v>4.2999999999999997E-2</c:v>
                </c:pt>
                <c:pt idx="2">
                  <c:v>5.3999999999999999E-2</c:v>
                </c:pt>
                <c:pt idx="3">
                  <c:v>0.105</c:v>
                </c:pt>
                <c:pt idx="4">
                  <c:v>0.14399999999999999</c:v>
                </c:pt>
                <c:pt idx="5">
                  <c:v>0.16200000000000001</c:v>
                </c:pt>
                <c:pt idx="6">
                  <c:v>0.16800000000000001</c:v>
                </c:pt>
                <c:pt idx="7">
                  <c:v>0.16700000000000001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C-43F1-854A-D85746ECB4D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SuppSheet19!$C$6:$C$13</c:f>
              <c:numCache>
                <c:formatCode>0.0</c:formatCode>
                <c:ptCount val="8"/>
                <c:pt idx="0">
                  <c:v>0</c:v>
                </c:pt>
                <c:pt idx="1">
                  <c:v>1.5999999999767169</c:v>
                </c:pt>
                <c:pt idx="2">
                  <c:v>2.6666666668024845</c:v>
                </c:pt>
                <c:pt idx="3">
                  <c:v>4.2000000000698492</c:v>
                </c:pt>
                <c:pt idx="4">
                  <c:v>5.6166666666395031</c:v>
                </c:pt>
                <c:pt idx="5">
                  <c:v>7.1166666666395031</c:v>
                </c:pt>
                <c:pt idx="6">
                  <c:v>8.8500000000349246</c:v>
                </c:pt>
                <c:pt idx="7">
                  <c:v>17.050000000046566</c:v>
                </c:pt>
              </c:numCache>
            </c:numRef>
          </c:xVal>
          <c:yVal>
            <c:numRef>
              <c:f>SuppSheet19!$E$6:$E$13</c:f>
              <c:numCache>
                <c:formatCode>0.000</c:formatCode>
                <c:ptCount val="8"/>
                <c:pt idx="0">
                  <c:v>2.3E-2</c:v>
                </c:pt>
                <c:pt idx="1">
                  <c:v>0.04</c:v>
                </c:pt>
                <c:pt idx="2">
                  <c:v>5.0999999999999997E-2</c:v>
                </c:pt>
                <c:pt idx="3">
                  <c:v>0.10100000000000001</c:v>
                </c:pt>
                <c:pt idx="4">
                  <c:v>0.14399999999999999</c:v>
                </c:pt>
                <c:pt idx="5">
                  <c:v>0.16200000000000001</c:v>
                </c:pt>
                <c:pt idx="6">
                  <c:v>0.17</c:v>
                </c:pt>
                <c:pt idx="7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C-43F1-854A-D85746ECB4D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SuppSheet19!$C$6:$C$13</c:f>
              <c:numCache>
                <c:formatCode>0.0</c:formatCode>
                <c:ptCount val="8"/>
                <c:pt idx="0">
                  <c:v>0</c:v>
                </c:pt>
                <c:pt idx="1">
                  <c:v>1.5999999999767169</c:v>
                </c:pt>
                <c:pt idx="2">
                  <c:v>2.6666666668024845</c:v>
                </c:pt>
                <c:pt idx="3">
                  <c:v>4.2000000000698492</c:v>
                </c:pt>
                <c:pt idx="4">
                  <c:v>5.6166666666395031</c:v>
                </c:pt>
                <c:pt idx="5">
                  <c:v>7.1166666666395031</c:v>
                </c:pt>
                <c:pt idx="6">
                  <c:v>8.8500000000349246</c:v>
                </c:pt>
                <c:pt idx="7">
                  <c:v>17.050000000046566</c:v>
                </c:pt>
              </c:numCache>
            </c:numRef>
          </c:xVal>
          <c:yVal>
            <c:numRef>
              <c:f>SuppSheet19!$F$6:$F$13</c:f>
              <c:numCache>
                <c:formatCode>0.000</c:formatCode>
                <c:ptCount val="8"/>
                <c:pt idx="0">
                  <c:v>2.3E-2</c:v>
                </c:pt>
                <c:pt idx="1">
                  <c:v>0.04</c:v>
                </c:pt>
                <c:pt idx="2">
                  <c:v>5.0999999999999997E-2</c:v>
                </c:pt>
                <c:pt idx="3">
                  <c:v>0.1</c:v>
                </c:pt>
                <c:pt idx="4">
                  <c:v>0.14299999999999999</c:v>
                </c:pt>
                <c:pt idx="5">
                  <c:v>0.16200000000000001</c:v>
                </c:pt>
                <c:pt idx="6">
                  <c:v>0.17100000000000001</c:v>
                </c:pt>
                <c:pt idx="7">
                  <c:v>0.17100000000000001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4C-43F1-854A-D85746EC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00888"/>
        <c:axId val="469077928"/>
      </c:scatterChart>
      <c:valAx>
        <c:axId val="46910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77928"/>
        <c:crosses val="autoZero"/>
        <c:crossBetween val="midCat"/>
      </c:valAx>
      <c:valAx>
        <c:axId val="469077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SuppSheet19!$C$6:$C$13</c:f>
              <c:numCache>
                <c:formatCode>0.0</c:formatCode>
                <c:ptCount val="8"/>
                <c:pt idx="0">
                  <c:v>0</c:v>
                </c:pt>
                <c:pt idx="1">
                  <c:v>1.5999999999767169</c:v>
                </c:pt>
                <c:pt idx="2">
                  <c:v>2.6666666668024845</c:v>
                </c:pt>
                <c:pt idx="3">
                  <c:v>4.2000000000698492</c:v>
                </c:pt>
                <c:pt idx="4">
                  <c:v>5.6166666666395031</c:v>
                </c:pt>
                <c:pt idx="5">
                  <c:v>7.1166666666395031</c:v>
                </c:pt>
                <c:pt idx="6">
                  <c:v>8.8500000000349246</c:v>
                </c:pt>
                <c:pt idx="7">
                  <c:v>17.050000000046566</c:v>
                </c:pt>
              </c:numCache>
            </c:numRef>
          </c:xVal>
          <c:yVal>
            <c:numRef>
              <c:f>SuppSheet19!$J$6:$J$13</c:f>
              <c:numCache>
                <c:formatCode>0.00</c:formatCode>
                <c:ptCount val="8"/>
                <c:pt idx="0">
                  <c:v>6.43</c:v>
                </c:pt>
                <c:pt idx="1">
                  <c:v>6.29</c:v>
                </c:pt>
                <c:pt idx="2">
                  <c:v>6.18</c:v>
                </c:pt>
                <c:pt idx="3">
                  <c:v>5.57</c:v>
                </c:pt>
                <c:pt idx="4">
                  <c:v>4.7699999999999996</c:v>
                </c:pt>
                <c:pt idx="5">
                  <c:v>4.4800000000000004</c:v>
                </c:pt>
                <c:pt idx="6">
                  <c:v>4.41</c:v>
                </c:pt>
                <c:pt idx="7">
                  <c:v>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C-46B0-8F8C-473FAE0CF6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SuppSheet19!$C$6:$C$13</c:f>
              <c:numCache>
                <c:formatCode>0.0</c:formatCode>
                <c:ptCount val="8"/>
                <c:pt idx="0">
                  <c:v>0</c:v>
                </c:pt>
                <c:pt idx="1">
                  <c:v>1.5999999999767169</c:v>
                </c:pt>
                <c:pt idx="2">
                  <c:v>2.6666666668024845</c:v>
                </c:pt>
                <c:pt idx="3">
                  <c:v>4.2000000000698492</c:v>
                </c:pt>
                <c:pt idx="4">
                  <c:v>5.6166666666395031</c:v>
                </c:pt>
                <c:pt idx="5">
                  <c:v>7.1166666666395031</c:v>
                </c:pt>
                <c:pt idx="6">
                  <c:v>8.8500000000349246</c:v>
                </c:pt>
                <c:pt idx="7">
                  <c:v>17.050000000046566</c:v>
                </c:pt>
              </c:numCache>
            </c:numRef>
          </c:xVal>
          <c:yVal>
            <c:numRef>
              <c:f>SuppSheet19!$K$6:$K$13</c:f>
              <c:numCache>
                <c:formatCode>0.00</c:formatCode>
                <c:ptCount val="8"/>
                <c:pt idx="0">
                  <c:v>6.4</c:v>
                </c:pt>
                <c:pt idx="1">
                  <c:v>6.3</c:v>
                </c:pt>
                <c:pt idx="2">
                  <c:v>6.16</c:v>
                </c:pt>
                <c:pt idx="3">
                  <c:v>5.56</c:v>
                </c:pt>
                <c:pt idx="4">
                  <c:v>4.74</c:v>
                </c:pt>
                <c:pt idx="5">
                  <c:v>4.43</c:v>
                </c:pt>
                <c:pt idx="6">
                  <c:v>4.37</c:v>
                </c:pt>
                <c:pt idx="7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C-46B0-8F8C-473FAE0CF67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SuppSheet19!$C$6:$C$13</c:f>
              <c:numCache>
                <c:formatCode>0.0</c:formatCode>
                <c:ptCount val="8"/>
                <c:pt idx="0">
                  <c:v>0</c:v>
                </c:pt>
                <c:pt idx="1">
                  <c:v>1.5999999999767169</c:v>
                </c:pt>
                <c:pt idx="2">
                  <c:v>2.6666666668024845</c:v>
                </c:pt>
                <c:pt idx="3">
                  <c:v>4.2000000000698492</c:v>
                </c:pt>
                <c:pt idx="4">
                  <c:v>5.6166666666395031</c:v>
                </c:pt>
                <c:pt idx="5">
                  <c:v>7.1166666666395031</c:v>
                </c:pt>
                <c:pt idx="6">
                  <c:v>8.8500000000349246</c:v>
                </c:pt>
                <c:pt idx="7">
                  <c:v>17.050000000046566</c:v>
                </c:pt>
              </c:numCache>
            </c:numRef>
          </c:xVal>
          <c:yVal>
            <c:numRef>
              <c:f>SuppSheet19!$L$6:$L$13</c:f>
              <c:numCache>
                <c:formatCode>0.00</c:formatCode>
                <c:ptCount val="8"/>
                <c:pt idx="0">
                  <c:v>6.41</c:v>
                </c:pt>
                <c:pt idx="1">
                  <c:v>6.28</c:v>
                </c:pt>
                <c:pt idx="2">
                  <c:v>6.17</c:v>
                </c:pt>
                <c:pt idx="3">
                  <c:v>5.55</c:v>
                </c:pt>
                <c:pt idx="4">
                  <c:v>4.7300000000000004</c:v>
                </c:pt>
                <c:pt idx="5">
                  <c:v>4.45</c:v>
                </c:pt>
                <c:pt idx="6">
                  <c:v>4.3499999999999996</c:v>
                </c:pt>
                <c:pt idx="7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C-46B0-8F8C-473FAE0CF67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SuppSheet19!$C$6:$C$13</c:f>
              <c:numCache>
                <c:formatCode>0.0</c:formatCode>
                <c:ptCount val="8"/>
                <c:pt idx="0">
                  <c:v>0</c:v>
                </c:pt>
                <c:pt idx="1">
                  <c:v>1.5999999999767169</c:v>
                </c:pt>
                <c:pt idx="2">
                  <c:v>2.6666666668024845</c:v>
                </c:pt>
                <c:pt idx="3">
                  <c:v>4.2000000000698492</c:v>
                </c:pt>
                <c:pt idx="4">
                  <c:v>5.6166666666395031</c:v>
                </c:pt>
                <c:pt idx="5">
                  <c:v>7.1166666666395031</c:v>
                </c:pt>
                <c:pt idx="6">
                  <c:v>8.8500000000349246</c:v>
                </c:pt>
                <c:pt idx="7">
                  <c:v>17.050000000046566</c:v>
                </c:pt>
              </c:numCache>
            </c:numRef>
          </c:xVal>
          <c:yVal>
            <c:numRef>
              <c:f>SuppSheet19!$M$6:$M$13</c:f>
              <c:numCache>
                <c:formatCode>0.00</c:formatCode>
                <c:ptCount val="8"/>
                <c:pt idx="0">
                  <c:v>6.42</c:v>
                </c:pt>
                <c:pt idx="1">
                  <c:v>6.44</c:v>
                </c:pt>
                <c:pt idx="2">
                  <c:v>6.44</c:v>
                </c:pt>
                <c:pt idx="3">
                  <c:v>6.44</c:v>
                </c:pt>
                <c:pt idx="4">
                  <c:v>6.43</c:v>
                </c:pt>
                <c:pt idx="5">
                  <c:v>6.43</c:v>
                </c:pt>
                <c:pt idx="6">
                  <c:v>6.42</c:v>
                </c:pt>
                <c:pt idx="7">
                  <c:v>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C-46B0-8F8C-473FAE0CF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00888"/>
        <c:axId val="469077928"/>
      </c:scatterChart>
      <c:valAx>
        <c:axId val="46910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77928"/>
        <c:crosses val="autoZero"/>
        <c:crossBetween val="midCat"/>
      </c:valAx>
      <c:valAx>
        <c:axId val="46907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SuppSheet19!$C$6:$C$13</c:f>
              <c:numCache>
                <c:formatCode>0.0</c:formatCode>
                <c:ptCount val="8"/>
                <c:pt idx="0">
                  <c:v>0</c:v>
                </c:pt>
                <c:pt idx="1">
                  <c:v>1.5999999999767169</c:v>
                </c:pt>
                <c:pt idx="2">
                  <c:v>2.6666666668024845</c:v>
                </c:pt>
                <c:pt idx="3">
                  <c:v>4.2000000000698492</c:v>
                </c:pt>
                <c:pt idx="4">
                  <c:v>5.6166666666395031</c:v>
                </c:pt>
                <c:pt idx="5">
                  <c:v>7.1166666666395031</c:v>
                </c:pt>
                <c:pt idx="6">
                  <c:v>8.8500000000349246</c:v>
                </c:pt>
                <c:pt idx="7">
                  <c:v>17.050000000046566</c:v>
                </c:pt>
              </c:numCache>
            </c:numRef>
          </c:xVal>
          <c:yVal>
            <c:numRef>
              <c:f>SuppSheet19!$D$6:$D$13</c:f>
              <c:numCache>
                <c:formatCode>0.000</c:formatCode>
                <c:ptCount val="8"/>
                <c:pt idx="0">
                  <c:v>2.4E-2</c:v>
                </c:pt>
                <c:pt idx="1">
                  <c:v>4.2999999999999997E-2</c:v>
                </c:pt>
                <c:pt idx="2">
                  <c:v>5.3999999999999999E-2</c:v>
                </c:pt>
                <c:pt idx="3">
                  <c:v>0.105</c:v>
                </c:pt>
                <c:pt idx="4">
                  <c:v>0.14399999999999999</c:v>
                </c:pt>
                <c:pt idx="5">
                  <c:v>0.16200000000000001</c:v>
                </c:pt>
                <c:pt idx="6">
                  <c:v>0.16800000000000001</c:v>
                </c:pt>
                <c:pt idx="7">
                  <c:v>0.16700000000000001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E-464B-AEA1-CF9DAFD72B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SuppSheet19!$C$6:$C$13</c:f>
              <c:numCache>
                <c:formatCode>0.0</c:formatCode>
                <c:ptCount val="8"/>
                <c:pt idx="0">
                  <c:v>0</c:v>
                </c:pt>
                <c:pt idx="1">
                  <c:v>1.5999999999767169</c:v>
                </c:pt>
                <c:pt idx="2">
                  <c:v>2.6666666668024845</c:v>
                </c:pt>
                <c:pt idx="3">
                  <c:v>4.2000000000698492</c:v>
                </c:pt>
                <c:pt idx="4">
                  <c:v>5.6166666666395031</c:v>
                </c:pt>
                <c:pt idx="5">
                  <c:v>7.1166666666395031</c:v>
                </c:pt>
                <c:pt idx="6">
                  <c:v>8.8500000000349246</c:v>
                </c:pt>
                <c:pt idx="7">
                  <c:v>17.050000000046566</c:v>
                </c:pt>
              </c:numCache>
            </c:numRef>
          </c:xVal>
          <c:yVal>
            <c:numRef>
              <c:f>SuppSheet19!$E$6:$E$13</c:f>
              <c:numCache>
                <c:formatCode>0.000</c:formatCode>
                <c:ptCount val="8"/>
                <c:pt idx="0">
                  <c:v>2.3E-2</c:v>
                </c:pt>
                <c:pt idx="1">
                  <c:v>0.04</c:v>
                </c:pt>
                <c:pt idx="2">
                  <c:v>5.0999999999999997E-2</c:v>
                </c:pt>
                <c:pt idx="3">
                  <c:v>0.10100000000000001</c:v>
                </c:pt>
                <c:pt idx="4">
                  <c:v>0.14399999999999999</c:v>
                </c:pt>
                <c:pt idx="5">
                  <c:v>0.16200000000000001</c:v>
                </c:pt>
                <c:pt idx="6">
                  <c:v>0.17</c:v>
                </c:pt>
                <c:pt idx="7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E-464B-AEA1-CF9DAFD72B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SuppSheet19!$C$6:$C$13</c:f>
              <c:numCache>
                <c:formatCode>0.0</c:formatCode>
                <c:ptCount val="8"/>
                <c:pt idx="0">
                  <c:v>0</c:v>
                </c:pt>
                <c:pt idx="1">
                  <c:v>1.5999999999767169</c:v>
                </c:pt>
                <c:pt idx="2">
                  <c:v>2.6666666668024845</c:v>
                </c:pt>
                <c:pt idx="3">
                  <c:v>4.2000000000698492</c:v>
                </c:pt>
                <c:pt idx="4">
                  <c:v>5.6166666666395031</c:v>
                </c:pt>
                <c:pt idx="5">
                  <c:v>7.1166666666395031</c:v>
                </c:pt>
                <c:pt idx="6">
                  <c:v>8.8500000000349246</c:v>
                </c:pt>
                <c:pt idx="7">
                  <c:v>17.050000000046566</c:v>
                </c:pt>
              </c:numCache>
            </c:numRef>
          </c:xVal>
          <c:yVal>
            <c:numRef>
              <c:f>SuppSheet19!$F$6:$F$13</c:f>
              <c:numCache>
                <c:formatCode>0.000</c:formatCode>
                <c:ptCount val="8"/>
                <c:pt idx="0">
                  <c:v>2.3E-2</c:v>
                </c:pt>
                <c:pt idx="1">
                  <c:v>0.04</c:v>
                </c:pt>
                <c:pt idx="2">
                  <c:v>5.0999999999999997E-2</c:v>
                </c:pt>
                <c:pt idx="3">
                  <c:v>0.1</c:v>
                </c:pt>
                <c:pt idx="4">
                  <c:v>0.14299999999999999</c:v>
                </c:pt>
                <c:pt idx="5">
                  <c:v>0.16200000000000001</c:v>
                </c:pt>
                <c:pt idx="6">
                  <c:v>0.17100000000000001</c:v>
                </c:pt>
                <c:pt idx="7">
                  <c:v>0.17100000000000001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E-464B-AEA1-CF9DAFD72B3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SuppSheet19!$C$6:$C$13</c:f>
              <c:numCache>
                <c:formatCode>0.0</c:formatCode>
                <c:ptCount val="8"/>
                <c:pt idx="0">
                  <c:v>0</c:v>
                </c:pt>
                <c:pt idx="1">
                  <c:v>1.5999999999767169</c:v>
                </c:pt>
                <c:pt idx="2">
                  <c:v>2.6666666668024845</c:v>
                </c:pt>
                <c:pt idx="3">
                  <c:v>4.2000000000698492</c:v>
                </c:pt>
                <c:pt idx="4">
                  <c:v>5.6166666666395031</c:v>
                </c:pt>
                <c:pt idx="5">
                  <c:v>7.1166666666395031</c:v>
                </c:pt>
                <c:pt idx="6">
                  <c:v>8.8500000000349246</c:v>
                </c:pt>
                <c:pt idx="7">
                  <c:v>17.050000000046566</c:v>
                </c:pt>
              </c:numCache>
            </c:numRef>
          </c:xVal>
          <c:yVal>
            <c:numRef>
              <c:f>SuppSheet19!$G$6:$G$13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-1E-3</c:v>
                </c:pt>
                <c:pt idx="5">
                  <c:v>0</c:v>
                </c:pt>
                <c:pt idx="6">
                  <c:v>2E-3</c:v>
                </c:pt>
                <c:pt idx="7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3E-464B-AEA1-CF9DAFD72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00888"/>
        <c:axId val="469077928"/>
      </c:scatterChart>
      <c:valAx>
        <c:axId val="46910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77928"/>
        <c:crosses val="autoZero"/>
        <c:crossBetween val="midCat"/>
      </c:valAx>
      <c:valAx>
        <c:axId val="46907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0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Substrate inhibition at pH6.9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384644694459101"/>
          <c:y val="6.6611205357543599E-2"/>
          <c:w val="0.80241280429046702"/>
          <c:h val="0.81884798847662699"/>
        </c:manualLayout>
      </c:layout>
      <c:scatterChart>
        <c:scatterStyle val="lineMarker"/>
        <c:varyColors val="0"/>
        <c:ser>
          <c:idx val="0"/>
          <c:order val="0"/>
          <c:tx>
            <c:v>403G100 0g/L glucose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[1]Data!$AG$52:$AG$62</c:f>
                <c:numCache>
                  <c:formatCode>General</c:formatCode>
                  <c:ptCount val="11"/>
                  <c:pt idx="0">
                    <c:v>1.1269427669584684E-3</c:v>
                  </c:pt>
                  <c:pt idx="1">
                    <c:v>6.6583281184793891E-4</c:v>
                  </c:pt>
                  <c:pt idx="2">
                    <c:v>8.6602540378443945E-4</c:v>
                  </c:pt>
                  <c:pt idx="3">
                    <c:v>3.5118845842842497E-3</c:v>
                  </c:pt>
                  <c:pt idx="4">
                    <c:v>1.5716233645501766E-3</c:v>
                  </c:pt>
                  <c:pt idx="5">
                    <c:v>6.3508529610859855E-4</c:v>
                  </c:pt>
                  <c:pt idx="6">
                    <c:v>2.2368132093076778E-3</c:v>
                  </c:pt>
                  <c:pt idx="7">
                    <c:v>8.1853527718724344E-4</c:v>
                  </c:pt>
                  <c:pt idx="8">
                    <c:v>1.6178504257192625E-2</c:v>
                  </c:pt>
                  <c:pt idx="9">
                    <c:v>2.5166114784235682E-4</c:v>
                  </c:pt>
                  <c:pt idx="10">
                    <c:v>1.266227994214838E-3</c:v>
                  </c:pt>
                </c:numCache>
              </c:numRef>
            </c:plus>
            <c:minus>
              <c:numRef>
                <c:f>[1]Data!$AG$52:$AG$62</c:f>
                <c:numCache>
                  <c:formatCode>General</c:formatCode>
                  <c:ptCount val="11"/>
                  <c:pt idx="0">
                    <c:v>1.1269427669584684E-3</c:v>
                  </c:pt>
                  <c:pt idx="1">
                    <c:v>6.6583281184793891E-4</c:v>
                  </c:pt>
                  <c:pt idx="2">
                    <c:v>8.6602540378443945E-4</c:v>
                  </c:pt>
                  <c:pt idx="3">
                    <c:v>3.5118845842842497E-3</c:v>
                  </c:pt>
                  <c:pt idx="4">
                    <c:v>1.5716233645501766E-3</c:v>
                  </c:pt>
                  <c:pt idx="5">
                    <c:v>6.3508529610859855E-4</c:v>
                  </c:pt>
                  <c:pt idx="6">
                    <c:v>2.2368132093076778E-3</c:v>
                  </c:pt>
                  <c:pt idx="7">
                    <c:v>8.1853527718724344E-4</c:v>
                  </c:pt>
                  <c:pt idx="8">
                    <c:v>1.6178504257192625E-2</c:v>
                  </c:pt>
                  <c:pt idx="9">
                    <c:v>2.5166114784235682E-4</c:v>
                  </c:pt>
                  <c:pt idx="10">
                    <c:v>1.266227994214838E-3</c:v>
                  </c:pt>
                </c:numCache>
              </c:numRef>
            </c:minus>
          </c:errBars>
          <c:xVal>
            <c:numRef>
              <c:f>[1]Data!$AE$52:$AE$62</c:f>
              <c:numCache>
                <c:formatCode>General</c:formatCode>
                <c:ptCount val="11"/>
                <c:pt idx="0">
                  <c:v>0.48999999999999994</c:v>
                </c:pt>
                <c:pt idx="1">
                  <c:v>0.7</c:v>
                </c:pt>
                <c:pt idx="2">
                  <c:v>0.84</c:v>
                </c:pt>
                <c:pt idx="3">
                  <c:v>1.0499999999999998</c:v>
                </c:pt>
                <c:pt idx="4">
                  <c:v>1.4</c:v>
                </c:pt>
                <c:pt idx="5">
                  <c:v>1.75</c:v>
                </c:pt>
                <c:pt idx="6">
                  <c:v>2.8</c:v>
                </c:pt>
                <c:pt idx="7">
                  <c:v>3.5</c:v>
                </c:pt>
                <c:pt idx="8">
                  <c:v>5.6</c:v>
                </c:pt>
                <c:pt idx="9">
                  <c:v>7</c:v>
                </c:pt>
                <c:pt idx="10">
                  <c:v>8.3999999999999986</c:v>
                </c:pt>
              </c:numCache>
            </c:numRef>
          </c:xVal>
          <c:yVal>
            <c:numRef>
              <c:f>[1]Data!$AF$52:$AF$62</c:f>
              <c:numCache>
                <c:formatCode>General</c:formatCode>
                <c:ptCount val="11"/>
                <c:pt idx="0">
                  <c:v>0.14510000000000001</c:v>
                </c:pt>
                <c:pt idx="1">
                  <c:v>0.12826666666666667</c:v>
                </c:pt>
                <c:pt idx="2">
                  <c:v>0.14829999999999999</c:v>
                </c:pt>
                <c:pt idx="3">
                  <c:v>0.13953333333333331</c:v>
                </c:pt>
                <c:pt idx="4">
                  <c:v>0.13949999999999999</c:v>
                </c:pt>
                <c:pt idx="5">
                  <c:v>0.12783333333333333</c:v>
                </c:pt>
                <c:pt idx="6">
                  <c:v>6.8533333333333335E-2</c:v>
                </c:pt>
                <c:pt idx="7">
                  <c:v>4.9000000000000009E-2</c:v>
                </c:pt>
                <c:pt idx="8">
                  <c:v>4.6699999999999998E-2</c:v>
                </c:pt>
                <c:pt idx="9">
                  <c:v>2.2966666666666666E-2</c:v>
                </c:pt>
                <c:pt idx="10">
                  <c:v>2.3066666666666666E-2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F-4FB5-9C3D-D01AA60A5238}"/>
            </c:ext>
          </c:extLst>
        </c:ser>
        <c:ser>
          <c:idx val="2"/>
          <c:order val="1"/>
          <c:tx>
            <c:v>WT no glucose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00B05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[1]Data!$AG$6:$AG$14</c:f>
                <c:numCache>
                  <c:formatCode>General</c:formatCode>
                  <c:ptCount val="9"/>
                  <c:pt idx="0">
                    <c:v>4.7173438854225301E-3</c:v>
                  </c:pt>
                  <c:pt idx="1">
                    <c:v>3.0446674695276681E-3</c:v>
                  </c:pt>
                  <c:pt idx="2">
                    <c:v>1.9924858845171245E-3</c:v>
                  </c:pt>
                  <c:pt idx="3">
                    <c:v>2.2516660498395485E-3</c:v>
                  </c:pt>
                  <c:pt idx="4">
                    <c:v>5.084617324178216E-3</c:v>
                  </c:pt>
                  <c:pt idx="5">
                    <c:v>2.7712812921102193E-3</c:v>
                  </c:pt>
                  <c:pt idx="6">
                    <c:v>3.667878587594384E-3</c:v>
                  </c:pt>
                  <c:pt idx="7">
                    <c:v>9.5007017284689816E-3</c:v>
                  </c:pt>
                  <c:pt idx="8">
                    <c:v>4.1476901202155058E-3</c:v>
                  </c:pt>
                </c:numCache>
              </c:numRef>
            </c:plus>
            <c:minus>
              <c:numRef>
                <c:f>[1]Data!$AG$6:$AG$14</c:f>
                <c:numCache>
                  <c:formatCode>General</c:formatCode>
                  <c:ptCount val="9"/>
                  <c:pt idx="0">
                    <c:v>4.7173438854225301E-3</c:v>
                  </c:pt>
                  <c:pt idx="1">
                    <c:v>3.0446674695276681E-3</c:v>
                  </c:pt>
                  <c:pt idx="2">
                    <c:v>1.9924858845171245E-3</c:v>
                  </c:pt>
                  <c:pt idx="3">
                    <c:v>2.2516660498395485E-3</c:v>
                  </c:pt>
                  <c:pt idx="4">
                    <c:v>5.084617324178216E-3</c:v>
                  </c:pt>
                  <c:pt idx="5">
                    <c:v>2.7712812921102193E-3</c:v>
                  </c:pt>
                  <c:pt idx="6">
                    <c:v>3.667878587594384E-3</c:v>
                  </c:pt>
                  <c:pt idx="7">
                    <c:v>9.5007017284689816E-3</c:v>
                  </c:pt>
                  <c:pt idx="8">
                    <c:v>4.1476901202155058E-3</c:v>
                  </c:pt>
                </c:numCache>
              </c:numRef>
            </c:minus>
          </c:errBars>
          <c:xVal>
            <c:numRef>
              <c:f>[1]Data!$AE$6:$AE$14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0.17499999999999999</c:v>
                </c:pt>
                <c:pt idx="3">
                  <c:v>0.35</c:v>
                </c:pt>
                <c:pt idx="4">
                  <c:v>0.7</c:v>
                </c:pt>
                <c:pt idx="5">
                  <c:v>1.4</c:v>
                </c:pt>
                <c:pt idx="6">
                  <c:v>3.5</c:v>
                </c:pt>
                <c:pt idx="7">
                  <c:v>5.6</c:v>
                </c:pt>
                <c:pt idx="8">
                  <c:v>7</c:v>
                </c:pt>
              </c:numCache>
            </c:numRef>
          </c:xVal>
          <c:yVal>
            <c:numRef>
              <c:f>[1]Data!$AF$6:$AF$14</c:f>
              <c:numCache>
                <c:formatCode>General</c:formatCode>
                <c:ptCount val="9"/>
                <c:pt idx="0">
                  <c:v>-3.5333333333333332E-3</c:v>
                </c:pt>
                <c:pt idx="1">
                  <c:v>7.5200000000000003E-2</c:v>
                </c:pt>
                <c:pt idx="2">
                  <c:v>9.3600000000000003E-2</c:v>
                </c:pt>
                <c:pt idx="3">
                  <c:v>0.12839999999999999</c:v>
                </c:pt>
                <c:pt idx="4">
                  <c:v>0.21106666666666665</c:v>
                </c:pt>
                <c:pt idx="5">
                  <c:v>0.2056</c:v>
                </c:pt>
                <c:pt idx="6">
                  <c:v>0.16056666666666666</c:v>
                </c:pt>
                <c:pt idx="7">
                  <c:v>0.12893333333333334</c:v>
                </c:pt>
                <c:pt idx="8">
                  <c:v>9.853333333333332E-2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F-4FB5-9C3D-D01AA60A5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22752"/>
        <c:axId val="549323328"/>
      </c:scatterChart>
      <c:valAx>
        <c:axId val="54932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 Concentration (g/L)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323328"/>
        <c:crosses val="autoZero"/>
        <c:crossBetween val="midCat"/>
      </c:valAx>
      <c:valAx>
        <c:axId val="549323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Avg Mu (1/h)</a:t>
                </a:r>
              </a:p>
              <a:p>
                <a:pPr>
                  <a:defRPr b="1"/>
                </a:pPr>
                <a:endParaRPr lang="en-US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322752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80544119087427102"/>
          <c:y val="0.13788960145924101"/>
          <c:w val="0.19455880912572901"/>
          <c:h val="0.230768743576008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SuppSheet20!$C$6:$C$14</c:f>
              <c:numCache>
                <c:formatCode>0.0</c:formatCode>
                <c:ptCount val="9"/>
                <c:pt idx="0">
                  <c:v>0</c:v>
                </c:pt>
                <c:pt idx="1">
                  <c:v>1.21666666661622</c:v>
                </c:pt>
                <c:pt idx="2">
                  <c:v>2.1500000000232831</c:v>
                </c:pt>
                <c:pt idx="3">
                  <c:v>3.4166666666278616</c:v>
                </c:pt>
                <c:pt idx="4">
                  <c:v>4.7666666666627862</c:v>
                </c:pt>
                <c:pt idx="5">
                  <c:v>6.1333333332440816</c:v>
                </c:pt>
                <c:pt idx="6">
                  <c:v>7.9333333333488554</c:v>
                </c:pt>
                <c:pt idx="7">
                  <c:v>11.266666666720994</c:v>
                </c:pt>
                <c:pt idx="8">
                  <c:v>21.949999999953434</c:v>
                </c:pt>
              </c:numCache>
            </c:numRef>
          </c:xVal>
          <c:yVal>
            <c:numRef>
              <c:f>SuppSheet20!$D$6:$D$14</c:f>
              <c:numCache>
                <c:formatCode>0.000</c:formatCode>
                <c:ptCount val="9"/>
                <c:pt idx="0">
                  <c:v>2.4E-2</c:v>
                </c:pt>
                <c:pt idx="1">
                  <c:v>4.2999999999999997E-2</c:v>
                </c:pt>
                <c:pt idx="2">
                  <c:v>5.5E-2</c:v>
                </c:pt>
                <c:pt idx="3">
                  <c:v>7.6999999999999999E-2</c:v>
                </c:pt>
                <c:pt idx="4">
                  <c:v>0.14000000000000001</c:v>
                </c:pt>
                <c:pt idx="5">
                  <c:v>0.216</c:v>
                </c:pt>
                <c:pt idx="6">
                  <c:v>0.26100000000000001</c:v>
                </c:pt>
                <c:pt idx="7">
                  <c:v>0.27</c:v>
                </c:pt>
                <c:pt idx="8">
                  <c:v>0.26600000000000001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E-4097-892F-99E4BDB57C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SuppSheet20!$C$6:$C$14</c:f>
              <c:numCache>
                <c:formatCode>0.0</c:formatCode>
                <c:ptCount val="9"/>
                <c:pt idx="0">
                  <c:v>0</c:v>
                </c:pt>
                <c:pt idx="1">
                  <c:v>1.21666666661622</c:v>
                </c:pt>
                <c:pt idx="2">
                  <c:v>2.1500000000232831</c:v>
                </c:pt>
                <c:pt idx="3">
                  <c:v>3.4166666666278616</c:v>
                </c:pt>
                <c:pt idx="4">
                  <c:v>4.7666666666627862</c:v>
                </c:pt>
                <c:pt idx="5">
                  <c:v>6.1333333332440816</c:v>
                </c:pt>
                <c:pt idx="6">
                  <c:v>7.9333333333488554</c:v>
                </c:pt>
                <c:pt idx="7">
                  <c:v>11.266666666720994</c:v>
                </c:pt>
                <c:pt idx="8">
                  <c:v>21.949999999953434</c:v>
                </c:pt>
              </c:numCache>
            </c:numRef>
          </c:xVal>
          <c:yVal>
            <c:numRef>
              <c:f>SuppSheet20!$E$6:$E$14</c:f>
              <c:numCache>
                <c:formatCode>0.000</c:formatCode>
                <c:ptCount val="9"/>
                <c:pt idx="0">
                  <c:v>2.3E-2</c:v>
                </c:pt>
                <c:pt idx="1">
                  <c:v>4.2999999999999997E-2</c:v>
                </c:pt>
                <c:pt idx="2">
                  <c:v>5.3999999999999999E-2</c:v>
                </c:pt>
                <c:pt idx="3">
                  <c:v>7.5999999999999998E-2</c:v>
                </c:pt>
                <c:pt idx="4">
                  <c:v>0.13300000000000001</c:v>
                </c:pt>
                <c:pt idx="5">
                  <c:v>0.216</c:v>
                </c:pt>
                <c:pt idx="6">
                  <c:v>0.26200000000000001</c:v>
                </c:pt>
                <c:pt idx="7">
                  <c:v>0.27</c:v>
                </c:pt>
                <c:pt idx="8">
                  <c:v>0.26700000000000002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E-4097-892F-99E4BDB57C7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SuppSheet20!$C$6:$C$14</c:f>
              <c:numCache>
                <c:formatCode>0.0</c:formatCode>
                <c:ptCount val="9"/>
                <c:pt idx="0">
                  <c:v>0</c:v>
                </c:pt>
                <c:pt idx="1">
                  <c:v>1.21666666661622</c:v>
                </c:pt>
                <c:pt idx="2">
                  <c:v>2.1500000000232831</c:v>
                </c:pt>
                <c:pt idx="3">
                  <c:v>3.4166666666278616</c:v>
                </c:pt>
                <c:pt idx="4">
                  <c:v>4.7666666666627862</c:v>
                </c:pt>
                <c:pt idx="5">
                  <c:v>6.1333333332440816</c:v>
                </c:pt>
                <c:pt idx="6">
                  <c:v>7.9333333333488554</c:v>
                </c:pt>
                <c:pt idx="7">
                  <c:v>11.266666666720994</c:v>
                </c:pt>
                <c:pt idx="8">
                  <c:v>21.949999999953434</c:v>
                </c:pt>
              </c:numCache>
            </c:numRef>
          </c:xVal>
          <c:yVal>
            <c:numRef>
              <c:f>SuppSheet20!$F$6:$F$14</c:f>
              <c:numCache>
                <c:formatCode>0.000</c:formatCode>
                <c:ptCount val="9"/>
                <c:pt idx="0">
                  <c:v>2.3E-2</c:v>
                </c:pt>
                <c:pt idx="1">
                  <c:v>4.3999999999999997E-2</c:v>
                </c:pt>
                <c:pt idx="2">
                  <c:v>4.5999999999999999E-2</c:v>
                </c:pt>
                <c:pt idx="3">
                  <c:v>7.9000000000000001E-2</c:v>
                </c:pt>
                <c:pt idx="4">
                  <c:v>0.14699999999999999</c:v>
                </c:pt>
                <c:pt idx="5">
                  <c:v>0.221</c:v>
                </c:pt>
                <c:pt idx="6">
                  <c:v>0.26600000000000001</c:v>
                </c:pt>
                <c:pt idx="7">
                  <c:v>0.27400000000000002</c:v>
                </c:pt>
                <c:pt idx="8">
                  <c:v>0.27200000000000002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7E-4097-892F-99E4BDB57C7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SuppSheet20!$C$6:$C$14</c:f>
              <c:numCache>
                <c:formatCode>0.0</c:formatCode>
                <c:ptCount val="9"/>
                <c:pt idx="0">
                  <c:v>0</c:v>
                </c:pt>
                <c:pt idx="1">
                  <c:v>1.21666666661622</c:v>
                </c:pt>
                <c:pt idx="2">
                  <c:v>2.1500000000232831</c:v>
                </c:pt>
                <c:pt idx="3">
                  <c:v>3.4166666666278616</c:v>
                </c:pt>
                <c:pt idx="4">
                  <c:v>4.7666666666627862</c:v>
                </c:pt>
                <c:pt idx="5">
                  <c:v>6.1333333332440816</c:v>
                </c:pt>
                <c:pt idx="6">
                  <c:v>7.9333333333488554</c:v>
                </c:pt>
                <c:pt idx="7">
                  <c:v>11.266666666720994</c:v>
                </c:pt>
                <c:pt idx="8">
                  <c:v>21.949999999953434</c:v>
                </c:pt>
              </c:numCache>
            </c:numRef>
          </c:xVal>
          <c:yVal>
            <c:numRef>
              <c:f>SuppSheet20!$G$6:$G$14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7E-4097-892F-99E4BDB57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6191"/>
        <c:axId val="83404943"/>
      </c:scatterChart>
      <c:valAx>
        <c:axId val="8340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4943"/>
        <c:crosses val="autoZero"/>
        <c:crossBetween val="midCat"/>
      </c:valAx>
      <c:valAx>
        <c:axId val="834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SuppSheet20!$C$6:$C$14</c:f>
              <c:numCache>
                <c:formatCode>0.0</c:formatCode>
                <c:ptCount val="9"/>
                <c:pt idx="0">
                  <c:v>0</c:v>
                </c:pt>
                <c:pt idx="1">
                  <c:v>1.21666666661622</c:v>
                </c:pt>
                <c:pt idx="2">
                  <c:v>2.1500000000232831</c:v>
                </c:pt>
                <c:pt idx="3">
                  <c:v>3.4166666666278616</c:v>
                </c:pt>
                <c:pt idx="4">
                  <c:v>4.7666666666627862</c:v>
                </c:pt>
                <c:pt idx="5">
                  <c:v>6.1333333332440816</c:v>
                </c:pt>
                <c:pt idx="6">
                  <c:v>7.9333333333488554</c:v>
                </c:pt>
                <c:pt idx="7">
                  <c:v>11.266666666720994</c:v>
                </c:pt>
                <c:pt idx="8">
                  <c:v>21.949999999953434</c:v>
                </c:pt>
              </c:numCache>
            </c:numRef>
          </c:xVal>
          <c:yVal>
            <c:numRef>
              <c:f>SuppSheet20!$D$6:$D$14</c:f>
              <c:numCache>
                <c:formatCode>0.000</c:formatCode>
                <c:ptCount val="9"/>
                <c:pt idx="0">
                  <c:v>2.4E-2</c:v>
                </c:pt>
                <c:pt idx="1">
                  <c:v>4.2999999999999997E-2</c:v>
                </c:pt>
                <c:pt idx="2">
                  <c:v>5.5E-2</c:v>
                </c:pt>
                <c:pt idx="3">
                  <c:v>7.6999999999999999E-2</c:v>
                </c:pt>
                <c:pt idx="4">
                  <c:v>0.14000000000000001</c:v>
                </c:pt>
                <c:pt idx="5">
                  <c:v>0.216</c:v>
                </c:pt>
                <c:pt idx="6">
                  <c:v>0.26100000000000001</c:v>
                </c:pt>
                <c:pt idx="7">
                  <c:v>0.27</c:v>
                </c:pt>
                <c:pt idx="8">
                  <c:v>0.26600000000000001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1-420C-8D6F-A4BD9CAED42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SuppSheet20!$C$6:$C$14</c:f>
              <c:numCache>
                <c:formatCode>0.0</c:formatCode>
                <c:ptCount val="9"/>
                <c:pt idx="0">
                  <c:v>0</c:v>
                </c:pt>
                <c:pt idx="1">
                  <c:v>1.21666666661622</c:v>
                </c:pt>
                <c:pt idx="2">
                  <c:v>2.1500000000232831</c:v>
                </c:pt>
                <c:pt idx="3">
                  <c:v>3.4166666666278616</c:v>
                </c:pt>
                <c:pt idx="4">
                  <c:v>4.7666666666627862</c:v>
                </c:pt>
                <c:pt idx="5">
                  <c:v>6.1333333332440816</c:v>
                </c:pt>
                <c:pt idx="6">
                  <c:v>7.9333333333488554</c:v>
                </c:pt>
                <c:pt idx="7">
                  <c:v>11.266666666720994</c:v>
                </c:pt>
                <c:pt idx="8">
                  <c:v>21.949999999953434</c:v>
                </c:pt>
              </c:numCache>
            </c:numRef>
          </c:xVal>
          <c:yVal>
            <c:numRef>
              <c:f>SuppSheet20!$E$6:$E$14</c:f>
              <c:numCache>
                <c:formatCode>0.000</c:formatCode>
                <c:ptCount val="9"/>
                <c:pt idx="0">
                  <c:v>2.3E-2</c:v>
                </c:pt>
                <c:pt idx="1">
                  <c:v>4.2999999999999997E-2</c:v>
                </c:pt>
                <c:pt idx="2">
                  <c:v>5.3999999999999999E-2</c:v>
                </c:pt>
                <c:pt idx="3">
                  <c:v>7.5999999999999998E-2</c:v>
                </c:pt>
                <c:pt idx="4">
                  <c:v>0.13300000000000001</c:v>
                </c:pt>
                <c:pt idx="5">
                  <c:v>0.216</c:v>
                </c:pt>
                <c:pt idx="6">
                  <c:v>0.26200000000000001</c:v>
                </c:pt>
                <c:pt idx="7">
                  <c:v>0.27</c:v>
                </c:pt>
                <c:pt idx="8">
                  <c:v>0.26700000000000002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1-420C-8D6F-A4BD9CAED42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SuppSheet20!$C$6:$C$14</c:f>
              <c:numCache>
                <c:formatCode>0.0</c:formatCode>
                <c:ptCount val="9"/>
                <c:pt idx="0">
                  <c:v>0</c:v>
                </c:pt>
                <c:pt idx="1">
                  <c:v>1.21666666661622</c:v>
                </c:pt>
                <c:pt idx="2">
                  <c:v>2.1500000000232831</c:v>
                </c:pt>
                <c:pt idx="3">
                  <c:v>3.4166666666278616</c:v>
                </c:pt>
                <c:pt idx="4">
                  <c:v>4.7666666666627862</c:v>
                </c:pt>
                <c:pt idx="5">
                  <c:v>6.1333333332440816</c:v>
                </c:pt>
                <c:pt idx="6">
                  <c:v>7.9333333333488554</c:v>
                </c:pt>
                <c:pt idx="7">
                  <c:v>11.266666666720994</c:v>
                </c:pt>
                <c:pt idx="8">
                  <c:v>21.949999999953434</c:v>
                </c:pt>
              </c:numCache>
            </c:numRef>
          </c:xVal>
          <c:yVal>
            <c:numRef>
              <c:f>SuppSheet20!$F$6:$F$14</c:f>
              <c:numCache>
                <c:formatCode>0.000</c:formatCode>
                <c:ptCount val="9"/>
                <c:pt idx="0">
                  <c:v>2.3E-2</c:v>
                </c:pt>
                <c:pt idx="1">
                  <c:v>4.3999999999999997E-2</c:v>
                </c:pt>
                <c:pt idx="2">
                  <c:v>4.5999999999999999E-2</c:v>
                </c:pt>
                <c:pt idx="3">
                  <c:v>7.9000000000000001E-2</c:v>
                </c:pt>
                <c:pt idx="4">
                  <c:v>0.14699999999999999</c:v>
                </c:pt>
                <c:pt idx="5">
                  <c:v>0.221</c:v>
                </c:pt>
                <c:pt idx="6">
                  <c:v>0.26600000000000001</c:v>
                </c:pt>
                <c:pt idx="7">
                  <c:v>0.27400000000000002</c:v>
                </c:pt>
                <c:pt idx="8">
                  <c:v>0.27200000000000002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41-420C-8D6F-A4BD9CAED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6191"/>
        <c:axId val="83404943"/>
      </c:scatterChart>
      <c:valAx>
        <c:axId val="8340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4943"/>
        <c:crosses val="autoZero"/>
        <c:crossBetween val="midCat"/>
      </c:valAx>
      <c:valAx>
        <c:axId val="834049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SuppSheet20!$C$6:$C$14</c:f>
              <c:numCache>
                <c:formatCode>0.0</c:formatCode>
                <c:ptCount val="9"/>
                <c:pt idx="0">
                  <c:v>0</c:v>
                </c:pt>
                <c:pt idx="1">
                  <c:v>1.21666666661622</c:v>
                </c:pt>
                <c:pt idx="2">
                  <c:v>2.1500000000232831</c:v>
                </c:pt>
                <c:pt idx="3">
                  <c:v>3.4166666666278616</c:v>
                </c:pt>
                <c:pt idx="4">
                  <c:v>4.7666666666627862</c:v>
                </c:pt>
                <c:pt idx="5">
                  <c:v>6.1333333332440816</c:v>
                </c:pt>
                <c:pt idx="6">
                  <c:v>7.9333333333488554</c:v>
                </c:pt>
                <c:pt idx="7">
                  <c:v>11.266666666720994</c:v>
                </c:pt>
                <c:pt idx="8">
                  <c:v>21.949999999953434</c:v>
                </c:pt>
              </c:numCache>
            </c:numRef>
          </c:xVal>
          <c:yVal>
            <c:numRef>
              <c:f>SuppSheet20!$J$6:$J$14</c:f>
              <c:numCache>
                <c:formatCode>0.00</c:formatCode>
                <c:ptCount val="9"/>
                <c:pt idx="0">
                  <c:v>6.95</c:v>
                </c:pt>
                <c:pt idx="1">
                  <c:v>6.85</c:v>
                </c:pt>
                <c:pt idx="2">
                  <c:v>6.77</c:v>
                </c:pt>
                <c:pt idx="3">
                  <c:v>6.63</c:v>
                </c:pt>
                <c:pt idx="4">
                  <c:v>6.21</c:v>
                </c:pt>
                <c:pt idx="5">
                  <c:v>5.25</c:v>
                </c:pt>
                <c:pt idx="6">
                  <c:v>4.76</c:v>
                </c:pt>
                <c:pt idx="7">
                  <c:v>4.55</c:v>
                </c:pt>
                <c:pt idx="8">
                  <c:v>4.2699999999999996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3-4B1E-ACF8-302A25770EE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SuppSheet20!$C$6:$C$14</c:f>
              <c:numCache>
                <c:formatCode>0.0</c:formatCode>
                <c:ptCount val="9"/>
                <c:pt idx="0">
                  <c:v>0</c:v>
                </c:pt>
                <c:pt idx="1">
                  <c:v>1.21666666661622</c:v>
                </c:pt>
                <c:pt idx="2">
                  <c:v>2.1500000000232831</c:v>
                </c:pt>
                <c:pt idx="3">
                  <c:v>3.4166666666278616</c:v>
                </c:pt>
                <c:pt idx="4">
                  <c:v>4.7666666666627862</c:v>
                </c:pt>
                <c:pt idx="5">
                  <c:v>6.1333333332440816</c:v>
                </c:pt>
                <c:pt idx="6">
                  <c:v>7.9333333333488554</c:v>
                </c:pt>
                <c:pt idx="7">
                  <c:v>11.266666666720994</c:v>
                </c:pt>
                <c:pt idx="8">
                  <c:v>21.949999999953434</c:v>
                </c:pt>
              </c:numCache>
            </c:numRef>
          </c:xVal>
          <c:yVal>
            <c:numRef>
              <c:f>SuppSheet20!$K$6:$K$14</c:f>
              <c:numCache>
                <c:formatCode>0.00</c:formatCode>
                <c:ptCount val="9"/>
                <c:pt idx="0">
                  <c:v>6.94</c:v>
                </c:pt>
                <c:pt idx="1">
                  <c:v>6.84</c:v>
                </c:pt>
                <c:pt idx="2">
                  <c:v>6.75</c:v>
                </c:pt>
                <c:pt idx="3">
                  <c:v>6.61</c:v>
                </c:pt>
                <c:pt idx="4">
                  <c:v>6.21</c:v>
                </c:pt>
                <c:pt idx="5">
                  <c:v>5.21</c:v>
                </c:pt>
                <c:pt idx="6">
                  <c:v>4.74</c:v>
                </c:pt>
                <c:pt idx="7">
                  <c:v>4.53</c:v>
                </c:pt>
                <c:pt idx="8">
                  <c:v>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3-4B1E-ACF8-302A25770EE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SuppSheet20!$C$6:$C$14</c:f>
              <c:numCache>
                <c:formatCode>0.0</c:formatCode>
                <c:ptCount val="9"/>
                <c:pt idx="0">
                  <c:v>0</c:v>
                </c:pt>
                <c:pt idx="1">
                  <c:v>1.21666666661622</c:v>
                </c:pt>
                <c:pt idx="2">
                  <c:v>2.1500000000232831</c:v>
                </c:pt>
                <c:pt idx="3">
                  <c:v>3.4166666666278616</c:v>
                </c:pt>
                <c:pt idx="4">
                  <c:v>4.7666666666627862</c:v>
                </c:pt>
                <c:pt idx="5">
                  <c:v>6.1333333332440816</c:v>
                </c:pt>
                <c:pt idx="6">
                  <c:v>7.9333333333488554</c:v>
                </c:pt>
                <c:pt idx="7">
                  <c:v>11.266666666720994</c:v>
                </c:pt>
                <c:pt idx="8">
                  <c:v>21.949999999953434</c:v>
                </c:pt>
              </c:numCache>
            </c:numRef>
          </c:xVal>
          <c:yVal>
            <c:numRef>
              <c:f>SuppSheet20!$L$6:$L$14</c:f>
              <c:numCache>
                <c:formatCode>0.00</c:formatCode>
                <c:ptCount val="9"/>
                <c:pt idx="0">
                  <c:v>6.95</c:v>
                </c:pt>
                <c:pt idx="1">
                  <c:v>6.84</c:v>
                </c:pt>
                <c:pt idx="2">
                  <c:v>6.75</c:v>
                </c:pt>
                <c:pt idx="3">
                  <c:v>6.59</c:v>
                </c:pt>
                <c:pt idx="4">
                  <c:v>6.14</c:v>
                </c:pt>
                <c:pt idx="5">
                  <c:v>5.16</c:v>
                </c:pt>
                <c:pt idx="6">
                  <c:v>4.7300000000000004</c:v>
                </c:pt>
                <c:pt idx="7">
                  <c:v>4.53</c:v>
                </c:pt>
                <c:pt idx="8">
                  <c:v>4.2300000000000004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3-4B1E-ACF8-302A25770EE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SuppSheet20!$C$6:$C$14</c:f>
              <c:numCache>
                <c:formatCode>0.0</c:formatCode>
                <c:ptCount val="9"/>
                <c:pt idx="0">
                  <c:v>0</c:v>
                </c:pt>
                <c:pt idx="1">
                  <c:v>1.21666666661622</c:v>
                </c:pt>
                <c:pt idx="2">
                  <c:v>2.1500000000232831</c:v>
                </c:pt>
                <c:pt idx="3">
                  <c:v>3.4166666666278616</c:v>
                </c:pt>
                <c:pt idx="4">
                  <c:v>4.7666666666627862</c:v>
                </c:pt>
                <c:pt idx="5">
                  <c:v>6.1333333332440816</c:v>
                </c:pt>
                <c:pt idx="6">
                  <c:v>7.9333333333488554</c:v>
                </c:pt>
                <c:pt idx="7">
                  <c:v>11.266666666720994</c:v>
                </c:pt>
                <c:pt idx="8">
                  <c:v>21.949999999953434</c:v>
                </c:pt>
              </c:numCache>
            </c:numRef>
          </c:xVal>
          <c:yVal>
            <c:numRef>
              <c:f>SuppSheet20!$M$6:$M$14</c:f>
              <c:numCache>
                <c:formatCode>0.00</c:formatCode>
                <c:ptCount val="9"/>
                <c:pt idx="0">
                  <c:v>6.97</c:v>
                </c:pt>
                <c:pt idx="1">
                  <c:v>6.96</c:v>
                </c:pt>
                <c:pt idx="2">
                  <c:v>6.96</c:v>
                </c:pt>
                <c:pt idx="3">
                  <c:v>6.96</c:v>
                </c:pt>
                <c:pt idx="4">
                  <c:v>6.96</c:v>
                </c:pt>
                <c:pt idx="5">
                  <c:v>6.95</c:v>
                </c:pt>
                <c:pt idx="6">
                  <c:v>6.92</c:v>
                </c:pt>
                <c:pt idx="7">
                  <c:v>6.91</c:v>
                </c:pt>
                <c:pt idx="8">
                  <c:v>6.86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73-4B1E-ACF8-302A25770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6191"/>
        <c:axId val="83404943"/>
      </c:scatterChart>
      <c:valAx>
        <c:axId val="8340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4943"/>
        <c:crosses val="autoZero"/>
        <c:crossBetween val="midCat"/>
      </c:valAx>
      <c:valAx>
        <c:axId val="834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SuppSheet21!$C$6:$C$13</c:f>
              <c:numCache>
                <c:formatCode>0.0</c:formatCode>
                <c:ptCount val="8"/>
                <c:pt idx="0">
                  <c:v>0</c:v>
                </c:pt>
                <c:pt idx="1">
                  <c:v>1.3666666667559184</c:v>
                </c:pt>
                <c:pt idx="2">
                  <c:v>3.0999999999767169</c:v>
                </c:pt>
                <c:pt idx="3">
                  <c:v>4.6333333334187046</c:v>
                </c:pt>
                <c:pt idx="4">
                  <c:v>6.1666666666860692</c:v>
                </c:pt>
                <c:pt idx="5">
                  <c:v>7.7333333333954215</c:v>
                </c:pt>
                <c:pt idx="6">
                  <c:v>9.3000000001047738</c:v>
                </c:pt>
                <c:pt idx="7">
                  <c:v>12.116666666697711</c:v>
                </c:pt>
              </c:numCache>
            </c:numRef>
          </c:xVal>
          <c:yVal>
            <c:numRef>
              <c:f>SuppSheet21!$D$6:$D$13</c:f>
              <c:numCache>
                <c:formatCode>0.000</c:formatCode>
                <c:ptCount val="8"/>
                <c:pt idx="0">
                  <c:v>2.4E-2</c:v>
                </c:pt>
                <c:pt idx="1">
                  <c:v>4.3999999999999997E-2</c:v>
                </c:pt>
                <c:pt idx="2">
                  <c:v>6.2E-2</c:v>
                </c:pt>
                <c:pt idx="3">
                  <c:v>7.2999999999999995E-2</c:v>
                </c:pt>
                <c:pt idx="4">
                  <c:v>0.127</c:v>
                </c:pt>
                <c:pt idx="5">
                  <c:v>0.16600000000000001</c:v>
                </c:pt>
                <c:pt idx="6">
                  <c:v>0.17799999999999999</c:v>
                </c:pt>
                <c:pt idx="7">
                  <c:v>0.17799999999999999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4-4FB6-A053-533AF3E8A40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SuppSheet21!$C$6:$C$13</c:f>
              <c:numCache>
                <c:formatCode>0.0</c:formatCode>
                <c:ptCount val="8"/>
                <c:pt idx="0">
                  <c:v>0</c:v>
                </c:pt>
                <c:pt idx="1">
                  <c:v>1.3666666667559184</c:v>
                </c:pt>
                <c:pt idx="2">
                  <c:v>3.0999999999767169</c:v>
                </c:pt>
                <c:pt idx="3">
                  <c:v>4.6333333334187046</c:v>
                </c:pt>
                <c:pt idx="4">
                  <c:v>6.1666666666860692</c:v>
                </c:pt>
                <c:pt idx="5">
                  <c:v>7.7333333333954215</c:v>
                </c:pt>
                <c:pt idx="6">
                  <c:v>9.3000000001047738</c:v>
                </c:pt>
                <c:pt idx="7">
                  <c:v>12.116666666697711</c:v>
                </c:pt>
              </c:numCache>
            </c:numRef>
          </c:xVal>
          <c:yVal>
            <c:numRef>
              <c:f>SuppSheet21!$E$6:$E$13</c:f>
              <c:numCache>
                <c:formatCode>0.000</c:formatCode>
                <c:ptCount val="8"/>
                <c:pt idx="0">
                  <c:v>2.4E-2</c:v>
                </c:pt>
                <c:pt idx="1">
                  <c:v>4.2999999999999997E-2</c:v>
                </c:pt>
                <c:pt idx="2">
                  <c:v>6.0999999999999999E-2</c:v>
                </c:pt>
                <c:pt idx="3">
                  <c:v>7.3999999999999996E-2</c:v>
                </c:pt>
                <c:pt idx="4">
                  <c:v>0.14399999999999999</c:v>
                </c:pt>
                <c:pt idx="5">
                  <c:v>0.19400000000000001</c:v>
                </c:pt>
                <c:pt idx="6">
                  <c:v>0.20399999999999999</c:v>
                </c:pt>
                <c:pt idx="7">
                  <c:v>0.19900000000000001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4-4FB6-A053-533AF3E8A40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SuppSheet21!$C$6:$C$13</c:f>
              <c:numCache>
                <c:formatCode>0.0</c:formatCode>
                <c:ptCount val="8"/>
                <c:pt idx="0">
                  <c:v>0</c:v>
                </c:pt>
                <c:pt idx="1">
                  <c:v>1.3666666667559184</c:v>
                </c:pt>
                <c:pt idx="2">
                  <c:v>3.0999999999767169</c:v>
                </c:pt>
                <c:pt idx="3">
                  <c:v>4.6333333334187046</c:v>
                </c:pt>
                <c:pt idx="4">
                  <c:v>6.1666666666860692</c:v>
                </c:pt>
                <c:pt idx="5">
                  <c:v>7.7333333333954215</c:v>
                </c:pt>
                <c:pt idx="6">
                  <c:v>9.3000000001047738</c:v>
                </c:pt>
                <c:pt idx="7">
                  <c:v>12.116666666697711</c:v>
                </c:pt>
              </c:numCache>
            </c:numRef>
          </c:xVal>
          <c:yVal>
            <c:numRef>
              <c:f>SuppSheet21!$F$6:$F$13</c:f>
              <c:numCache>
                <c:formatCode>0.000</c:formatCode>
                <c:ptCount val="8"/>
                <c:pt idx="0">
                  <c:v>2.5000000000000001E-2</c:v>
                </c:pt>
                <c:pt idx="1">
                  <c:v>4.2999999999999997E-2</c:v>
                </c:pt>
                <c:pt idx="2">
                  <c:v>6.4000000000000001E-2</c:v>
                </c:pt>
                <c:pt idx="3">
                  <c:v>8.1000000000000003E-2</c:v>
                </c:pt>
                <c:pt idx="4">
                  <c:v>0.15</c:v>
                </c:pt>
                <c:pt idx="5">
                  <c:v>0.193</c:v>
                </c:pt>
                <c:pt idx="6">
                  <c:v>0.20100000000000001</c:v>
                </c:pt>
                <c:pt idx="7">
                  <c:v>0.19700000000000001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4-4FB6-A053-533AF3E8A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91247"/>
        <c:axId val="1122398735"/>
      </c:scatterChart>
      <c:valAx>
        <c:axId val="112239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98735"/>
        <c:crosses val="autoZero"/>
        <c:crossBetween val="midCat"/>
      </c:valAx>
      <c:valAx>
        <c:axId val="11223987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9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SuppSheet21!$C$6:$C$13</c:f>
              <c:numCache>
                <c:formatCode>0.0</c:formatCode>
                <c:ptCount val="8"/>
                <c:pt idx="0">
                  <c:v>0</c:v>
                </c:pt>
                <c:pt idx="1">
                  <c:v>1.3666666667559184</c:v>
                </c:pt>
                <c:pt idx="2">
                  <c:v>3.0999999999767169</c:v>
                </c:pt>
                <c:pt idx="3">
                  <c:v>4.6333333334187046</c:v>
                </c:pt>
                <c:pt idx="4">
                  <c:v>6.1666666666860692</c:v>
                </c:pt>
                <c:pt idx="5">
                  <c:v>7.7333333333954215</c:v>
                </c:pt>
                <c:pt idx="6">
                  <c:v>9.3000000001047738</c:v>
                </c:pt>
                <c:pt idx="7">
                  <c:v>12.116666666697711</c:v>
                </c:pt>
              </c:numCache>
            </c:numRef>
          </c:xVal>
          <c:yVal>
            <c:numRef>
              <c:f>SuppSheet21!$J$6:$J$13</c:f>
              <c:numCache>
                <c:formatCode>0.00</c:formatCode>
                <c:ptCount val="8"/>
                <c:pt idx="0">
                  <c:v>7.46</c:v>
                </c:pt>
                <c:pt idx="1">
                  <c:v>7.31</c:v>
                </c:pt>
                <c:pt idx="2">
                  <c:v>7.16</c:v>
                </c:pt>
                <c:pt idx="3">
                  <c:v>7</c:v>
                </c:pt>
                <c:pt idx="4">
                  <c:v>6.7</c:v>
                </c:pt>
                <c:pt idx="5">
                  <c:v>6.42</c:v>
                </c:pt>
                <c:pt idx="6">
                  <c:v>6.02</c:v>
                </c:pt>
                <c:pt idx="7">
                  <c:v>5.12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0-4BF9-976B-A09E306033F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SuppSheet21!$C$6:$C$13</c:f>
              <c:numCache>
                <c:formatCode>0.0</c:formatCode>
                <c:ptCount val="8"/>
                <c:pt idx="0">
                  <c:v>0</c:v>
                </c:pt>
                <c:pt idx="1">
                  <c:v>1.3666666667559184</c:v>
                </c:pt>
                <c:pt idx="2">
                  <c:v>3.0999999999767169</c:v>
                </c:pt>
                <c:pt idx="3">
                  <c:v>4.6333333334187046</c:v>
                </c:pt>
                <c:pt idx="4">
                  <c:v>6.1666666666860692</c:v>
                </c:pt>
                <c:pt idx="5">
                  <c:v>7.7333333333954215</c:v>
                </c:pt>
                <c:pt idx="6">
                  <c:v>9.3000000001047738</c:v>
                </c:pt>
                <c:pt idx="7">
                  <c:v>12.116666666697711</c:v>
                </c:pt>
              </c:numCache>
            </c:numRef>
          </c:xVal>
          <c:yVal>
            <c:numRef>
              <c:f>SuppSheet21!$K$6:$K$13</c:f>
              <c:numCache>
                <c:formatCode>0.00</c:formatCode>
                <c:ptCount val="8"/>
                <c:pt idx="0">
                  <c:v>7.46</c:v>
                </c:pt>
                <c:pt idx="1">
                  <c:v>7.32</c:v>
                </c:pt>
                <c:pt idx="2">
                  <c:v>7.15</c:v>
                </c:pt>
                <c:pt idx="3">
                  <c:v>6.99</c:v>
                </c:pt>
                <c:pt idx="4">
                  <c:v>6.64</c:v>
                </c:pt>
                <c:pt idx="5">
                  <c:v>6.3</c:v>
                </c:pt>
                <c:pt idx="6">
                  <c:v>5.78</c:v>
                </c:pt>
                <c:pt idx="7">
                  <c:v>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0-4BF9-976B-A09E306033F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SuppSheet21!$C$6:$C$13</c:f>
              <c:numCache>
                <c:formatCode>0.0</c:formatCode>
                <c:ptCount val="8"/>
                <c:pt idx="0">
                  <c:v>0</c:v>
                </c:pt>
                <c:pt idx="1">
                  <c:v>1.3666666667559184</c:v>
                </c:pt>
                <c:pt idx="2">
                  <c:v>3.0999999999767169</c:v>
                </c:pt>
                <c:pt idx="3">
                  <c:v>4.6333333334187046</c:v>
                </c:pt>
                <c:pt idx="4">
                  <c:v>6.1666666666860692</c:v>
                </c:pt>
                <c:pt idx="5">
                  <c:v>7.7333333333954215</c:v>
                </c:pt>
                <c:pt idx="6">
                  <c:v>9.3000000001047738</c:v>
                </c:pt>
                <c:pt idx="7">
                  <c:v>12.116666666697711</c:v>
                </c:pt>
              </c:numCache>
            </c:numRef>
          </c:xVal>
          <c:yVal>
            <c:numRef>
              <c:f>SuppSheet21!$L$6:$L$13</c:f>
              <c:numCache>
                <c:formatCode>0.00</c:formatCode>
                <c:ptCount val="8"/>
                <c:pt idx="0">
                  <c:v>7.47</c:v>
                </c:pt>
                <c:pt idx="1">
                  <c:v>7.3</c:v>
                </c:pt>
                <c:pt idx="2">
                  <c:v>7.13</c:v>
                </c:pt>
                <c:pt idx="3">
                  <c:v>6.96</c:v>
                </c:pt>
                <c:pt idx="4">
                  <c:v>6.6</c:v>
                </c:pt>
                <c:pt idx="5">
                  <c:v>6.23</c:v>
                </c:pt>
                <c:pt idx="6">
                  <c:v>5.68</c:v>
                </c:pt>
                <c:pt idx="7">
                  <c:v>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00-4BF9-976B-A09E306033F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SuppSheet21!$C$6:$C$13</c:f>
              <c:numCache>
                <c:formatCode>0.0</c:formatCode>
                <c:ptCount val="8"/>
                <c:pt idx="0">
                  <c:v>0</c:v>
                </c:pt>
                <c:pt idx="1">
                  <c:v>1.3666666667559184</c:v>
                </c:pt>
                <c:pt idx="2">
                  <c:v>3.0999999999767169</c:v>
                </c:pt>
                <c:pt idx="3">
                  <c:v>4.6333333334187046</c:v>
                </c:pt>
                <c:pt idx="4">
                  <c:v>6.1666666666860692</c:v>
                </c:pt>
                <c:pt idx="5">
                  <c:v>7.7333333333954215</c:v>
                </c:pt>
                <c:pt idx="6">
                  <c:v>9.3000000001047738</c:v>
                </c:pt>
                <c:pt idx="7">
                  <c:v>12.116666666697711</c:v>
                </c:pt>
              </c:numCache>
            </c:numRef>
          </c:xVal>
          <c:yVal>
            <c:numRef>
              <c:f>SuppSheet21!$M$6:$M$13</c:f>
              <c:numCache>
                <c:formatCode>0.00</c:formatCode>
                <c:ptCount val="8"/>
                <c:pt idx="0">
                  <c:v>7.5</c:v>
                </c:pt>
                <c:pt idx="1">
                  <c:v>7.45</c:v>
                </c:pt>
                <c:pt idx="2">
                  <c:v>7.4</c:v>
                </c:pt>
                <c:pt idx="3">
                  <c:v>7.36</c:v>
                </c:pt>
                <c:pt idx="4">
                  <c:v>7.32</c:v>
                </c:pt>
                <c:pt idx="5">
                  <c:v>7.39</c:v>
                </c:pt>
                <c:pt idx="6">
                  <c:v>7.38</c:v>
                </c:pt>
                <c:pt idx="7">
                  <c:v>7.34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00-4BF9-976B-A09E30603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91247"/>
        <c:axId val="1122398735"/>
      </c:scatterChart>
      <c:valAx>
        <c:axId val="112239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98735"/>
        <c:crosses val="autoZero"/>
        <c:crossBetween val="midCat"/>
      </c:valAx>
      <c:valAx>
        <c:axId val="11223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9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SuppSheet21!$C$6:$C$13</c:f>
              <c:numCache>
                <c:formatCode>0.0</c:formatCode>
                <c:ptCount val="8"/>
                <c:pt idx="0">
                  <c:v>0</c:v>
                </c:pt>
                <c:pt idx="1">
                  <c:v>1.3666666667559184</c:v>
                </c:pt>
                <c:pt idx="2">
                  <c:v>3.0999999999767169</c:v>
                </c:pt>
                <c:pt idx="3">
                  <c:v>4.6333333334187046</c:v>
                </c:pt>
                <c:pt idx="4">
                  <c:v>6.1666666666860692</c:v>
                </c:pt>
                <c:pt idx="5">
                  <c:v>7.7333333333954215</c:v>
                </c:pt>
                <c:pt idx="6">
                  <c:v>9.3000000001047738</c:v>
                </c:pt>
                <c:pt idx="7">
                  <c:v>12.116666666697711</c:v>
                </c:pt>
              </c:numCache>
            </c:numRef>
          </c:xVal>
          <c:yVal>
            <c:numRef>
              <c:f>SuppSheet21!$D$6:$D$13</c:f>
              <c:numCache>
                <c:formatCode>0.000</c:formatCode>
                <c:ptCount val="8"/>
                <c:pt idx="0">
                  <c:v>2.4E-2</c:v>
                </c:pt>
                <c:pt idx="1">
                  <c:v>4.3999999999999997E-2</c:v>
                </c:pt>
                <c:pt idx="2">
                  <c:v>6.2E-2</c:v>
                </c:pt>
                <c:pt idx="3">
                  <c:v>7.2999999999999995E-2</c:v>
                </c:pt>
                <c:pt idx="4">
                  <c:v>0.127</c:v>
                </c:pt>
                <c:pt idx="5">
                  <c:v>0.16600000000000001</c:v>
                </c:pt>
                <c:pt idx="6">
                  <c:v>0.17799999999999999</c:v>
                </c:pt>
                <c:pt idx="7">
                  <c:v>0.17799999999999999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C-4E62-BD54-7E9168030EC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SuppSheet21!$C$6:$C$13</c:f>
              <c:numCache>
                <c:formatCode>0.0</c:formatCode>
                <c:ptCount val="8"/>
                <c:pt idx="0">
                  <c:v>0</c:v>
                </c:pt>
                <c:pt idx="1">
                  <c:v>1.3666666667559184</c:v>
                </c:pt>
                <c:pt idx="2">
                  <c:v>3.0999999999767169</c:v>
                </c:pt>
                <c:pt idx="3">
                  <c:v>4.6333333334187046</c:v>
                </c:pt>
                <c:pt idx="4">
                  <c:v>6.1666666666860692</c:v>
                </c:pt>
                <c:pt idx="5">
                  <c:v>7.7333333333954215</c:v>
                </c:pt>
                <c:pt idx="6">
                  <c:v>9.3000000001047738</c:v>
                </c:pt>
                <c:pt idx="7">
                  <c:v>12.116666666697711</c:v>
                </c:pt>
              </c:numCache>
            </c:numRef>
          </c:xVal>
          <c:yVal>
            <c:numRef>
              <c:f>SuppSheet21!$E$6:$E$13</c:f>
              <c:numCache>
                <c:formatCode>0.000</c:formatCode>
                <c:ptCount val="8"/>
                <c:pt idx="0">
                  <c:v>2.4E-2</c:v>
                </c:pt>
                <c:pt idx="1">
                  <c:v>4.2999999999999997E-2</c:v>
                </c:pt>
                <c:pt idx="2">
                  <c:v>6.0999999999999999E-2</c:v>
                </c:pt>
                <c:pt idx="3">
                  <c:v>7.3999999999999996E-2</c:v>
                </c:pt>
                <c:pt idx="4">
                  <c:v>0.14399999999999999</c:v>
                </c:pt>
                <c:pt idx="5">
                  <c:v>0.19400000000000001</c:v>
                </c:pt>
                <c:pt idx="6">
                  <c:v>0.20399999999999999</c:v>
                </c:pt>
                <c:pt idx="7">
                  <c:v>0.19900000000000001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C-4E62-BD54-7E9168030EC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SuppSheet21!$C$6:$C$13</c:f>
              <c:numCache>
                <c:formatCode>0.0</c:formatCode>
                <c:ptCount val="8"/>
                <c:pt idx="0">
                  <c:v>0</c:v>
                </c:pt>
                <c:pt idx="1">
                  <c:v>1.3666666667559184</c:v>
                </c:pt>
                <c:pt idx="2">
                  <c:v>3.0999999999767169</c:v>
                </c:pt>
                <c:pt idx="3">
                  <c:v>4.6333333334187046</c:v>
                </c:pt>
                <c:pt idx="4">
                  <c:v>6.1666666666860692</c:v>
                </c:pt>
                <c:pt idx="5">
                  <c:v>7.7333333333954215</c:v>
                </c:pt>
                <c:pt idx="6">
                  <c:v>9.3000000001047738</c:v>
                </c:pt>
                <c:pt idx="7">
                  <c:v>12.116666666697711</c:v>
                </c:pt>
              </c:numCache>
            </c:numRef>
          </c:xVal>
          <c:yVal>
            <c:numRef>
              <c:f>SuppSheet21!$F$6:$F$13</c:f>
              <c:numCache>
                <c:formatCode>0.000</c:formatCode>
                <c:ptCount val="8"/>
                <c:pt idx="0">
                  <c:v>2.5000000000000001E-2</c:v>
                </c:pt>
                <c:pt idx="1">
                  <c:v>4.2999999999999997E-2</c:v>
                </c:pt>
                <c:pt idx="2">
                  <c:v>6.4000000000000001E-2</c:v>
                </c:pt>
                <c:pt idx="3">
                  <c:v>8.1000000000000003E-2</c:v>
                </c:pt>
                <c:pt idx="4">
                  <c:v>0.15</c:v>
                </c:pt>
                <c:pt idx="5">
                  <c:v>0.193</c:v>
                </c:pt>
                <c:pt idx="6">
                  <c:v>0.20100000000000001</c:v>
                </c:pt>
                <c:pt idx="7">
                  <c:v>0.19700000000000001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8C-4E62-BD54-7E9168030EC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SuppSheet21!$C$6:$C$13</c:f>
              <c:numCache>
                <c:formatCode>0.0</c:formatCode>
                <c:ptCount val="8"/>
                <c:pt idx="0">
                  <c:v>0</c:v>
                </c:pt>
                <c:pt idx="1">
                  <c:v>1.3666666667559184</c:v>
                </c:pt>
                <c:pt idx="2">
                  <c:v>3.0999999999767169</c:v>
                </c:pt>
                <c:pt idx="3">
                  <c:v>4.6333333334187046</c:v>
                </c:pt>
                <c:pt idx="4">
                  <c:v>6.1666666666860692</c:v>
                </c:pt>
                <c:pt idx="5">
                  <c:v>7.7333333333954215</c:v>
                </c:pt>
                <c:pt idx="6">
                  <c:v>9.3000000001047738</c:v>
                </c:pt>
                <c:pt idx="7">
                  <c:v>12.116666666697711</c:v>
                </c:pt>
              </c:numCache>
            </c:numRef>
          </c:xVal>
          <c:yVal>
            <c:numRef>
              <c:f>SuppSheet21!$G$6:$G$13</c:f>
              <c:numCache>
                <c:formatCode>0.000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0</c:v>
                </c:pt>
                <c:pt idx="4">
                  <c:v>1E-3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8C-4E62-BD54-7E9168030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391247"/>
        <c:axId val="1122398735"/>
      </c:scatterChart>
      <c:valAx>
        <c:axId val="112239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98735"/>
        <c:crosses val="autoZero"/>
        <c:crossBetween val="midCat"/>
      </c:valAx>
      <c:valAx>
        <c:axId val="112239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9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SuppSheet22!$C$7:$C$15</c:f>
              <c:numCache>
                <c:formatCode>0.0</c:formatCode>
                <c:ptCount val="9"/>
                <c:pt idx="0">
                  <c:v>0</c:v>
                </c:pt>
                <c:pt idx="1">
                  <c:v>1.6499999999650754</c:v>
                </c:pt>
                <c:pt idx="2">
                  <c:v>3.4166666666278616</c:v>
                </c:pt>
                <c:pt idx="3">
                  <c:v>5.1500000000232831</c:v>
                </c:pt>
                <c:pt idx="4">
                  <c:v>7.0166666666627862</c:v>
                </c:pt>
                <c:pt idx="5">
                  <c:v>8.7333333333372138</c:v>
                </c:pt>
                <c:pt idx="6">
                  <c:v>10.699999999953434</c:v>
                </c:pt>
                <c:pt idx="7">
                  <c:v>14.200000000011642</c:v>
                </c:pt>
                <c:pt idx="8">
                  <c:v>26.549999999930151</c:v>
                </c:pt>
              </c:numCache>
            </c:numRef>
          </c:xVal>
          <c:yVal>
            <c:numRef>
              <c:f>SuppSheet22!$D$7:$D$15</c:f>
              <c:numCache>
                <c:formatCode>0.000</c:formatCode>
                <c:ptCount val="9"/>
                <c:pt idx="0">
                  <c:v>4.3999999999999997E-2</c:v>
                </c:pt>
                <c:pt idx="1">
                  <c:v>5.0999999999999997E-2</c:v>
                </c:pt>
                <c:pt idx="2">
                  <c:v>6.7000000000000004E-2</c:v>
                </c:pt>
                <c:pt idx="3">
                  <c:v>9.7000000000000003E-2</c:v>
                </c:pt>
                <c:pt idx="4">
                  <c:v>0.14699999999999999</c:v>
                </c:pt>
                <c:pt idx="5">
                  <c:v>0.16500000000000001</c:v>
                </c:pt>
                <c:pt idx="6">
                  <c:v>0.16900000000000001</c:v>
                </c:pt>
                <c:pt idx="7">
                  <c:v>0.17</c:v>
                </c:pt>
                <c:pt idx="8">
                  <c:v>0.16200000000000001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0-4DAE-A45B-75595BD3E1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SuppSheet22!$C$7:$C$15</c:f>
              <c:numCache>
                <c:formatCode>0.0</c:formatCode>
                <c:ptCount val="9"/>
                <c:pt idx="0">
                  <c:v>0</c:v>
                </c:pt>
                <c:pt idx="1">
                  <c:v>1.6499999999650754</c:v>
                </c:pt>
                <c:pt idx="2">
                  <c:v>3.4166666666278616</c:v>
                </c:pt>
                <c:pt idx="3">
                  <c:v>5.1500000000232831</c:v>
                </c:pt>
                <c:pt idx="4">
                  <c:v>7.0166666666627862</c:v>
                </c:pt>
                <c:pt idx="5">
                  <c:v>8.7333333333372138</c:v>
                </c:pt>
                <c:pt idx="6">
                  <c:v>10.699999999953434</c:v>
                </c:pt>
                <c:pt idx="7">
                  <c:v>14.200000000011642</c:v>
                </c:pt>
                <c:pt idx="8">
                  <c:v>26.549999999930151</c:v>
                </c:pt>
              </c:numCache>
            </c:numRef>
          </c:xVal>
          <c:yVal>
            <c:numRef>
              <c:f>SuppSheet22!$E$7:$E$15</c:f>
              <c:numCache>
                <c:formatCode>0.000</c:formatCode>
                <c:ptCount val="9"/>
                <c:pt idx="0">
                  <c:v>4.3999999999999997E-2</c:v>
                </c:pt>
                <c:pt idx="1">
                  <c:v>0.05</c:v>
                </c:pt>
                <c:pt idx="2">
                  <c:v>6.3E-2</c:v>
                </c:pt>
                <c:pt idx="3">
                  <c:v>8.5000000000000006E-2</c:v>
                </c:pt>
                <c:pt idx="4">
                  <c:v>0.13800000000000001</c:v>
                </c:pt>
                <c:pt idx="5">
                  <c:v>0.17499999999999999</c:v>
                </c:pt>
                <c:pt idx="6">
                  <c:v>0.184</c:v>
                </c:pt>
                <c:pt idx="7">
                  <c:v>0.185</c:v>
                </c:pt>
                <c:pt idx="8">
                  <c:v>0.17399999999999999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0-4DAE-A45B-75595BD3E17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SuppSheet22!$C$7:$C$15</c:f>
              <c:numCache>
                <c:formatCode>0.0</c:formatCode>
                <c:ptCount val="9"/>
                <c:pt idx="0">
                  <c:v>0</c:v>
                </c:pt>
                <c:pt idx="1">
                  <c:v>1.6499999999650754</c:v>
                </c:pt>
                <c:pt idx="2">
                  <c:v>3.4166666666278616</c:v>
                </c:pt>
                <c:pt idx="3">
                  <c:v>5.1500000000232831</c:v>
                </c:pt>
                <c:pt idx="4">
                  <c:v>7.0166666666627862</c:v>
                </c:pt>
                <c:pt idx="5">
                  <c:v>8.7333333333372138</c:v>
                </c:pt>
                <c:pt idx="6">
                  <c:v>10.699999999953434</c:v>
                </c:pt>
                <c:pt idx="7">
                  <c:v>14.200000000011642</c:v>
                </c:pt>
                <c:pt idx="8">
                  <c:v>26.549999999930151</c:v>
                </c:pt>
              </c:numCache>
            </c:numRef>
          </c:xVal>
          <c:yVal>
            <c:numRef>
              <c:f>SuppSheet22!$F$7:$F$15</c:f>
              <c:numCache>
                <c:formatCode>0.000</c:formatCode>
                <c:ptCount val="9"/>
                <c:pt idx="0">
                  <c:v>4.3999999999999997E-2</c:v>
                </c:pt>
                <c:pt idx="1">
                  <c:v>4.9000000000000002E-2</c:v>
                </c:pt>
                <c:pt idx="2">
                  <c:v>5.8999999999999997E-2</c:v>
                </c:pt>
                <c:pt idx="3">
                  <c:v>7.4999999999999997E-2</c:v>
                </c:pt>
                <c:pt idx="4">
                  <c:v>0.11799999999999999</c:v>
                </c:pt>
                <c:pt idx="5">
                  <c:v>0.17599999999999999</c:v>
                </c:pt>
                <c:pt idx="6">
                  <c:v>0.19400000000000001</c:v>
                </c:pt>
                <c:pt idx="7">
                  <c:v>0.19600000000000001</c:v>
                </c:pt>
                <c:pt idx="8">
                  <c:v>0.182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40-4DAE-A45B-75595BD3E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3888"/>
        <c:axId val="8212640"/>
      </c:scatterChart>
      <c:valAx>
        <c:axId val="82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640"/>
        <c:crosses val="autoZero"/>
        <c:crossBetween val="midCat"/>
      </c:valAx>
      <c:valAx>
        <c:axId val="8212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SuppSheet22!$C$7:$C$15</c:f>
              <c:numCache>
                <c:formatCode>0.0</c:formatCode>
                <c:ptCount val="9"/>
                <c:pt idx="0">
                  <c:v>0</c:v>
                </c:pt>
                <c:pt idx="1">
                  <c:v>1.6499999999650754</c:v>
                </c:pt>
                <c:pt idx="2">
                  <c:v>3.4166666666278616</c:v>
                </c:pt>
                <c:pt idx="3">
                  <c:v>5.1500000000232831</c:v>
                </c:pt>
                <c:pt idx="4">
                  <c:v>7.0166666666627862</c:v>
                </c:pt>
                <c:pt idx="5">
                  <c:v>8.7333333333372138</c:v>
                </c:pt>
                <c:pt idx="6">
                  <c:v>10.699999999953434</c:v>
                </c:pt>
                <c:pt idx="7">
                  <c:v>14.200000000011642</c:v>
                </c:pt>
                <c:pt idx="8">
                  <c:v>26.549999999930151</c:v>
                </c:pt>
              </c:numCache>
            </c:numRef>
          </c:xVal>
          <c:yVal>
            <c:numRef>
              <c:f>SuppSheet22!$J$7:$J$15</c:f>
              <c:numCache>
                <c:formatCode>0.00</c:formatCode>
                <c:ptCount val="9"/>
                <c:pt idx="0">
                  <c:v>6.04</c:v>
                </c:pt>
                <c:pt idx="1">
                  <c:v>6.02</c:v>
                </c:pt>
                <c:pt idx="2">
                  <c:v>5.93</c:v>
                </c:pt>
                <c:pt idx="3">
                  <c:v>5.65</c:v>
                </c:pt>
                <c:pt idx="4">
                  <c:v>4.8</c:v>
                </c:pt>
                <c:pt idx="5">
                  <c:v>4.4000000000000004</c:v>
                </c:pt>
                <c:pt idx="6">
                  <c:v>4.24</c:v>
                </c:pt>
                <c:pt idx="7">
                  <c:v>4.13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9-4412-B96E-1F25C85E00B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SuppSheet22!$C$7:$C$15</c:f>
              <c:numCache>
                <c:formatCode>0.0</c:formatCode>
                <c:ptCount val="9"/>
                <c:pt idx="0">
                  <c:v>0</c:v>
                </c:pt>
                <c:pt idx="1">
                  <c:v>1.6499999999650754</c:v>
                </c:pt>
                <c:pt idx="2">
                  <c:v>3.4166666666278616</c:v>
                </c:pt>
                <c:pt idx="3">
                  <c:v>5.1500000000232831</c:v>
                </c:pt>
                <c:pt idx="4">
                  <c:v>7.0166666666627862</c:v>
                </c:pt>
                <c:pt idx="5">
                  <c:v>8.7333333333372138</c:v>
                </c:pt>
                <c:pt idx="6">
                  <c:v>10.699999999953434</c:v>
                </c:pt>
                <c:pt idx="7">
                  <c:v>14.200000000011642</c:v>
                </c:pt>
                <c:pt idx="8">
                  <c:v>26.549999999930151</c:v>
                </c:pt>
              </c:numCache>
            </c:numRef>
          </c:xVal>
          <c:yVal>
            <c:numRef>
              <c:f>SuppSheet22!$K$7:$K$15</c:f>
              <c:numCache>
                <c:formatCode>0.00</c:formatCode>
                <c:ptCount val="9"/>
                <c:pt idx="0">
                  <c:v>6.02</c:v>
                </c:pt>
                <c:pt idx="1">
                  <c:v>6.01</c:v>
                </c:pt>
                <c:pt idx="2">
                  <c:v>5.97</c:v>
                </c:pt>
                <c:pt idx="3">
                  <c:v>5.8</c:v>
                </c:pt>
                <c:pt idx="4">
                  <c:v>5.0199999999999996</c:v>
                </c:pt>
                <c:pt idx="5">
                  <c:v>4.4000000000000004</c:v>
                </c:pt>
                <c:pt idx="6">
                  <c:v>4.2</c:v>
                </c:pt>
                <c:pt idx="7">
                  <c:v>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9-4412-B96E-1F25C85E00B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SuppSheet22!$C$7:$C$15</c:f>
              <c:numCache>
                <c:formatCode>0.0</c:formatCode>
                <c:ptCount val="9"/>
                <c:pt idx="0">
                  <c:v>0</c:v>
                </c:pt>
                <c:pt idx="1">
                  <c:v>1.6499999999650754</c:v>
                </c:pt>
                <c:pt idx="2">
                  <c:v>3.4166666666278616</c:v>
                </c:pt>
                <c:pt idx="3">
                  <c:v>5.1500000000232831</c:v>
                </c:pt>
                <c:pt idx="4">
                  <c:v>7.0166666666627862</c:v>
                </c:pt>
                <c:pt idx="5">
                  <c:v>8.7333333333372138</c:v>
                </c:pt>
                <c:pt idx="6">
                  <c:v>10.699999999953434</c:v>
                </c:pt>
                <c:pt idx="7">
                  <c:v>14.200000000011642</c:v>
                </c:pt>
                <c:pt idx="8">
                  <c:v>26.549999999930151</c:v>
                </c:pt>
              </c:numCache>
            </c:numRef>
          </c:xVal>
          <c:yVal>
            <c:numRef>
              <c:f>SuppSheet22!$L$7:$L$15</c:f>
              <c:numCache>
                <c:formatCode>0.00</c:formatCode>
                <c:ptCount val="9"/>
                <c:pt idx="0">
                  <c:v>6.02</c:v>
                </c:pt>
                <c:pt idx="1">
                  <c:v>6.01</c:v>
                </c:pt>
                <c:pt idx="2">
                  <c:v>5.96</c:v>
                </c:pt>
                <c:pt idx="3">
                  <c:v>5.9</c:v>
                </c:pt>
                <c:pt idx="4">
                  <c:v>5.44</c:v>
                </c:pt>
                <c:pt idx="5">
                  <c:v>4.4800000000000004</c:v>
                </c:pt>
                <c:pt idx="6">
                  <c:v>4.12</c:v>
                </c:pt>
                <c:pt idx="7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9-4412-B96E-1F25C85E00B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SuppSheet22!$C$7:$C$15</c:f>
              <c:numCache>
                <c:formatCode>0.0</c:formatCode>
                <c:ptCount val="9"/>
                <c:pt idx="0">
                  <c:v>0</c:v>
                </c:pt>
                <c:pt idx="1">
                  <c:v>1.6499999999650754</c:v>
                </c:pt>
                <c:pt idx="2">
                  <c:v>3.4166666666278616</c:v>
                </c:pt>
                <c:pt idx="3">
                  <c:v>5.1500000000232831</c:v>
                </c:pt>
                <c:pt idx="4">
                  <c:v>7.0166666666627862</c:v>
                </c:pt>
                <c:pt idx="5">
                  <c:v>8.7333333333372138</c:v>
                </c:pt>
                <c:pt idx="6">
                  <c:v>10.699999999953434</c:v>
                </c:pt>
                <c:pt idx="7">
                  <c:v>14.200000000011642</c:v>
                </c:pt>
                <c:pt idx="8">
                  <c:v>26.549999999930151</c:v>
                </c:pt>
              </c:numCache>
            </c:numRef>
          </c:xVal>
          <c:yVal>
            <c:numRef>
              <c:f>SuppSheet22!$M$7:$M$15</c:f>
              <c:numCache>
                <c:formatCode>0.00</c:formatCode>
                <c:ptCount val="9"/>
                <c:pt idx="0">
                  <c:v>6.06</c:v>
                </c:pt>
                <c:pt idx="1">
                  <c:v>6.05</c:v>
                </c:pt>
                <c:pt idx="2">
                  <c:v>6.04</c:v>
                </c:pt>
                <c:pt idx="3">
                  <c:v>6.04</c:v>
                </c:pt>
                <c:pt idx="4">
                  <c:v>6.05</c:v>
                </c:pt>
                <c:pt idx="5">
                  <c:v>6.04</c:v>
                </c:pt>
                <c:pt idx="6">
                  <c:v>6.03</c:v>
                </c:pt>
                <c:pt idx="7">
                  <c:v>6.04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9-4412-B96E-1F25C85E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3888"/>
        <c:axId val="8212640"/>
      </c:scatterChart>
      <c:valAx>
        <c:axId val="82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640"/>
        <c:crosses val="autoZero"/>
        <c:crossBetween val="midCat"/>
      </c:valAx>
      <c:valAx>
        <c:axId val="82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SuppSheet22!$C$7:$C$15</c:f>
              <c:numCache>
                <c:formatCode>0.0</c:formatCode>
                <c:ptCount val="9"/>
                <c:pt idx="0">
                  <c:v>0</c:v>
                </c:pt>
                <c:pt idx="1">
                  <c:v>1.6499999999650754</c:v>
                </c:pt>
                <c:pt idx="2">
                  <c:v>3.4166666666278616</c:v>
                </c:pt>
                <c:pt idx="3">
                  <c:v>5.1500000000232831</c:v>
                </c:pt>
                <c:pt idx="4">
                  <c:v>7.0166666666627862</c:v>
                </c:pt>
                <c:pt idx="5">
                  <c:v>8.7333333333372138</c:v>
                </c:pt>
                <c:pt idx="6">
                  <c:v>10.699999999953434</c:v>
                </c:pt>
                <c:pt idx="7">
                  <c:v>14.200000000011642</c:v>
                </c:pt>
                <c:pt idx="8">
                  <c:v>26.549999999930151</c:v>
                </c:pt>
              </c:numCache>
            </c:numRef>
          </c:xVal>
          <c:yVal>
            <c:numRef>
              <c:f>SuppSheet22!$D$7:$D$15</c:f>
              <c:numCache>
                <c:formatCode>0.000</c:formatCode>
                <c:ptCount val="9"/>
                <c:pt idx="0">
                  <c:v>4.3999999999999997E-2</c:v>
                </c:pt>
                <c:pt idx="1">
                  <c:v>5.0999999999999997E-2</c:v>
                </c:pt>
                <c:pt idx="2">
                  <c:v>6.7000000000000004E-2</c:v>
                </c:pt>
                <c:pt idx="3">
                  <c:v>9.7000000000000003E-2</c:v>
                </c:pt>
                <c:pt idx="4">
                  <c:v>0.14699999999999999</c:v>
                </c:pt>
                <c:pt idx="5">
                  <c:v>0.16500000000000001</c:v>
                </c:pt>
                <c:pt idx="6">
                  <c:v>0.16900000000000001</c:v>
                </c:pt>
                <c:pt idx="7">
                  <c:v>0.17</c:v>
                </c:pt>
                <c:pt idx="8">
                  <c:v>0.16200000000000001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7-46DF-8A77-C6DD6BD2BD2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SuppSheet22!$C$7:$C$15</c:f>
              <c:numCache>
                <c:formatCode>0.0</c:formatCode>
                <c:ptCount val="9"/>
                <c:pt idx="0">
                  <c:v>0</c:v>
                </c:pt>
                <c:pt idx="1">
                  <c:v>1.6499999999650754</c:v>
                </c:pt>
                <c:pt idx="2">
                  <c:v>3.4166666666278616</c:v>
                </c:pt>
                <c:pt idx="3">
                  <c:v>5.1500000000232831</c:v>
                </c:pt>
                <c:pt idx="4">
                  <c:v>7.0166666666627862</c:v>
                </c:pt>
                <c:pt idx="5">
                  <c:v>8.7333333333372138</c:v>
                </c:pt>
                <c:pt idx="6">
                  <c:v>10.699999999953434</c:v>
                </c:pt>
                <c:pt idx="7">
                  <c:v>14.200000000011642</c:v>
                </c:pt>
                <c:pt idx="8">
                  <c:v>26.549999999930151</c:v>
                </c:pt>
              </c:numCache>
            </c:numRef>
          </c:xVal>
          <c:yVal>
            <c:numRef>
              <c:f>SuppSheet22!$E$7:$E$15</c:f>
              <c:numCache>
                <c:formatCode>0.000</c:formatCode>
                <c:ptCount val="9"/>
                <c:pt idx="0">
                  <c:v>4.3999999999999997E-2</c:v>
                </c:pt>
                <c:pt idx="1">
                  <c:v>0.05</c:v>
                </c:pt>
                <c:pt idx="2">
                  <c:v>6.3E-2</c:v>
                </c:pt>
                <c:pt idx="3">
                  <c:v>8.5000000000000006E-2</c:v>
                </c:pt>
                <c:pt idx="4">
                  <c:v>0.13800000000000001</c:v>
                </c:pt>
                <c:pt idx="5">
                  <c:v>0.17499999999999999</c:v>
                </c:pt>
                <c:pt idx="6">
                  <c:v>0.184</c:v>
                </c:pt>
                <c:pt idx="7">
                  <c:v>0.185</c:v>
                </c:pt>
                <c:pt idx="8">
                  <c:v>0.17399999999999999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7-46DF-8A77-C6DD6BD2BD2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SuppSheet22!$C$7:$C$15</c:f>
              <c:numCache>
                <c:formatCode>0.0</c:formatCode>
                <c:ptCount val="9"/>
                <c:pt idx="0">
                  <c:v>0</c:v>
                </c:pt>
                <c:pt idx="1">
                  <c:v>1.6499999999650754</c:v>
                </c:pt>
                <c:pt idx="2">
                  <c:v>3.4166666666278616</c:v>
                </c:pt>
                <c:pt idx="3">
                  <c:v>5.1500000000232831</c:v>
                </c:pt>
                <c:pt idx="4">
                  <c:v>7.0166666666627862</c:v>
                </c:pt>
                <c:pt idx="5">
                  <c:v>8.7333333333372138</c:v>
                </c:pt>
                <c:pt idx="6">
                  <c:v>10.699999999953434</c:v>
                </c:pt>
                <c:pt idx="7">
                  <c:v>14.200000000011642</c:v>
                </c:pt>
                <c:pt idx="8">
                  <c:v>26.549999999930151</c:v>
                </c:pt>
              </c:numCache>
            </c:numRef>
          </c:xVal>
          <c:yVal>
            <c:numRef>
              <c:f>SuppSheet22!$F$7:$F$15</c:f>
              <c:numCache>
                <c:formatCode>0.000</c:formatCode>
                <c:ptCount val="9"/>
                <c:pt idx="0">
                  <c:v>4.3999999999999997E-2</c:v>
                </c:pt>
                <c:pt idx="1">
                  <c:v>4.9000000000000002E-2</c:v>
                </c:pt>
                <c:pt idx="2">
                  <c:v>5.8999999999999997E-2</c:v>
                </c:pt>
                <c:pt idx="3">
                  <c:v>7.4999999999999997E-2</c:v>
                </c:pt>
                <c:pt idx="4">
                  <c:v>0.11799999999999999</c:v>
                </c:pt>
                <c:pt idx="5">
                  <c:v>0.17599999999999999</c:v>
                </c:pt>
                <c:pt idx="6">
                  <c:v>0.19400000000000001</c:v>
                </c:pt>
                <c:pt idx="7">
                  <c:v>0.19600000000000001</c:v>
                </c:pt>
                <c:pt idx="8">
                  <c:v>0.182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27-46DF-8A77-C6DD6BD2BD2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SuppSheet22!$C$7:$C$15</c:f>
              <c:numCache>
                <c:formatCode>0.0</c:formatCode>
                <c:ptCount val="9"/>
                <c:pt idx="0">
                  <c:v>0</c:v>
                </c:pt>
                <c:pt idx="1">
                  <c:v>1.6499999999650754</c:v>
                </c:pt>
                <c:pt idx="2">
                  <c:v>3.4166666666278616</c:v>
                </c:pt>
                <c:pt idx="3">
                  <c:v>5.1500000000232831</c:v>
                </c:pt>
                <c:pt idx="4">
                  <c:v>7.0166666666627862</c:v>
                </c:pt>
                <c:pt idx="5">
                  <c:v>8.7333333333372138</c:v>
                </c:pt>
                <c:pt idx="6">
                  <c:v>10.699999999953434</c:v>
                </c:pt>
                <c:pt idx="7">
                  <c:v>14.200000000011642</c:v>
                </c:pt>
                <c:pt idx="8">
                  <c:v>26.549999999930151</c:v>
                </c:pt>
              </c:numCache>
            </c:numRef>
          </c:xVal>
          <c:yVal>
            <c:numRef>
              <c:f>SuppSheet22!$G$7:$G$15</c:f>
              <c:numCache>
                <c:formatCode>0.000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-2E-3</c:v>
                </c:pt>
                <c:pt idx="6">
                  <c:v>1E-3</c:v>
                </c:pt>
                <c:pt idx="7">
                  <c:v>1E-3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27-46DF-8A77-C6DD6BD2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3888"/>
        <c:axId val="8212640"/>
      </c:scatterChart>
      <c:valAx>
        <c:axId val="82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640"/>
        <c:crosses val="autoZero"/>
        <c:crossBetween val="midCat"/>
      </c:valAx>
      <c:valAx>
        <c:axId val="82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409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SuppSheet22!$AP$7:$AP$12</c:f>
                <c:numCache>
                  <c:formatCode>General</c:formatCode>
                  <c:ptCount val="6"/>
                  <c:pt idx="0">
                    <c:v>5.1431447691044629E-2</c:v>
                  </c:pt>
                  <c:pt idx="1">
                    <c:v>3.4660596190724861E-2</c:v>
                  </c:pt>
                  <c:pt idx="2">
                    <c:v>4.354382880935205E-2</c:v>
                  </c:pt>
                  <c:pt idx="3">
                    <c:v>5.1443253312071183E-2</c:v>
                  </c:pt>
                  <c:pt idx="4">
                    <c:v>8.0928664112997317E-2</c:v>
                  </c:pt>
                  <c:pt idx="5">
                    <c:v>1.156189909572191E-2</c:v>
                  </c:pt>
                </c:numCache>
              </c:numRef>
            </c:plus>
            <c:minus>
              <c:numRef>
                <c:f>SuppSheet22!$AP$7:$AP$12</c:f>
                <c:numCache>
                  <c:formatCode>General</c:formatCode>
                  <c:ptCount val="6"/>
                  <c:pt idx="0">
                    <c:v>5.1431447691044629E-2</c:v>
                  </c:pt>
                  <c:pt idx="1">
                    <c:v>3.4660596190724861E-2</c:v>
                  </c:pt>
                  <c:pt idx="2">
                    <c:v>4.354382880935205E-2</c:v>
                  </c:pt>
                  <c:pt idx="3">
                    <c:v>5.1443253312071183E-2</c:v>
                  </c:pt>
                  <c:pt idx="4">
                    <c:v>8.0928664112997317E-2</c:v>
                  </c:pt>
                  <c:pt idx="5">
                    <c:v>1.156189909572191E-2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SuppSheet22!$C$7:$C$12</c:f>
              <c:numCache>
                <c:formatCode>0.0</c:formatCode>
                <c:ptCount val="6"/>
                <c:pt idx="0">
                  <c:v>0</c:v>
                </c:pt>
                <c:pt idx="1">
                  <c:v>1.6499999999650754</c:v>
                </c:pt>
                <c:pt idx="2">
                  <c:v>3.4166666666278616</c:v>
                </c:pt>
                <c:pt idx="3">
                  <c:v>5.1500000000232831</c:v>
                </c:pt>
                <c:pt idx="4">
                  <c:v>7.0166666666627862</c:v>
                </c:pt>
                <c:pt idx="5">
                  <c:v>8.7333333333372138</c:v>
                </c:pt>
              </c:numCache>
            </c:numRef>
          </c:xVal>
          <c:yVal>
            <c:numRef>
              <c:f>SuppSheet22!$AO$7:$AO$12</c:f>
              <c:numCache>
                <c:formatCode>0.00</c:formatCode>
                <c:ptCount val="6"/>
                <c:pt idx="0">
                  <c:v>0.44072681704260647</c:v>
                </c:pt>
                <c:pt idx="1">
                  <c:v>0.35592878761422497</c:v>
                </c:pt>
                <c:pt idx="2">
                  <c:v>0.34175084175084175</c:v>
                </c:pt>
                <c:pt idx="3">
                  <c:v>0.35227938236787798</c:v>
                </c:pt>
                <c:pt idx="4">
                  <c:v>0.38830364385049121</c:v>
                </c:pt>
                <c:pt idx="5">
                  <c:v>0.43790481952006455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A-470D-994C-E0B0D47791BE}"/>
            </c:ext>
          </c:extLst>
        </c:ser>
        <c:ser>
          <c:idx val="1"/>
          <c:order val="1"/>
          <c:tx>
            <c:v>403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SuppSheet22!$AU$7:$AU$12</c:f>
                <c:numCache>
                  <c:formatCode>General</c:formatCode>
                  <c:ptCount val="6"/>
                  <c:pt idx="0">
                    <c:v>5.1431447691044629E-2</c:v>
                  </c:pt>
                  <c:pt idx="1">
                    <c:v>3.4660596190724841E-2</c:v>
                  </c:pt>
                  <c:pt idx="2">
                    <c:v>4.354382880935205E-2</c:v>
                  </c:pt>
                  <c:pt idx="3">
                    <c:v>5.144325331207162E-2</c:v>
                  </c:pt>
                  <c:pt idx="4">
                    <c:v>8.0928664112997137E-2</c:v>
                  </c:pt>
                  <c:pt idx="5">
                    <c:v>1.1561899095721905E-2</c:v>
                  </c:pt>
                </c:numCache>
              </c:numRef>
            </c:plus>
            <c:minus>
              <c:numRef>
                <c:f>SuppSheet22!$AU$7:$AU$12</c:f>
                <c:numCache>
                  <c:formatCode>General</c:formatCode>
                  <c:ptCount val="6"/>
                  <c:pt idx="0">
                    <c:v>5.1431447691044629E-2</c:v>
                  </c:pt>
                  <c:pt idx="1">
                    <c:v>3.4660596190724841E-2</c:v>
                  </c:pt>
                  <c:pt idx="2">
                    <c:v>4.354382880935205E-2</c:v>
                  </c:pt>
                  <c:pt idx="3">
                    <c:v>5.144325331207162E-2</c:v>
                  </c:pt>
                  <c:pt idx="4">
                    <c:v>8.0928664112997137E-2</c:v>
                  </c:pt>
                  <c:pt idx="5">
                    <c:v>1.1561899095721905E-2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SuppSheet22!$C$7:$C$12</c:f>
              <c:numCache>
                <c:formatCode>0.0</c:formatCode>
                <c:ptCount val="6"/>
                <c:pt idx="0">
                  <c:v>0</c:v>
                </c:pt>
                <c:pt idx="1">
                  <c:v>1.6499999999650754</c:v>
                </c:pt>
                <c:pt idx="2">
                  <c:v>3.4166666666278616</c:v>
                </c:pt>
                <c:pt idx="3">
                  <c:v>5.1500000000232831</c:v>
                </c:pt>
                <c:pt idx="4">
                  <c:v>7.0166666666627862</c:v>
                </c:pt>
                <c:pt idx="5">
                  <c:v>8.7333333333372138</c:v>
                </c:pt>
              </c:numCache>
            </c:numRef>
          </c:xVal>
          <c:yVal>
            <c:numRef>
              <c:f>SuppSheet22!$AT$7:$AT$12</c:f>
              <c:numCache>
                <c:formatCode>0.00</c:formatCode>
                <c:ptCount val="6"/>
                <c:pt idx="0">
                  <c:v>0.55927318295739348</c:v>
                </c:pt>
                <c:pt idx="1">
                  <c:v>0.64407121238577492</c:v>
                </c:pt>
                <c:pt idx="2">
                  <c:v>0.65824915824915819</c:v>
                </c:pt>
                <c:pt idx="3">
                  <c:v>0.64772061763212208</c:v>
                </c:pt>
                <c:pt idx="4">
                  <c:v>0.61169635614950868</c:v>
                </c:pt>
                <c:pt idx="5">
                  <c:v>0.56209518047993556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A-470D-994C-E0B0D477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52144"/>
        <c:axId val="546545256"/>
      </c:scatterChart>
      <c:valAx>
        <c:axId val="54655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45256"/>
        <c:crosses val="autoZero"/>
        <c:crossBetween val="midCat"/>
      </c:valAx>
      <c:valAx>
        <c:axId val="5465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5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7" Type="http://schemas.openxmlformats.org/officeDocument/2006/relationships/chart" Target="../charts/chart86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6" Type="http://schemas.openxmlformats.org/officeDocument/2006/relationships/chart" Target="../charts/chart85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4" Type="http://schemas.openxmlformats.org/officeDocument/2006/relationships/chart" Target="../charts/chart99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4" Type="http://schemas.openxmlformats.org/officeDocument/2006/relationships/chart" Target="../charts/chart103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6.xml"/><Relationship Id="rId2" Type="http://schemas.openxmlformats.org/officeDocument/2006/relationships/chart" Target="../charts/chart105.xml"/><Relationship Id="rId1" Type="http://schemas.openxmlformats.org/officeDocument/2006/relationships/chart" Target="../charts/chart104.xml"/><Relationship Id="rId4" Type="http://schemas.openxmlformats.org/officeDocument/2006/relationships/chart" Target="../charts/chart107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0.xml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Relationship Id="rId4" Type="http://schemas.openxmlformats.org/officeDocument/2006/relationships/chart" Target="../charts/chart11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1.xml"/><Relationship Id="rId3" Type="http://schemas.openxmlformats.org/officeDocument/2006/relationships/chart" Target="../charts/chart116.xml"/><Relationship Id="rId7" Type="http://schemas.openxmlformats.org/officeDocument/2006/relationships/chart" Target="../charts/chart120.xml"/><Relationship Id="rId2" Type="http://schemas.openxmlformats.org/officeDocument/2006/relationships/chart" Target="../charts/chart115.xml"/><Relationship Id="rId1" Type="http://schemas.openxmlformats.org/officeDocument/2006/relationships/chart" Target="../charts/chart114.xml"/><Relationship Id="rId6" Type="http://schemas.openxmlformats.org/officeDocument/2006/relationships/chart" Target="../charts/chart119.xml"/><Relationship Id="rId11" Type="http://schemas.openxmlformats.org/officeDocument/2006/relationships/chart" Target="../charts/chart124.xml"/><Relationship Id="rId5" Type="http://schemas.openxmlformats.org/officeDocument/2006/relationships/chart" Target="../charts/chart118.xml"/><Relationship Id="rId10" Type="http://schemas.openxmlformats.org/officeDocument/2006/relationships/chart" Target="../charts/chart123.xml"/><Relationship Id="rId4" Type="http://schemas.openxmlformats.org/officeDocument/2006/relationships/chart" Target="../charts/chart117.xml"/><Relationship Id="rId9" Type="http://schemas.openxmlformats.org/officeDocument/2006/relationships/chart" Target="../charts/chart1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8658</xdr:colOff>
      <xdr:row>2</xdr:row>
      <xdr:rowOff>83898</xdr:rowOff>
    </xdr:from>
    <xdr:to>
      <xdr:col>12</xdr:col>
      <xdr:colOff>310634</xdr:colOff>
      <xdr:row>20</xdr:row>
      <xdr:rowOff>42810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EB90D-15E5-4ACE-B243-83717FF10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17185</xdr:colOff>
      <xdr:row>21</xdr:row>
      <xdr:rowOff>103840</xdr:rowOff>
    </xdr:from>
    <xdr:to>
      <xdr:col>12</xdr:col>
      <xdr:colOff>271183</xdr:colOff>
      <xdr:row>38</xdr:row>
      <xdr:rowOff>156883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C8EC8-EFD0-4F90-8B48-A320FE1AF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470398</xdr:colOff>
      <xdr:row>21</xdr:row>
      <xdr:rowOff>103909</xdr:rowOff>
    </xdr:from>
    <xdr:to>
      <xdr:col>23</xdr:col>
      <xdr:colOff>406400</xdr:colOff>
      <xdr:row>38</xdr:row>
      <xdr:rowOff>173182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F15D6-F574-4085-9D54-9562857C1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63307</xdr:colOff>
      <xdr:row>60</xdr:row>
      <xdr:rowOff>113723</xdr:rowOff>
    </xdr:from>
    <xdr:to>
      <xdr:col>12</xdr:col>
      <xdr:colOff>269248</xdr:colOff>
      <xdr:row>79</xdr:row>
      <xdr:rowOff>121227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F19186-AF71-4BA6-9E11-BDCD3999C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71966</xdr:colOff>
      <xdr:row>81</xdr:row>
      <xdr:rowOff>63500</xdr:rowOff>
    </xdr:from>
    <xdr:to>
      <xdr:col>12</xdr:col>
      <xdr:colOff>277907</xdr:colOff>
      <xdr:row>99</xdr:row>
      <xdr:rowOff>119529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DB458C-6C45-483B-95D5-91D870E39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46566</xdr:colOff>
      <xdr:row>100</xdr:row>
      <xdr:rowOff>101601</xdr:rowOff>
    </xdr:from>
    <xdr:to>
      <xdr:col>12</xdr:col>
      <xdr:colOff>252507</xdr:colOff>
      <xdr:row>118</xdr:row>
      <xdr:rowOff>95251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83408A-4007-46C9-8BFE-E573DB919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468408</xdr:colOff>
      <xdr:row>2</xdr:row>
      <xdr:rowOff>95250</xdr:rowOff>
    </xdr:from>
    <xdr:to>
      <xdr:col>23</xdr:col>
      <xdr:colOff>415637</xdr:colOff>
      <xdr:row>20</xdr:row>
      <xdr:rowOff>43295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6EEB30-E41F-497B-84AF-F29F8885D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487332</xdr:colOff>
      <xdr:row>40</xdr:row>
      <xdr:rowOff>94628</xdr:rowOff>
    </xdr:from>
    <xdr:to>
      <xdr:col>23</xdr:col>
      <xdr:colOff>423334</xdr:colOff>
      <xdr:row>57</xdr:row>
      <xdr:rowOff>75203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4604A7-73B3-4C03-96C0-E73A70D5F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493568</xdr:colOff>
      <xdr:row>60</xdr:row>
      <xdr:rowOff>88900</xdr:rowOff>
    </xdr:from>
    <xdr:to>
      <xdr:col>23</xdr:col>
      <xdr:colOff>406977</xdr:colOff>
      <xdr:row>79</xdr:row>
      <xdr:rowOff>144929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ACB3E0-AD37-4D06-8018-BEEBE4DF2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586316</xdr:colOff>
      <xdr:row>81</xdr:row>
      <xdr:rowOff>12700</xdr:rowOff>
    </xdr:from>
    <xdr:to>
      <xdr:col>23</xdr:col>
      <xdr:colOff>201707</xdr:colOff>
      <xdr:row>99</xdr:row>
      <xdr:rowOff>68729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891A15E-3C12-468D-ADCD-04EA52BD1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673</xdr:colOff>
      <xdr:row>100</xdr:row>
      <xdr:rowOff>50800</xdr:rowOff>
    </xdr:from>
    <xdr:to>
      <xdr:col>23</xdr:col>
      <xdr:colOff>176307</xdr:colOff>
      <xdr:row>118</xdr:row>
      <xdr:rowOff>106829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F6CA1E-21F1-4276-80FF-6CEA4F81E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24</xdr:row>
      <xdr:rowOff>0</xdr:rowOff>
    </xdr:from>
    <xdr:to>
      <xdr:col>14</xdr:col>
      <xdr:colOff>466725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EB937-44FA-452F-9A5C-0B7DDF224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23</xdr:row>
      <xdr:rowOff>180975</xdr:rowOff>
    </xdr:from>
    <xdr:to>
      <xdr:col>22</xdr:col>
      <xdr:colOff>139700</xdr:colOff>
      <xdr:row>38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8B1857-E982-4D69-BB67-6BD1F9E6E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139170</xdr:colOff>
      <xdr:row>23</xdr:row>
      <xdr:rowOff>176211</xdr:rowOff>
    </xdr:from>
    <xdr:to>
      <xdr:col>29</xdr:col>
      <xdr:colOff>228070</xdr:colOff>
      <xdr:row>38</xdr:row>
      <xdr:rowOff>68262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A18392-3FF1-42C4-9973-467E9249B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47625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EB8675-8F0E-45BB-B277-17EEBA56B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577273</xdr:colOff>
      <xdr:row>24</xdr:row>
      <xdr:rowOff>1</xdr:rowOff>
    </xdr:from>
    <xdr:to>
      <xdr:col>14</xdr:col>
      <xdr:colOff>298450</xdr:colOff>
      <xdr:row>38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CD4A0-C1AB-4181-BB08-059AADF22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294409</xdr:colOff>
      <xdr:row>24</xdr:row>
      <xdr:rowOff>0</xdr:rowOff>
    </xdr:from>
    <xdr:to>
      <xdr:col>21</xdr:col>
      <xdr:colOff>537249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4409E2-2E15-4AD5-B83A-7112CF0A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537153</xdr:colOff>
      <xdr:row>23</xdr:row>
      <xdr:rowOff>182562</xdr:rowOff>
    </xdr:from>
    <xdr:to>
      <xdr:col>28</xdr:col>
      <xdr:colOff>378980</xdr:colOff>
      <xdr:row>38</xdr:row>
      <xdr:rowOff>74035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65E01E-EFEF-4A54-8187-ED743D20B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6</xdr:col>
      <xdr:colOff>595842</xdr:colOff>
      <xdr:row>38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5E94C4-D174-40CE-B7E9-7F77064C5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6</xdr:col>
      <xdr:colOff>482600</xdr:colOff>
      <xdr:row>47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F2D2C-F54C-440D-82D4-D2F4898A6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33</xdr:row>
      <xdr:rowOff>0</xdr:rowOff>
    </xdr:from>
    <xdr:to>
      <xdr:col>14</xdr:col>
      <xdr:colOff>631825</xdr:colOff>
      <xdr:row>47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8F172B-3425-41F3-A118-B37C3FD7C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628650</xdr:colOff>
      <xdr:row>33</xdr:row>
      <xdr:rowOff>0</xdr:rowOff>
    </xdr:from>
    <xdr:to>
      <xdr:col>22</xdr:col>
      <xdr:colOff>206375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4F47CC-B975-4B13-914B-15B9FCC9F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120650</xdr:colOff>
      <xdr:row>32</xdr:row>
      <xdr:rowOff>180975</xdr:rowOff>
    </xdr:from>
    <xdr:to>
      <xdr:col>36</xdr:col>
      <xdr:colOff>101600</xdr:colOff>
      <xdr:row>50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91032F-A011-4D33-9F97-9CBA50902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196850</xdr:colOff>
      <xdr:row>32</xdr:row>
      <xdr:rowOff>182562</xdr:rowOff>
    </xdr:from>
    <xdr:to>
      <xdr:col>29</xdr:col>
      <xdr:colOff>127000</xdr:colOff>
      <xdr:row>47</xdr:row>
      <xdr:rowOff>74612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BC496F-E868-4E0A-9A59-98F1D57BD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563193</xdr:colOff>
      <xdr:row>34</xdr:row>
      <xdr:rowOff>182676</xdr:rowOff>
    </xdr:from>
    <xdr:to>
      <xdr:col>14</xdr:col>
      <xdr:colOff>258393</xdr:colOff>
      <xdr:row>49</xdr:row>
      <xdr:rowOff>73668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627F6-732A-4BC8-8621-E99AF420F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259645</xdr:colOff>
      <xdr:row>35</xdr:row>
      <xdr:rowOff>705</xdr:rowOff>
    </xdr:from>
    <xdr:to>
      <xdr:col>21</xdr:col>
      <xdr:colOff>619832</xdr:colOff>
      <xdr:row>49</xdr:row>
      <xdr:rowOff>78670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DDBF51-EADF-45AF-959B-2697D7920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603251</xdr:colOff>
      <xdr:row>35</xdr:row>
      <xdr:rowOff>2</xdr:rowOff>
    </xdr:from>
    <xdr:to>
      <xdr:col>28</xdr:col>
      <xdr:colOff>464128</xdr:colOff>
      <xdr:row>49</xdr:row>
      <xdr:rowOff>80818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BDD5E7-B049-4ED4-A07F-599B5EBAA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456045</xdr:colOff>
      <xdr:row>34</xdr:row>
      <xdr:rowOff>183765</xdr:rowOff>
    </xdr:from>
    <xdr:to>
      <xdr:col>36</xdr:col>
      <xdr:colOff>62344</xdr:colOff>
      <xdr:row>49</xdr:row>
      <xdr:rowOff>86591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9537E6-DFD8-4669-BFF2-209BF1D0E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49</xdr:row>
      <xdr:rowOff>76905</xdr:rowOff>
    </xdr:from>
    <xdr:to>
      <xdr:col>6</xdr:col>
      <xdr:colOff>361950</xdr:colOff>
      <xdr:row>64</xdr:row>
      <xdr:rowOff>67733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382467-C5BD-486F-B57E-EB0F78E22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6</xdr:col>
      <xdr:colOff>565855</xdr:colOff>
      <xdr:row>49</xdr:row>
      <xdr:rowOff>69144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202780-8161-430D-B490-B69A3F92A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31</xdr:row>
      <xdr:rowOff>0</xdr:rowOff>
    </xdr:from>
    <xdr:to>
      <xdr:col>14</xdr:col>
      <xdr:colOff>95250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4181C-5F12-4FEF-8B15-13BE1A3BE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85725</xdr:colOff>
      <xdr:row>30</xdr:row>
      <xdr:rowOff>180975</xdr:rowOff>
    </xdr:from>
    <xdr:to>
      <xdr:col>21</xdr:col>
      <xdr:colOff>390525</xdr:colOff>
      <xdr:row>45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99B898-B99F-4455-BA04-D6D079C2E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91</xdr:col>
      <xdr:colOff>0</xdr:colOff>
      <xdr:row>1</xdr:row>
      <xdr:rowOff>0</xdr:rowOff>
    </xdr:from>
    <xdr:to>
      <xdr:col>98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2ADE36-5D53-4CEC-BA54-572CAE880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69850</xdr:rowOff>
    </xdr:from>
    <xdr:to>
      <xdr:col>6</xdr:col>
      <xdr:colOff>419100</xdr:colOff>
      <xdr:row>59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7C4CA3-4588-4D59-BE42-2B6C3160E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101600</xdr:colOff>
      <xdr:row>45</xdr:row>
      <xdr:rowOff>82550</xdr:rowOff>
    </xdr:from>
    <xdr:to>
      <xdr:col>21</xdr:col>
      <xdr:colOff>406400</xdr:colOff>
      <xdr:row>59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5A15E3-D0C5-4ABF-ACEF-538EF6C66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412750</xdr:colOff>
      <xdr:row>45</xdr:row>
      <xdr:rowOff>82550</xdr:rowOff>
    </xdr:from>
    <xdr:to>
      <xdr:col>14</xdr:col>
      <xdr:colOff>107950</xdr:colOff>
      <xdr:row>59</xdr:row>
      <xdr:rowOff>149225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32DABE-8355-4AB4-862A-1C9747460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6</xdr:col>
      <xdr:colOff>419100</xdr:colOff>
      <xdr:row>45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7FA25B-6614-4BFC-AAFC-7DDB98137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387350</xdr:colOff>
      <xdr:row>31</xdr:row>
      <xdr:rowOff>0</xdr:rowOff>
    </xdr:from>
    <xdr:to>
      <xdr:col>29</xdr:col>
      <xdr:colOff>82550</xdr:colOff>
      <xdr:row>45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F49E61-8300-44C5-BFCA-00479057D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6</xdr:col>
      <xdr:colOff>428625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871E3-2043-485C-8A36-19F384A4C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40</xdr:row>
      <xdr:rowOff>82550</xdr:rowOff>
    </xdr:from>
    <xdr:to>
      <xdr:col>6</xdr:col>
      <xdr:colOff>434975</xdr:colOff>
      <xdr:row>54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E0B18-09FF-4C5B-9656-BC674B2DF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91</xdr:col>
      <xdr:colOff>0</xdr:colOff>
      <xdr:row>1</xdr:row>
      <xdr:rowOff>0</xdr:rowOff>
    </xdr:from>
    <xdr:to>
      <xdr:col>98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2F23C7-F6A1-4F88-97EC-A30D696ED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412750</xdr:colOff>
      <xdr:row>26</xdr:row>
      <xdr:rowOff>0</xdr:rowOff>
    </xdr:from>
    <xdr:to>
      <xdr:col>14</xdr:col>
      <xdr:colOff>107950</xdr:colOff>
      <xdr:row>40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20B149-50E7-4DBD-BA45-0090E1105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101600</xdr:colOff>
      <xdr:row>26</xdr:row>
      <xdr:rowOff>0</xdr:rowOff>
    </xdr:from>
    <xdr:to>
      <xdr:col>21</xdr:col>
      <xdr:colOff>349250</xdr:colOff>
      <xdr:row>40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92A72A-B278-421F-997A-4ADEE6FC6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101600</xdr:colOff>
      <xdr:row>40</xdr:row>
      <xdr:rowOff>76200</xdr:rowOff>
    </xdr:from>
    <xdr:to>
      <xdr:col>21</xdr:col>
      <xdr:colOff>349250</xdr:colOff>
      <xdr:row>54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2D5539-FFFD-4E52-8D81-EAD789ED7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342900</xdr:colOff>
      <xdr:row>26</xdr:row>
      <xdr:rowOff>0</xdr:rowOff>
    </xdr:from>
    <xdr:to>
      <xdr:col>29</xdr:col>
      <xdr:colOff>38100</xdr:colOff>
      <xdr:row>40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4B3B71-9AA1-4AA5-8190-016EDF16F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91</xdr:col>
      <xdr:colOff>0</xdr:colOff>
      <xdr:row>1</xdr:row>
      <xdr:rowOff>0</xdr:rowOff>
    </xdr:from>
    <xdr:to>
      <xdr:col>98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5FDC8-3F9A-442D-8F7A-75C7197F5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6</xdr:col>
      <xdr:colOff>266700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0CE779-4FCB-4FAE-B7BF-8CD36D632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82550</xdr:rowOff>
    </xdr:from>
    <xdr:to>
      <xdr:col>6</xdr:col>
      <xdr:colOff>266700</xdr:colOff>
      <xdr:row>50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5F5F32-98DD-4970-8AE4-9769811E8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234950</xdr:colOff>
      <xdr:row>22</xdr:row>
      <xdr:rowOff>0</xdr:rowOff>
    </xdr:from>
    <xdr:to>
      <xdr:col>13</xdr:col>
      <xdr:colOff>244475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588496-5E7D-49CD-BCD6-A14691039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234950</xdr:colOff>
      <xdr:row>21</xdr:row>
      <xdr:rowOff>177800</xdr:rowOff>
    </xdr:from>
    <xdr:to>
      <xdr:col>20</xdr:col>
      <xdr:colOff>539750</xdr:colOff>
      <xdr:row>36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D0B40D-60F1-48C2-83FC-7C8970339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234950</xdr:colOff>
      <xdr:row>36</xdr:row>
      <xdr:rowOff>82550</xdr:rowOff>
    </xdr:from>
    <xdr:to>
      <xdr:col>20</xdr:col>
      <xdr:colOff>539750</xdr:colOff>
      <xdr:row>50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1B0652-0C56-4F98-9101-C71901B61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544286</xdr:colOff>
      <xdr:row>21</xdr:row>
      <xdr:rowOff>153080</xdr:rowOff>
    </xdr:from>
    <xdr:to>
      <xdr:col>28</xdr:col>
      <xdr:colOff>151267</xdr:colOff>
      <xdr:row>36</xdr:row>
      <xdr:rowOff>29483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D02D01-349E-47C8-AF3A-87932F4F1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282575</xdr:colOff>
      <xdr:row>24</xdr:row>
      <xdr:rowOff>180975</xdr:rowOff>
    </xdr:from>
    <xdr:to>
      <xdr:col>21</xdr:col>
      <xdr:colOff>425450</xdr:colOff>
      <xdr:row>39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4F431-4509-4FAA-80E7-98C9E3333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6</xdr:col>
      <xdr:colOff>533400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0424E8-0E88-4C44-8410-F5A6A33E0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527050</xdr:colOff>
      <xdr:row>25</xdr:row>
      <xdr:rowOff>0</xdr:rowOff>
    </xdr:from>
    <xdr:to>
      <xdr:col>14</xdr:col>
      <xdr:colOff>288925</xdr:colOff>
      <xdr:row>39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927818-65BE-4CED-AD5B-9C9C7382F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91</xdr:col>
      <xdr:colOff>0</xdr:colOff>
      <xdr:row>1</xdr:row>
      <xdr:rowOff>0</xdr:rowOff>
    </xdr:from>
    <xdr:to>
      <xdr:col>98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D7C76-7EEC-4627-989C-50D7255DD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69850</xdr:rowOff>
    </xdr:from>
    <xdr:to>
      <xdr:col>6</xdr:col>
      <xdr:colOff>371475</xdr:colOff>
      <xdr:row>50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F96886-AB5B-47E1-A1E7-6B25D68AE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366712</xdr:colOff>
      <xdr:row>22</xdr:row>
      <xdr:rowOff>0</xdr:rowOff>
    </xdr:from>
    <xdr:to>
      <xdr:col>14</xdr:col>
      <xdr:colOff>4762</xdr:colOff>
      <xdr:row>36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65D690-E0B6-4D39-8697-CBF3D7984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4762</xdr:colOff>
      <xdr:row>22</xdr:row>
      <xdr:rowOff>3175</xdr:rowOff>
    </xdr:from>
    <xdr:to>
      <xdr:col>21</xdr:col>
      <xdr:colOff>309562</xdr:colOff>
      <xdr:row>36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6FF3C4-6E0A-446A-A97F-0696B3862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36</xdr:row>
      <xdr:rowOff>66675</xdr:rowOff>
    </xdr:from>
    <xdr:to>
      <xdr:col>21</xdr:col>
      <xdr:colOff>304800</xdr:colOff>
      <xdr:row>50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7B9C6C-2995-4CE7-9DBD-ED09033DB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6</xdr:col>
      <xdr:colOff>371475</xdr:colOff>
      <xdr:row>36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345D68-80BA-4F21-A057-9C2722D48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304800</xdr:colOff>
      <xdr:row>22</xdr:row>
      <xdr:rowOff>6350</xdr:rowOff>
    </xdr:from>
    <xdr:to>
      <xdr:col>28</xdr:col>
      <xdr:colOff>609600</xdr:colOff>
      <xdr:row>36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1E4314-CE0A-4E33-82BB-FDE7ED39D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25</xdr:row>
      <xdr:rowOff>0</xdr:rowOff>
    </xdr:from>
    <xdr:to>
      <xdr:col>14</xdr:col>
      <xdr:colOff>146050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AD970-944A-4E01-B980-EB81F9EC0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146050</xdr:colOff>
      <xdr:row>25</xdr:row>
      <xdr:rowOff>0</xdr:rowOff>
    </xdr:from>
    <xdr:to>
      <xdr:col>21</xdr:col>
      <xdr:colOff>222250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4B1500-AECF-43EF-95E4-A940DBBCF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6</xdr:col>
      <xdr:colOff>466725</xdr:colOff>
      <xdr:row>39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6E4D5E-F933-43E2-BD0C-BD3543011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6</xdr:col>
      <xdr:colOff>600075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A2C0C-683D-4650-85F5-8928DDE05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596900</xdr:colOff>
      <xdr:row>22</xdr:row>
      <xdr:rowOff>0</xdr:rowOff>
    </xdr:from>
    <xdr:to>
      <xdr:col>14</xdr:col>
      <xdr:colOff>292100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BD14A3-521A-42EB-B89D-32D074CAC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22</xdr:row>
      <xdr:rowOff>0</xdr:rowOff>
    </xdr:from>
    <xdr:to>
      <xdr:col>21</xdr:col>
      <xdr:colOff>596900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3B75AF-D7F9-4A6A-8E88-4F13721B4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6</xdr:col>
      <xdr:colOff>533400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62640-2259-48D8-B720-899A36DA7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34</xdr:row>
      <xdr:rowOff>0</xdr:rowOff>
    </xdr:from>
    <xdr:to>
      <xdr:col>14</xdr:col>
      <xdr:colOff>228600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7E982-E34E-42A8-AA63-0714AE20C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34</xdr:row>
      <xdr:rowOff>0</xdr:rowOff>
    </xdr:from>
    <xdr:to>
      <xdr:col>21</xdr:col>
      <xdr:colOff>533400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9F761C-9E7D-4B1D-B8E0-9576E8FC2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530225</xdr:colOff>
      <xdr:row>24</xdr:row>
      <xdr:rowOff>180975</xdr:rowOff>
    </xdr:from>
    <xdr:to>
      <xdr:col>14</xdr:col>
      <xdr:colOff>225425</xdr:colOff>
      <xdr:row>39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DD7B4-407C-4BBB-9E29-CF93044A1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225425</xdr:colOff>
      <xdr:row>25</xdr:row>
      <xdr:rowOff>0</xdr:rowOff>
    </xdr:from>
    <xdr:to>
      <xdr:col>21</xdr:col>
      <xdr:colOff>539750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3E31F-228D-4F69-B140-4872B2521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6</xdr:col>
      <xdr:colOff>533400</xdr:colOff>
      <xdr:row>39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E45501-93C5-404E-A304-B1760913F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26</xdr:row>
      <xdr:rowOff>177800</xdr:rowOff>
    </xdr:from>
    <xdr:to>
      <xdr:col>14</xdr:col>
      <xdr:colOff>228600</xdr:colOff>
      <xdr:row>41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B460F-8DF8-4771-8344-15B571F7D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215900</xdr:colOff>
      <xdr:row>26</xdr:row>
      <xdr:rowOff>177800</xdr:rowOff>
    </xdr:from>
    <xdr:to>
      <xdr:col>21</xdr:col>
      <xdr:colOff>158750</xdr:colOff>
      <xdr:row>41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ECDC8-A866-4964-91B9-68A57D9CC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533400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CD7738-9A64-4B5C-BCDF-6CF2AB22D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165100</xdr:colOff>
      <xdr:row>26</xdr:row>
      <xdr:rowOff>177800</xdr:rowOff>
    </xdr:from>
    <xdr:to>
      <xdr:col>27</xdr:col>
      <xdr:colOff>565150</xdr:colOff>
      <xdr:row>41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F40DCF-5859-4737-A885-17AA976BF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25</xdr:row>
      <xdr:rowOff>3175</xdr:rowOff>
    </xdr:from>
    <xdr:to>
      <xdr:col>14</xdr:col>
      <xdr:colOff>457200</xdr:colOff>
      <xdr:row>39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2EDA1-F00A-42A3-A07D-753D7EABB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463550</xdr:colOff>
      <xdr:row>25</xdr:row>
      <xdr:rowOff>6350</xdr:rowOff>
    </xdr:from>
    <xdr:to>
      <xdr:col>21</xdr:col>
      <xdr:colOff>539750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CB665-A127-41B8-ACD5-4CE49B176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541337</xdr:colOff>
      <xdr:row>25</xdr:row>
      <xdr:rowOff>7937</xdr:rowOff>
    </xdr:from>
    <xdr:to>
      <xdr:col>29</xdr:col>
      <xdr:colOff>58737</xdr:colOff>
      <xdr:row>39</xdr:row>
      <xdr:rowOff>84137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B477A9-F03A-4E97-92DF-912389001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6</xdr:col>
      <xdr:colOff>600075</xdr:colOff>
      <xdr:row>39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5A901-7BC2-441B-AAA7-1A18855DE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7</xdr:col>
      <xdr:colOff>47625</xdr:colOff>
      <xdr:row>47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A0438-C815-4CCC-A383-E4CF65BDF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33</xdr:row>
      <xdr:rowOff>0</xdr:rowOff>
    </xdr:from>
    <xdr:to>
      <xdr:col>14</xdr:col>
      <xdr:colOff>352425</xdr:colOff>
      <xdr:row>47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B54911-F453-41F6-87D5-3952DCF6E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352425</xdr:colOff>
      <xdr:row>33</xdr:row>
      <xdr:rowOff>0</xdr:rowOff>
    </xdr:from>
    <xdr:to>
      <xdr:col>22</xdr:col>
      <xdr:colOff>47625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4C6574-D46F-4ACB-A8F5-63E5B4663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44450</xdr:colOff>
      <xdr:row>33</xdr:row>
      <xdr:rowOff>0</xdr:rowOff>
    </xdr:from>
    <xdr:to>
      <xdr:col>28</xdr:col>
      <xdr:colOff>603250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5FD64E-DB28-4899-8BB0-8925DF46F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530225</xdr:colOff>
      <xdr:row>27</xdr:row>
      <xdr:rowOff>0</xdr:rowOff>
    </xdr:from>
    <xdr:to>
      <xdr:col>14</xdr:col>
      <xdr:colOff>282575</xdr:colOff>
      <xdr:row>41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D3CC5-9256-4622-8B7C-3C10F76C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279400</xdr:colOff>
      <xdr:row>27</xdr:row>
      <xdr:rowOff>0</xdr:rowOff>
    </xdr:from>
    <xdr:to>
      <xdr:col>21</xdr:col>
      <xdr:colOff>387350</xdr:colOff>
      <xdr:row>41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3710F4-CA4F-482B-9630-98A52F432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6</xdr:col>
      <xdr:colOff>533400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30A94E-C6B4-4581-B29B-2882C2690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374650</xdr:colOff>
      <xdr:row>27</xdr:row>
      <xdr:rowOff>0</xdr:rowOff>
    </xdr:from>
    <xdr:to>
      <xdr:col>28</xdr:col>
      <xdr:colOff>342900</xdr:colOff>
      <xdr:row>41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93A53E-922D-4431-9C39-734C61C5B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7</xdr:col>
      <xdr:colOff>304800</xdr:colOff>
      <xdr:row>40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C2459-CF76-494E-91C0-9E4950D23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6</xdr:col>
      <xdr:colOff>487124</xdr:colOff>
      <xdr:row>36</xdr:row>
      <xdr:rowOff>166159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17800-9D8B-462E-8953-154E7725A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302277</xdr:colOff>
      <xdr:row>36</xdr:row>
      <xdr:rowOff>67029</xdr:rowOff>
    </xdr:from>
    <xdr:to>
      <xdr:col>26</xdr:col>
      <xdr:colOff>279400</xdr:colOff>
      <xdr:row>50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B381E-0CF5-40C2-BE73-18130E418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307622</xdr:colOff>
      <xdr:row>21</xdr:row>
      <xdr:rowOff>182030</xdr:rowOff>
    </xdr:from>
    <xdr:to>
      <xdr:col>26</xdr:col>
      <xdr:colOff>279129</xdr:colOff>
      <xdr:row>36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D3C3F-1740-4A72-BB80-60BD7C811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176212</xdr:colOff>
      <xdr:row>129</xdr:row>
      <xdr:rowOff>166687</xdr:rowOff>
    </xdr:from>
    <xdr:to>
      <xdr:col>31</xdr:col>
      <xdr:colOff>366712</xdr:colOff>
      <xdr:row>144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889320-FE36-4B9D-8F8B-19136B0E6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185737</xdr:colOff>
      <xdr:row>144</xdr:row>
      <xdr:rowOff>71437</xdr:rowOff>
    </xdr:from>
    <xdr:to>
      <xdr:col>31</xdr:col>
      <xdr:colOff>376237</xdr:colOff>
      <xdr:row>158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99C084-5EA7-4068-BD2B-611C6B6A7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185737</xdr:colOff>
      <xdr:row>158</xdr:row>
      <xdr:rowOff>166687</xdr:rowOff>
    </xdr:from>
    <xdr:to>
      <xdr:col>31</xdr:col>
      <xdr:colOff>376237</xdr:colOff>
      <xdr:row>173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44DE50-531E-4A46-80A1-36148CF13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130</xdr:row>
      <xdr:rowOff>0</xdr:rowOff>
    </xdr:from>
    <xdr:to>
      <xdr:col>39</xdr:col>
      <xdr:colOff>304800</xdr:colOff>
      <xdr:row>144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0C2C90-E6FE-4F39-8E84-2D6A7D1C4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238125</xdr:colOff>
      <xdr:row>130</xdr:row>
      <xdr:rowOff>142875</xdr:rowOff>
    </xdr:from>
    <xdr:to>
      <xdr:col>59</xdr:col>
      <xdr:colOff>352425</xdr:colOff>
      <xdr:row>145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D4C7E4-EF78-4D73-9134-3ACE309DF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285750</xdr:colOff>
      <xdr:row>145</xdr:row>
      <xdr:rowOff>47625</xdr:rowOff>
    </xdr:from>
    <xdr:to>
      <xdr:col>59</xdr:col>
      <xdr:colOff>400050</xdr:colOff>
      <xdr:row>159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33C1BE-34A9-482D-BA8B-3AC57BA27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5</xdr:col>
      <xdr:colOff>403911</xdr:colOff>
      <xdr:row>36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67E564-B892-4AE7-B2C5-47D6F7FB4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402167</xdr:colOff>
      <xdr:row>22</xdr:row>
      <xdr:rowOff>0</xdr:rowOff>
    </xdr:from>
    <xdr:to>
      <xdr:col>12</xdr:col>
      <xdr:colOff>193757</xdr:colOff>
      <xdr:row>36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99098DB-3A4D-4D13-B3A5-028A4B855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176389</xdr:colOff>
      <xdr:row>22</xdr:row>
      <xdr:rowOff>0</xdr:rowOff>
    </xdr:from>
    <xdr:to>
      <xdr:col>19</xdr:col>
      <xdr:colOff>304801</xdr:colOff>
      <xdr:row>36</xdr:row>
      <xdr:rowOff>77082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F72146-FEBB-40C4-A18A-56F15C806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6</xdr:col>
      <xdr:colOff>600075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25C4E-4522-40FD-99CB-17155DE77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23</xdr:row>
      <xdr:rowOff>0</xdr:rowOff>
    </xdr:from>
    <xdr:to>
      <xdr:col>14</xdr:col>
      <xdr:colOff>285749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C9C6F8-7533-4C52-A393-D541EA5E4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285750</xdr:colOff>
      <xdr:row>23</xdr:row>
      <xdr:rowOff>6350</xdr:rowOff>
    </xdr:from>
    <xdr:to>
      <xdr:col>21</xdr:col>
      <xdr:colOff>361950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8172D-2D65-4452-8BD8-FF88046F8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6</xdr:col>
      <xdr:colOff>533400</xdr:colOff>
      <xdr:row>46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6B695-F3E8-4C87-B6A3-D08A3190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32</xdr:row>
      <xdr:rowOff>0</xdr:rowOff>
    </xdr:from>
    <xdr:to>
      <xdr:col>14</xdr:col>
      <xdr:colOff>228600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3C3EA5-01E5-4A15-9D26-FE094D254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32</xdr:row>
      <xdr:rowOff>0</xdr:rowOff>
    </xdr:from>
    <xdr:to>
      <xdr:col>21</xdr:col>
      <xdr:colOff>466725</xdr:colOff>
      <xdr:row>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2ADC93-E0F2-4DC3-8150-F3BE7228C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6</xdr:col>
      <xdr:colOff>438150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6BB98-2B2E-4F8C-9BDB-61DCCCED6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26</xdr:row>
      <xdr:rowOff>0</xdr:rowOff>
    </xdr:from>
    <xdr:to>
      <xdr:col>14</xdr:col>
      <xdr:colOff>133350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40000F-F8C5-4278-A4E8-0EDCB0C15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133350</xdr:colOff>
      <xdr:row>26</xdr:row>
      <xdr:rowOff>6350</xdr:rowOff>
    </xdr:from>
    <xdr:to>
      <xdr:col>21</xdr:col>
      <xdr:colOff>438150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EF585F-BA2E-4E5D-920F-00D065D77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6</xdr:col>
      <xdr:colOff>522239</xdr:colOff>
      <xdr:row>37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3C82F-31BE-4F51-BC1D-B9EA99089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520700</xdr:colOff>
      <xdr:row>23</xdr:row>
      <xdr:rowOff>0</xdr:rowOff>
    </xdr:from>
    <xdr:to>
      <xdr:col>14</xdr:col>
      <xdr:colOff>212437</xdr:colOff>
      <xdr:row>37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C21302-5039-496F-99AA-707DE7F3B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209550</xdr:colOff>
      <xdr:row>23</xdr:row>
      <xdr:rowOff>0</xdr:rowOff>
    </xdr:from>
    <xdr:to>
      <xdr:col>21</xdr:col>
      <xdr:colOff>503189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363FDA-6DF8-43FC-A8AC-C001871C6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6</xdr:col>
      <xdr:colOff>596901</xdr:colOff>
      <xdr:row>36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60BD3-0C0C-4CE8-A3AE-A756BEF57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22</xdr:row>
      <xdr:rowOff>0</xdr:rowOff>
    </xdr:from>
    <xdr:to>
      <xdr:col>14</xdr:col>
      <xdr:colOff>281517</xdr:colOff>
      <xdr:row>36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BF89EF-F5B1-4C8C-B013-02746128C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279400</xdr:colOff>
      <xdr:row>22</xdr:row>
      <xdr:rowOff>0</xdr:rowOff>
    </xdr:from>
    <xdr:to>
      <xdr:col>21</xdr:col>
      <xdr:colOff>581026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49B749-DFE7-4F40-8C8E-92527B860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536863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9903E-8759-4031-847A-B17427E31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30</xdr:row>
      <xdr:rowOff>0</xdr:rowOff>
    </xdr:from>
    <xdr:to>
      <xdr:col>14</xdr:col>
      <xdr:colOff>232063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17649-574B-4BF8-AF0A-D91E937EA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30</xdr:row>
      <xdr:rowOff>0</xdr:rowOff>
    </xdr:from>
    <xdr:to>
      <xdr:col>21</xdr:col>
      <xdr:colOff>536863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E72D0-CE00-447A-AD06-79C9BAE06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187325</xdr:colOff>
      <xdr:row>25</xdr:row>
      <xdr:rowOff>0</xdr:rowOff>
    </xdr:from>
    <xdr:to>
      <xdr:col>21</xdr:col>
      <xdr:colOff>276225</xdr:colOff>
      <xdr:row>39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D8697-B141-478E-AD2B-9ED79A1BF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6</xdr:col>
      <xdr:colOff>504825</xdr:colOff>
      <xdr:row>39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5A52CC-B6F2-4BAF-AADC-CA6FB370B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501650</xdr:colOff>
      <xdr:row>25</xdr:row>
      <xdr:rowOff>0</xdr:rowOff>
    </xdr:from>
    <xdr:to>
      <xdr:col>14</xdr:col>
      <xdr:colOff>196850</xdr:colOff>
      <xdr:row>39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DA6D62-CDD3-4D31-929F-BB89A10AB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87z649/Documents/DATA/Beck,%20Ashley/18_OAcid_inhibition/220519_SynCom_final/22_Collection%20of%20data%20and%20graphs%20-%20Alis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G1655WT"/>
      <sheetName val="307G100"/>
      <sheetName val="403G100"/>
      <sheetName val="604G100"/>
      <sheetName val="pH calcs"/>
    </sheetNames>
    <sheetDataSet>
      <sheetData sheetId="0">
        <row r="6">
          <cell r="AE6">
            <v>0</v>
          </cell>
          <cell r="AF6">
            <v>-3.5333333333333332E-3</v>
          </cell>
          <cell r="AG6">
            <v>4.7173438854225301E-3</v>
          </cell>
          <cell r="AL6">
            <v>0</v>
          </cell>
          <cell r="AM6">
            <v>6.8000000000000005E-3</v>
          </cell>
          <cell r="AN6">
            <v>1.4797634946166227E-2</v>
          </cell>
          <cell r="AS6">
            <v>0</v>
          </cell>
          <cell r="AT6">
            <v>-2.8999999999999998E-3</v>
          </cell>
          <cell r="AU6">
            <v>7.3776690085690343E-3</v>
          </cell>
        </row>
        <row r="7">
          <cell r="AE7">
            <v>7.0000000000000007E-2</v>
          </cell>
          <cell r="AF7">
            <v>7.5200000000000003E-2</v>
          </cell>
          <cell r="AG7">
            <v>3.0446674695276681E-3</v>
          </cell>
          <cell r="AL7">
            <v>7.0000000000000007E-2</v>
          </cell>
          <cell r="AM7">
            <v>0.1368</v>
          </cell>
          <cell r="AN7">
            <v>8.4480767041972323E-3</v>
          </cell>
          <cell r="AS7">
            <v>7.0000000000000007E-2</v>
          </cell>
          <cell r="AT7">
            <v>0.11720000000000001</v>
          </cell>
          <cell r="AU7">
            <v>2.6057628441590792E-3</v>
          </cell>
        </row>
        <row r="8">
          <cell r="AE8">
            <v>0.17499999999999999</v>
          </cell>
          <cell r="AF8">
            <v>9.3600000000000003E-2</v>
          </cell>
          <cell r="AG8">
            <v>1.9924858845171245E-3</v>
          </cell>
          <cell r="AL8">
            <v>0.17499999999999999</v>
          </cell>
          <cell r="AM8">
            <v>0.2016</v>
          </cell>
          <cell r="AN8">
            <v>6.1611687202997433E-3</v>
          </cell>
          <cell r="AS8">
            <v>0.17499999999999999</v>
          </cell>
        </row>
        <row r="9">
          <cell r="AE9">
            <v>0.35</v>
          </cell>
          <cell r="AF9">
            <v>0.12839999999999999</v>
          </cell>
          <cell r="AG9">
            <v>2.2516660498395485E-3</v>
          </cell>
          <cell r="AL9">
            <v>0.35</v>
          </cell>
          <cell r="AM9">
            <v>0.19266666666666665</v>
          </cell>
          <cell r="AN9">
            <v>3.2624121954978927E-3</v>
          </cell>
          <cell r="AS9">
            <v>0.35</v>
          </cell>
          <cell r="AT9">
            <v>6.4899999999999999E-2</v>
          </cell>
          <cell r="AU9">
            <v>2.1166010488516728E-3</v>
          </cell>
        </row>
        <row r="10">
          <cell r="AE10">
            <v>0.7</v>
          </cell>
          <cell r="AF10">
            <v>0.21106666666666665</v>
          </cell>
          <cell r="AG10">
            <v>5.084617324178216E-3</v>
          </cell>
          <cell r="AL10">
            <v>0.7</v>
          </cell>
          <cell r="AM10">
            <v>0.14419999999999999</v>
          </cell>
          <cell r="AN10">
            <v>2.8513154858766558E-3</v>
          </cell>
          <cell r="AS10">
            <v>0.7</v>
          </cell>
          <cell r="AT10">
            <v>4.7166666666666662E-2</v>
          </cell>
          <cell r="AU10">
            <v>8.953956295031526E-3</v>
          </cell>
        </row>
        <row r="11">
          <cell r="AE11">
            <v>1.4</v>
          </cell>
          <cell r="AF11">
            <v>0.2056</v>
          </cell>
          <cell r="AG11">
            <v>2.7712812921102193E-3</v>
          </cell>
          <cell r="AL11">
            <v>1.4</v>
          </cell>
          <cell r="AM11">
            <v>8.0166666666666664E-2</v>
          </cell>
          <cell r="AN11">
            <v>7.563949585589088E-3</v>
          </cell>
          <cell r="AS11">
            <v>1.4</v>
          </cell>
          <cell r="AT11">
            <v>2.8266666666666666E-2</v>
          </cell>
          <cell r="AU11">
            <v>8.4358362557207904E-3</v>
          </cell>
        </row>
        <row r="12">
          <cell r="AE12">
            <v>3.5</v>
          </cell>
          <cell r="AF12">
            <v>0.16056666666666666</v>
          </cell>
          <cell r="AG12">
            <v>3.667878587594384E-3</v>
          </cell>
          <cell r="AL12">
            <v>3.5</v>
          </cell>
          <cell r="AM12">
            <v>5.7100000000000005E-2</v>
          </cell>
          <cell r="AN12">
            <v>3.8157568056677808E-3</v>
          </cell>
          <cell r="AS12">
            <v>3.5</v>
          </cell>
          <cell r="AT12">
            <v>-1.1666666666666665E-2</v>
          </cell>
          <cell r="AU12">
            <v>1.2423096769056148E-2</v>
          </cell>
        </row>
        <row r="13">
          <cell r="AE13">
            <v>5.6</v>
          </cell>
          <cell r="AF13">
            <v>0.12893333333333334</v>
          </cell>
          <cell r="AG13">
            <v>9.5007017284689816E-3</v>
          </cell>
          <cell r="AL13">
            <v>5.6</v>
          </cell>
          <cell r="AM13">
            <v>3.0533333333333332E-2</v>
          </cell>
          <cell r="AN13">
            <v>8.3715789032495803E-3</v>
          </cell>
          <cell r="AS13">
            <v>5.6</v>
          </cell>
          <cell r="AT13">
            <v>-6.3333333333333332E-3</v>
          </cell>
          <cell r="AU13">
            <v>7.0945988845975885E-3</v>
          </cell>
        </row>
        <row r="14">
          <cell r="AE14">
            <v>7</v>
          </cell>
          <cell r="AF14">
            <v>9.853333333333332E-2</v>
          </cell>
          <cell r="AG14">
            <v>4.1476901202155058E-3</v>
          </cell>
          <cell r="AL14">
            <v>7</v>
          </cell>
          <cell r="AM14">
            <v>8.3999999999999995E-3</v>
          </cell>
          <cell r="AN14">
            <v>1.5071828024496565E-2</v>
          </cell>
          <cell r="AS14">
            <v>7</v>
          </cell>
          <cell r="AT14">
            <v>-4.3333333333333297E-3</v>
          </cell>
          <cell r="AU14">
            <v>5.773502691896258E-4</v>
          </cell>
        </row>
        <row r="17">
          <cell r="AE17">
            <v>0</v>
          </cell>
          <cell r="AF17">
            <v>0.549925</v>
          </cell>
          <cell r="AG17">
            <v>4.1867847647886914E-3</v>
          </cell>
          <cell r="AL17">
            <v>0</v>
          </cell>
          <cell r="AM17">
            <v>0.35699999999999998</v>
          </cell>
          <cell r="AN17">
            <v>6.0000000000000001E-3</v>
          </cell>
          <cell r="AS17">
            <v>0</v>
          </cell>
          <cell r="AT17">
            <v>0.219</v>
          </cell>
          <cell r="AU17">
            <v>4.0000000000000001E-3</v>
          </cell>
        </row>
        <row r="18">
          <cell r="AE18">
            <v>7.0000000000000007E-2</v>
          </cell>
          <cell r="AF18">
            <v>0.52580000000000005</v>
          </cell>
          <cell r="AG18">
            <v>9.3541434669348715E-3</v>
          </cell>
          <cell r="AL18">
            <v>7.0000000000000007E-2</v>
          </cell>
          <cell r="AM18">
            <v>0.316</v>
          </cell>
          <cell r="AN18">
            <v>1E-3</v>
          </cell>
          <cell r="AS18">
            <v>7.0000000000000007E-2</v>
          </cell>
          <cell r="AT18">
            <v>0.128</v>
          </cell>
          <cell r="AU18">
            <v>1E-3</v>
          </cell>
        </row>
        <row r="19">
          <cell r="AE19">
            <v>0.14000000000000001</v>
          </cell>
          <cell r="AF19">
            <v>0.55317500000000008</v>
          </cell>
          <cell r="AG19">
            <v>7.6216249361055911E-3</v>
          </cell>
          <cell r="AL19">
            <v>0.35</v>
          </cell>
          <cell r="AM19">
            <v>0.18</v>
          </cell>
          <cell r="AN19">
            <v>1.0999999999999999E-2</v>
          </cell>
          <cell r="AS19">
            <v>0.35</v>
          </cell>
          <cell r="AT19">
            <v>4.5999999999999999E-2</v>
          </cell>
          <cell r="AU19">
            <v>0</v>
          </cell>
        </row>
        <row r="20">
          <cell r="AE20">
            <v>0.35</v>
          </cell>
          <cell r="AF20">
            <v>0.5554</v>
          </cell>
          <cell r="AG20">
            <v>1.6881745565353514E-2</v>
          </cell>
          <cell r="AL20">
            <v>0.7</v>
          </cell>
          <cell r="AM20">
            <v>8.5999999999999993E-2</v>
          </cell>
          <cell r="AN20">
            <v>1E-3</v>
          </cell>
          <cell r="AS20">
            <v>0.7</v>
          </cell>
          <cell r="AT20">
            <v>2.3E-2</v>
          </cell>
          <cell r="AU20">
            <v>2E-3</v>
          </cell>
        </row>
        <row r="21">
          <cell r="AE21">
            <v>0.7</v>
          </cell>
          <cell r="AF21">
            <v>0.45129999999999998</v>
          </cell>
          <cell r="AG21">
            <v>1.4719601443879758E-3</v>
          </cell>
          <cell r="AL21">
            <v>1.4</v>
          </cell>
          <cell r="AM21">
            <v>6.6000000000000003E-2</v>
          </cell>
          <cell r="AN21">
            <v>2E-3</v>
          </cell>
          <cell r="AS21">
            <v>1.4</v>
          </cell>
          <cell r="AT21">
            <v>1.9E-2</v>
          </cell>
          <cell r="AU21">
            <v>5.0000000000000001E-3</v>
          </cell>
        </row>
        <row r="22">
          <cell r="AE22">
            <v>1.4</v>
          </cell>
          <cell r="AF22">
            <v>0.41197499999999998</v>
          </cell>
          <cell r="AG22">
            <v>1.9362764954072909E-3</v>
          </cell>
          <cell r="AL22">
            <v>3.5</v>
          </cell>
          <cell r="AM22">
            <v>2.9000000000000001E-2</v>
          </cell>
          <cell r="AN22">
            <v>3.0000000000000001E-3</v>
          </cell>
          <cell r="AS22">
            <v>3.5</v>
          </cell>
          <cell r="AT22">
            <v>1.4999999999999999E-2</v>
          </cell>
          <cell r="AU22">
            <v>7.0000000000000001E-3</v>
          </cell>
        </row>
        <row r="23">
          <cell r="AE23">
            <v>3.5</v>
          </cell>
          <cell r="AF23">
            <v>0.22867499999999999</v>
          </cell>
          <cell r="AG23">
            <v>1.4885675440951022E-3</v>
          </cell>
          <cell r="AL23">
            <v>5.6</v>
          </cell>
          <cell r="AM23">
            <v>1.9E-2</v>
          </cell>
          <cell r="AN23">
            <v>2E-3</v>
          </cell>
          <cell r="AS23">
            <v>5.6</v>
          </cell>
          <cell r="AT23">
            <v>5.0000000000000001E-3</v>
          </cell>
          <cell r="AU23">
            <v>4.0000000000000001E-3</v>
          </cell>
        </row>
        <row r="24">
          <cell r="AE24">
            <v>7</v>
          </cell>
          <cell r="AF24">
            <v>8.0074999999999993E-2</v>
          </cell>
          <cell r="AG24">
            <v>9.3364429343657483E-3</v>
          </cell>
          <cell r="AL24">
            <v>7</v>
          </cell>
          <cell r="AM24">
            <v>1.4E-2</v>
          </cell>
          <cell r="AN24">
            <v>0</v>
          </cell>
          <cell r="AS24">
            <v>7</v>
          </cell>
          <cell r="AT24">
            <v>5.0000000000000001E-3</v>
          </cell>
          <cell r="AU24">
            <v>4.0000000000000001E-3</v>
          </cell>
        </row>
        <row r="25">
          <cell r="AL25">
            <v>10.5</v>
          </cell>
          <cell r="AM25">
            <v>7.0000000000000001E-3</v>
          </cell>
          <cell r="AN25">
            <v>3.0000000000000001E-3</v>
          </cell>
          <cell r="AS25">
            <v>10.5</v>
          </cell>
          <cell r="AT25">
            <v>1E-3</v>
          </cell>
          <cell r="AU25">
            <v>2E-3</v>
          </cell>
        </row>
        <row r="28">
          <cell r="AE28">
            <v>0</v>
          </cell>
          <cell r="AF28">
            <v>0.74099999999999999</v>
          </cell>
          <cell r="AG28">
            <v>4.0000000000000001E-3</v>
          </cell>
          <cell r="AL28">
            <v>0</v>
          </cell>
          <cell r="AM28">
            <v>0.42</v>
          </cell>
          <cell r="AN28">
            <v>1.2E-2</v>
          </cell>
          <cell r="AS28">
            <v>0</v>
          </cell>
          <cell r="AT28">
            <v>0.26226666666666665</v>
          </cell>
          <cell r="AU28">
            <v>3.8682468035705114E-3</v>
          </cell>
        </row>
        <row r="29">
          <cell r="AE29">
            <v>7.0000000000000007E-2</v>
          </cell>
          <cell r="AF29">
            <v>0.73599999999999999</v>
          </cell>
          <cell r="AG29">
            <v>0</v>
          </cell>
          <cell r="AL29">
            <v>7.0000000000000007E-2</v>
          </cell>
          <cell r="AM29">
            <v>0.42699999999999999</v>
          </cell>
          <cell r="AN29">
            <v>2E-3</v>
          </cell>
          <cell r="AS29">
            <v>7.0000000000000007E-2</v>
          </cell>
          <cell r="AT29">
            <v>0.12100000000000001</v>
          </cell>
          <cell r="AU29">
            <v>3.1176914536239801E-3</v>
          </cell>
        </row>
        <row r="30">
          <cell r="AE30">
            <v>0.17499999999999999</v>
          </cell>
          <cell r="AF30">
            <v>0.71099999999999997</v>
          </cell>
          <cell r="AG30">
            <v>8.9999999999999993E-3</v>
          </cell>
          <cell r="AL30">
            <v>0.17499999999999999</v>
          </cell>
          <cell r="AM30">
            <v>0.52600000000000002</v>
          </cell>
          <cell r="AN30">
            <v>1.4999999999999999E-2</v>
          </cell>
          <cell r="AS30">
            <v>0.17499999999999999</v>
          </cell>
          <cell r="AT30">
            <v>8.5966666666666677E-2</v>
          </cell>
          <cell r="AU30">
            <v>3.3381631675718543E-3</v>
          </cell>
        </row>
        <row r="31">
          <cell r="AE31">
            <v>0.35</v>
          </cell>
          <cell r="AF31">
            <v>0.59499999999999997</v>
          </cell>
          <cell r="AG31">
            <v>8.0000000000000002E-3</v>
          </cell>
          <cell r="AL31">
            <v>0.35</v>
          </cell>
          <cell r="AM31">
            <v>0.47699999999999998</v>
          </cell>
          <cell r="AN31">
            <v>0.01</v>
          </cell>
          <cell r="AS31">
            <v>0.35</v>
          </cell>
          <cell r="AT31">
            <v>5.2433333333333332E-2</v>
          </cell>
          <cell r="AU31">
            <v>2.0526405757787516E-3</v>
          </cell>
        </row>
        <row r="32">
          <cell r="AE32">
            <v>0.7</v>
          </cell>
          <cell r="AF32">
            <v>0.55200000000000005</v>
          </cell>
          <cell r="AG32">
            <v>5.0000000000000001E-3</v>
          </cell>
          <cell r="AL32">
            <v>0.7</v>
          </cell>
          <cell r="AM32">
            <v>0.22700000000000001</v>
          </cell>
          <cell r="AN32">
            <v>6.0000000000000001E-3</v>
          </cell>
          <cell r="AS32">
            <v>0.7</v>
          </cell>
          <cell r="AT32">
            <v>2.0866666666666662E-2</v>
          </cell>
          <cell r="AU32">
            <v>3.4933269720043856E-3</v>
          </cell>
        </row>
        <row r="33">
          <cell r="AE33">
            <v>1.4</v>
          </cell>
          <cell r="AF33">
            <v>0.59</v>
          </cell>
          <cell r="AG33">
            <v>3.0000000000000001E-3</v>
          </cell>
          <cell r="AL33">
            <v>1.4</v>
          </cell>
          <cell r="AM33">
            <v>7.2999999999999995E-2</v>
          </cell>
          <cell r="AN33">
            <v>8.9999999999999993E-3</v>
          </cell>
          <cell r="AS33">
            <v>1.4</v>
          </cell>
          <cell r="AT33">
            <v>2.1000000000000001E-2</v>
          </cell>
          <cell r="AU33">
            <v>7.8809897855535802E-3</v>
          </cell>
        </row>
        <row r="34">
          <cell r="AE34">
            <v>3.5</v>
          </cell>
          <cell r="AF34">
            <v>0.35799999999999998</v>
          </cell>
          <cell r="AG34">
            <v>0.01</v>
          </cell>
          <cell r="AL34">
            <v>3.5</v>
          </cell>
          <cell r="AM34">
            <v>3.4000000000000002E-2</v>
          </cell>
          <cell r="AN34">
            <v>5.0000000000000001E-3</v>
          </cell>
          <cell r="AS34">
            <v>3.5</v>
          </cell>
          <cell r="AT34">
            <v>2.3833333333333335E-2</v>
          </cell>
          <cell r="AU34">
            <v>2.6633312473917569E-3</v>
          </cell>
        </row>
        <row r="35">
          <cell r="AE35">
            <v>5.6</v>
          </cell>
          <cell r="AF35">
            <v>0.13600000000000001</v>
          </cell>
          <cell r="AG35">
            <v>2E-3</v>
          </cell>
        </row>
        <row r="36">
          <cell r="AE36">
            <v>7</v>
          </cell>
          <cell r="AF36">
            <v>9.6000000000000002E-2</v>
          </cell>
          <cell r="AG36">
            <v>2E-3</v>
          </cell>
        </row>
        <row r="37">
          <cell r="AE37">
            <v>10.5</v>
          </cell>
          <cell r="AF37">
            <v>7.2999999999999995E-2</v>
          </cell>
          <cell r="AG37">
            <v>1E-3</v>
          </cell>
        </row>
        <row r="40">
          <cell r="AE40">
            <v>0</v>
          </cell>
          <cell r="AF40">
            <v>8.7433333333333321E-2</v>
          </cell>
          <cell r="AG40">
            <v>2.4006943440041096E-3</v>
          </cell>
          <cell r="AL40">
            <v>0</v>
          </cell>
          <cell r="AM40">
            <v>0.13200000000000001</v>
          </cell>
          <cell r="AN40">
            <v>5.0000000000000001E-3</v>
          </cell>
          <cell r="AS40">
            <v>0</v>
          </cell>
          <cell r="AT40">
            <v>8.3333333333333329E-2</v>
          </cell>
          <cell r="AU40">
            <v>1.270170592217173E-3</v>
          </cell>
        </row>
        <row r="41">
          <cell r="AE41">
            <v>7.0000000000000007E-2</v>
          </cell>
          <cell r="AF41">
            <v>9.2100000000000001E-2</v>
          </cell>
          <cell r="AG41">
            <v>1.1313708498984691E-3</v>
          </cell>
          <cell r="AL41">
            <v>7.0000000000000007E-2</v>
          </cell>
          <cell r="AM41">
            <v>0.157</v>
          </cell>
          <cell r="AN41">
            <v>1.2999999999999999E-2</v>
          </cell>
          <cell r="AS41">
            <v>7.0000000000000007E-2</v>
          </cell>
          <cell r="AT41">
            <v>0.10780000000000001</v>
          </cell>
          <cell r="AU41">
            <v>3.7161808352124044E-3</v>
          </cell>
        </row>
        <row r="42">
          <cell r="AE42">
            <v>0.17499999999999999</v>
          </cell>
          <cell r="AF42">
            <v>0.11720000000000001</v>
          </cell>
          <cell r="AG42">
            <v>5.7506521369319477E-3</v>
          </cell>
          <cell r="AL42">
            <v>0.17499999999999999</v>
          </cell>
          <cell r="AM42">
            <v>0.16800000000000001</v>
          </cell>
          <cell r="AN42">
            <v>4.0000000000000001E-3</v>
          </cell>
          <cell r="AS42">
            <v>0.17499999999999999</v>
          </cell>
          <cell r="AT42">
            <v>7.4733333333333332E-2</v>
          </cell>
          <cell r="AU42">
            <v>1.1547005383792447E-3</v>
          </cell>
        </row>
        <row r="43">
          <cell r="AE43">
            <v>0.35</v>
          </cell>
          <cell r="AF43">
            <v>0.14546666666666666</v>
          </cell>
          <cell r="AG43">
            <v>9.2376043070339562E-4</v>
          </cell>
          <cell r="AL43">
            <v>0.35</v>
          </cell>
          <cell r="AM43">
            <v>0.14299999999999999</v>
          </cell>
          <cell r="AN43">
            <v>7.0000000000000001E-3</v>
          </cell>
          <cell r="AS43">
            <v>0.35</v>
          </cell>
          <cell r="AT43">
            <v>5.7200000000000001E-2</v>
          </cell>
          <cell r="AU43">
            <v>1.0392785959500923E-2</v>
          </cell>
        </row>
        <row r="44">
          <cell r="AE44">
            <v>0.7</v>
          </cell>
          <cell r="AF44">
            <v>0.17829999999999999</v>
          </cell>
          <cell r="AG44">
            <v>2.8618176042508286E-3</v>
          </cell>
          <cell r="AL44">
            <v>0.7</v>
          </cell>
          <cell r="AM44">
            <v>0.14199999999999999</v>
          </cell>
          <cell r="AN44">
            <v>0</v>
          </cell>
          <cell r="AS44">
            <v>0.7</v>
          </cell>
          <cell r="AT44">
            <v>1.8666666666666668E-2</v>
          </cell>
          <cell r="AU44">
            <v>2.5579940057266237E-3</v>
          </cell>
        </row>
        <row r="45">
          <cell r="AE45">
            <v>1.4</v>
          </cell>
          <cell r="AF45">
            <v>0.23500000000000001</v>
          </cell>
          <cell r="AG45">
            <v>1.3076696830621949E-3</v>
          </cell>
          <cell r="AL45">
            <v>1.4</v>
          </cell>
          <cell r="AM45">
            <v>7.5999999999999998E-2</v>
          </cell>
          <cell r="AN45">
            <v>1E-3</v>
          </cell>
          <cell r="AS45">
            <v>1.4</v>
          </cell>
          <cell r="AT45">
            <v>2.58E-2</v>
          </cell>
          <cell r="AU45">
            <v>8.5105816487476386E-3</v>
          </cell>
        </row>
        <row r="46">
          <cell r="AE46">
            <v>3.5</v>
          </cell>
          <cell r="AF46">
            <v>0.17979999999999999</v>
          </cell>
          <cell r="AG46">
            <v>1.833030277982331E-3</v>
          </cell>
          <cell r="AL46">
            <v>3.5</v>
          </cell>
          <cell r="AM46">
            <v>4.4999999999999998E-2</v>
          </cell>
          <cell r="AN46">
            <v>5.0000000000000001E-3</v>
          </cell>
          <cell r="AS46">
            <v>3.5</v>
          </cell>
          <cell r="AT46">
            <v>1.5100000000000002E-2</v>
          </cell>
          <cell r="AU46">
            <v>3.830143600441112E-3</v>
          </cell>
        </row>
        <row r="47">
          <cell r="AE47">
            <v>5.6</v>
          </cell>
          <cell r="AF47">
            <v>5.9799999999999999E-2</v>
          </cell>
          <cell r="AG47">
            <v>9.5393920141694541E-4</v>
          </cell>
          <cell r="AL47">
            <v>7</v>
          </cell>
          <cell r="AM47">
            <v>2.2599999999999999E-2</v>
          </cell>
          <cell r="AN47">
            <v>1.670329308849007E-3</v>
          </cell>
        </row>
        <row r="48">
          <cell r="AE48">
            <v>7</v>
          </cell>
          <cell r="AF48">
            <v>5.2066666666666671E-2</v>
          </cell>
          <cell r="AG48">
            <v>6.1101009266077873E-4</v>
          </cell>
        </row>
        <row r="49">
          <cell r="AE49">
            <v>10.5</v>
          </cell>
          <cell r="AF49">
            <v>3.8866666666666667E-2</v>
          </cell>
          <cell r="AG49">
            <v>1.2701705922171771E-3</v>
          </cell>
        </row>
        <row r="52">
          <cell r="AE52">
            <v>0.48999999999999994</v>
          </cell>
          <cell r="AF52">
            <v>0.14510000000000001</v>
          </cell>
          <cell r="AG52">
            <v>1.1269427669584684E-3</v>
          </cell>
          <cell r="AL52">
            <v>0</v>
          </cell>
          <cell r="AM52">
            <v>3.9799999999999995E-2</v>
          </cell>
          <cell r="AN52">
            <v>1.3683566786477858E-2</v>
          </cell>
          <cell r="AS52">
            <v>0</v>
          </cell>
        </row>
        <row r="53">
          <cell r="AE53">
            <v>0.7</v>
          </cell>
          <cell r="AF53">
            <v>0.12826666666666667</v>
          </cell>
          <cell r="AG53">
            <v>6.6583281184793891E-4</v>
          </cell>
          <cell r="AL53">
            <v>7.0000000000000007E-2</v>
          </cell>
          <cell r="AM53">
            <v>9.9100000000000008E-2</v>
          </cell>
          <cell r="AN53">
            <v>4.1327956639543679E-3</v>
          </cell>
          <cell r="AS53">
            <v>7.0000000000000007E-2</v>
          </cell>
          <cell r="AT53">
            <v>2.2633333333333335E-2</v>
          </cell>
          <cell r="AU53">
            <v>7.7693843599948879E-3</v>
          </cell>
        </row>
        <row r="54">
          <cell r="AE54">
            <v>0.84</v>
          </cell>
          <cell r="AF54">
            <v>0.14829999999999999</v>
          </cell>
          <cell r="AG54">
            <v>8.6602540378443945E-4</v>
          </cell>
          <cell r="AL54">
            <v>0.17499999999999999</v>
          </cell>
          <cell r="AM54">
            <v>0.13746666666666665</v>
          </cell>
          <cell r="AN54">
            <v>1.0730486164817201E-2</v>
          </cell>
          <cell r="AS54">
            <v>0.17499999999999999</v>
          </cell>
          <cell r="AT54">
            <v>9.2333333333333323E-2</v>
          </cell>
          <cell r="AU54">
            <v>4.2146569650842692E-3</v>
          </cell>
        </row>
        <row r="55">
          <cell r="AE55">
            <v>1.0499999999999998</v>
          </cell>
          <cell r="AF55">
            <v>0.13953333333333331</v>
          </cell>
          <cell r="AG55">
            <v>3.5118845842842497E-3</v>
          </cell>
          <cell r="AL55">
            <v>0.35</v>
          </cell>
          <cell r="AM55">
            <v>0.15826666666666667</v>
          </cell>
          <cell r="AN55">
            <v>1.8244268506392183E-2</v>
          </cell>
          <cell r="AS55">
            <v>0.35</v>
          </cell>
          <cell r="AT55">
            <v>5.4199999999999998E-2</v>
          </cell>
          <cell r="AU55">
            <v>7.4101282040190883E-3</v>
          </cell>
        </row>
        <row r="56">
          <cell r="AE56">
            <v>1.4</v>
          </cell>
          <cell r="AF56">
            <v>0.13949999999999999</v>
          </cell>
          <cell r="AG56">
            <v>1.5716233645501766E-3</v>
          </cell>
          <cell r="AL56">
            <v>0.7</v>
          </cell>
          <cell r="AM56">
            <v>0.14166666666666669</v>
          </cell>
          <cell r="AN56">
            <v>1.8369902921173294E-2</v>
          </cell>
          <cell r="AS56">
            <v>0.7</v>
          </cell>
          <cell r="AT56">
            <v>3.216666666666667E-2</v>
          </cell>
          <cell r="AU56">
            <v>6.8061246927552822E-3</v>
          </cell>
        </row>
        <row r="57">
          <cell r="AE57">
            <v>1.75</v>
          </cell>
          <cell r="AF57">
            <v>0.12783333333333333</v>
          </cell>
          <cell r="AG57">
            <v>6.3508529610859855E-4</v>
          </cell>
          <cell r="AL57">
            <v>1.4</v>
          </cell>
          <cell r="AM57">
            <v>2.6399999999999996E-2</v>
          </cell>
          <cell r="AN57">
            <v>7.2270325860618843E-3</v>
          </cell>
          <cell r="AS57">
            <v>1.4</v>
          </cell>
          <cell r="AT57">
            <v>1.4466666666666668E-2</v>
          </cell>
          <cell r="AU57">
            <v>1.0929013374195006E-2</v>
          </cell>
        </row>
        <row r="58">
          <cell r="AE58">
            <v>2.8</v>
          </cell>
          <cell r="AF58">
            <v>6.8533333333333335E-2</v>
          </cell>
          <cell r="AG58">
            <v>2.2368132093076778E-3</v>
          </cell>
          <cell r="AL58">
            <v>3.5</v>
          </cell>
        </row>
        <row r="59">
          <cell r="AE59">
            <v>3.5</v>
          </cell>
          <cell r="AF59">
            <v>4.9000000000000009E-2</v>
          </cell>
          <cell r="AG59">
            <v>8.1853527718724344E-4</v>
          </cell>
          <cell r="AL59">
            <v>5.6</v>
          </cell>
        </row>
        <row r="60">
          <cell r="AE60">
            <v>5.6</v>
          </cell>
          <cell r="AF60">
            <v>4.6699999999999998E-2</v>
          </cell>
          <cell r="AG60">
            <v>1.6178504257192625E-2</v>
          </cell>
          <cell r="AL60">
            <v>7</v>
          </cell>
        </row>
        <row r="61">
          <cell r="AE61">
            <v>7</v>
          </cell>
          <cell r="AF61">
            <v>2.2966666666666666E-2</v>
          </cell>
          <cell r="AG61">
            <v>2.5166114784235682E-4</v>
          </cell>
        </row>
        <row r="62">
          <cell r="AE62">
            <v>8.3999999999999986</v>
          </cell>
          <cell r="AF62">
            <v>2.3066666666666666E-2</v>
          </cell>
          <cell r="AG62">
            <v>1.266227994214838E-3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46B5-AA3C-4665-B186-D3EDF7AAB4A5}">
  <dimension ref="A3:F29"/>
  <sheetViews>
    <sheetView tabSelected="1" workbookViewId="0"/>
  </sheetViews>
  <sheetFormatPr defaultRowHeight="15" x14ac:dyDescent="0.25"/>
  <cols>
    <col min="1" max="1" width="12.140625" customWidth="1"/>
  </cols>
  <sheetData>
    <row r="3" spans="1:1" x14ac:dyDescent="0.25">
      <c r="A3" s="4" t="s">
        <v>0</v>
      </c>
    </row>
    <row r="4" spans="1:1" x14ac:dyDescent="0.25">
      <c r="A4" s="3"/>
    </row>
    <row r="5" spans="1:1" s="380" customFormat="1" ht="17.25" x14ac:dyDescent="0.25">
      <c r="A5" s="381" t="s">
        <v>342</v>
      </c>
    </row>
    <row r="7" spans="1:1" x14ac:dyDescent="0.25">
      <c r="A7" s="261" t="s">
        <v>1</v>
      </c>
    </row>
    <row r="8" spans="1:1" x14ac:dyDescent="0.25">
      <c r="A8" s="261" t="s">
        <v>2</v>
      </c>
    </row>
    <row r="9" spans="1:1" x14ac:dyDescent="0.25">
      <c r="A9" s="261" t="s">
        <v>3</v>
      </c>
    </row>
    <row r="10" spans="1:1" x14ac:dyDescent="0.25">
      <c r="A10" s="261" t="s">
        <v>263</v>
      </c>
    </row>
    <row r="11" spans="1:1" s="5" customFormat="1" x14ac:dyDescent="0.25">
      <c r="A11" s="261" t="s">
        <v>269</v>
      </c>
    </row>
    <row r="12" spans="1:1" x14ac:dyDescent="0.25">
      <c r="A12" s="261" t="s">
        <v>264</v>
      </c>
    </row>
    <row r="13" spans="1:1" x14ac:dyDescent="0.25">
      <c r="A13" s="261" t="s">
        <v>265</v>
      </c>
    </row>
    <row r="14" spans="1:1" x14ac:dyDescent="0.25">
      <c r="A14" s="261" t="s">
        <v>266</v>
      </c>
    </row>
    <row r="15" spans="1:1" x14ac:dyDescent="0.25">
      <c r="A15" s="261" t="s">
        <v>267</v>
      </c>
    </row>
    <row r="16" spans="1:1" x14ac:dyDescent="0.25">
      <c r="A16" s="261" t="s">
        <v>268</v>
      </c>
    </row>
    <row r="17" spans="1:6" x14ac:dyDescent="0.25">
      <c r="A17" s="261"/>
    </row>
    <row r="18" spans="1:6" x14ac:dyDescent="0.25">
      <c r="A18" s="9" t="s">
        <v>7</v>
      </c>
    </row>
    <row r="20" spans="1:6" x14ac:dyDescent="0.25">
      <c r="A20" s="5" t="s">
        <v>8</v>
      </c>
      <c r="B20" s="5" t="s">
        <v>270</v>
      </c>
      <c r="C20" s="5"/>
      <c r="D20" s="5"/>
      <c r="E20" s="5"/>
      <c r="F20" s="5"/>
    </row>
    <row r="21" spans="1:6" x14ac:dyDescent="0.25">
      <c r="A21" t="s">
        <v>343</v>
      </c>
      <c r="B21" t="s">
        <v>256</v>
      </c>
    </row>
    <row r="22" spans="1:6" x14ac:dyDescent="0.25">
      <c r="A22" t="s">
        <v>344</v>
      </c>
      <c r="B22" s="5" t="s">
        <v>257</v>
      </c>
    </row>
    <row r="23" spans="1:6" x14ac:dyDescent="0.25">
      <c r="A23" t="s">
        <v>345</v>
      </c>
      <c r="B23" s="5" t="s">
        <v>258</v>
      </c>
    </row>
    <row r="24" spans="1:6" x14ac:dyDescent="0.25">
      <c r="A24" t="s">
        <v>346</v>
      </c>
      <c r="B24" s="5" t="s">
        <v>259</v>
      </c>
    </row>
    <row r="25" spans="1:6" x14ac:dyDescent="0.25">
      <c r="A25" t="s">
        <v>347</v>
      </c>
      <c r="B25" s="5" t="s">
        <v>260</v>
      </c>
    </row>
    <row r="26" spans="1:6" x14ac:dyDescent="0.25">
      <c r="A26" s="5" t="s">
        <v>348</v>
      </c>
      <c r="B26" s="5" t="s">
        <v>261</v>
      </c>
    </row>
    <row r="27" spans="1:6" s="5" customFormat="1" x14ac:dyDescent="0.25">
      <c r="A27" t="s">
        <v>349</v>
      </c>
      <c r="B27" t="s">
        <v>262</v>
      </c>
      <c r="C27"/>
      <c r="D27"/>
      <c r="E27"/>
      <c r="F27"/>
    </row>
    <row r="29" spans="1:6" x14ac:dyDescent="0.25">
      <c r="A29" t="s">
        <v>341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BEAD-25D9-4F2D-A1D0-64EA7D384450}">
  <dimension ref="A1:AA24"/>
  <sheetViews>
    <sheetView zoomScaleNormal="100" workbookViewId="0"/>
  </sheetViews>
  <sheetFormatPr defaultColWidth="8.7109375" defaultRowHeight="15" x14ac:dyDescent="0.25"/>
  <cols>
    <col min="1" max="1" width="9.5703125" style="5" customWidth="1"/>
    <col min="2" max="2" width="14.85546875" style="5" bestFit="1" customWidth="1"/>
    <col min="3" max="14" width="8.7109375" style="5"/>
    <col min="15" max="15" width="11.85546875" style="5" bestFit="1" customWidth="1"/>
    <col min="16" max="16384" width="8.7109375" style="5"/>
  </cols>
  <sheetData>
    <row r="1" spans="1:27" x14ac:dyDescent="0.25">
      <c r="A1" s="8" t="s">
        <v>80</v>
      </c>
      <c r="D1" s="5">
        <v>20170120</v>
      </c>
    </row>
    <row r="2" spans="1:27" x14ac:dyDescent="0.25">
      <c r="A2" s="9" t="s">
        <v>68</v>
      </c>
    </row>
    <row r="3" spans="1:27" x14ac:dyDescent="0.25">
      <c r="A3" s="9" t="s">
        <v>64</v>
      </c>
    </row>
    <row r="4" spans="1:27" x14ac:dyDescent="0.25">
      <c r="D4" s="382" t="s">
        <v>12</v>
      </c>
      <c r="E4" s="383"/>
      <c r="F4" s="383"/>
      <c r="G4" s="383"/>
      <c r="H4" s="383"/>
      <c r="I4" s="384"/>
      <c r="J4" s="382" t="s">
        <v>5</v>
      </c>
      <c r="K4" s="383"/>
      <c r="L4" s="383"/>
      <c r="M4" s="383"/>
      <c r="N4" s="383"/>
      <c r="O4" s="384"/>
      <c r="P4" s="382" t="s">
        <v>13</v>
      </c>
      <c r="Q4" s="383"/>
      <c r="R4" s="383"/>
      <c r="S4" s="383"/>
      <c r="T4" s="383"/>
      <c r="U4" s="384"/>
      <c r="V4" s="382" t="s">
        <v>69</v>
      </c>
      <c r="W4" s="383"/>
      <c r="X4" s="383"/>
      <c r="Y4" s="383"/>
      <c r="Z4" s="383"/>
      <c r="AA4" s="384"/>
    </row>
    <row r="5" spans="1:27" x14ac:dyDescent="0.25">
      <c r="B5" s="73" t="s">
        <v>15</v>
      </c>
      <c r="C5" s="13" t="s">
        <v>16</v>
      </c>
      <c r="D5" s="12">
        <v>1</v>
      </c>
      <c r="E5" s="13">
        <v>2</v>
      </c>
      <c r="F5" s="13">
        <v>3</v>
      </c>
      <c r="G5" s="13" t="s">
        <v>4</v>
      </c>
      <c r="H5" s="14" t="s">
        <v>17</v>
      </c>
      <c r="I5" s="15" t="s">
        <v>18</v>
      </c>
      <c r="J5" s="12">
        <v>1</v>
      </c>
      <c r="K5" s="13">
        <v>2</v>
      </c>
      <c r="L5" s="13">
        <v>3</v>
      </c>
      <c r="M5" s="13" t="s">
        <v>4</v>
      </c>
      <c r="N5" s="14" t="s">
        <v>17</v>
      </c>
      <c r="O5" s="15" t="s">
        <v>18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5" t="s">
        <v>18</v>
      </c>
      <c r="V5" s="12">
        <v>1</v>
      </c>
      <c r="W5" s="13">
        <v>2</v>
      </c>
      <c r="X5" s="13">
        <v>3</v>
      </c>
      <c r="Y5" s="13" t="s">
        <v>4</v>
      </c>
      <c r="Z5" s="14" t="s">
        <v>17</v>
      </c>
      <c r="AA5" s="15" t="s">
        <v>18</v>
      </c>
    </row>
    <row r="6" spans="1:27" x14ac:dyDescent="0.25">
      <c r="A6" s="5" t="s">
        <v>19</v>
      </c>
      <c r="B6" s="17">
        <v>42755.51458333333</v>
      </c>
      <c r="C6" s="108">
        <f t="shared" ref="C6:C13" si="0">(B6-$B$6)*24</f>
        <v>0</v>
      </c>
      <c r="D6" s="109">
        <v>1.7999999999999999E-2</v>
      </c>
      <c r="E6" s="109">
        <v>1.7999999999999999E-2</v>
      </c>
      <c r="F6" s="109">
        <v>1.7000000000000001E-2</v>
      </c>
      <c r="G6" s="109">
        <v>1E-3</v>
      </c>
      <c r="H6" s="87">
        <f>AVERAGE(D6:F6)</f>
        <v>1.7666666666666667E-2</v>
      </c>
      <c r="I6" s="110">
        <f>STDEV(D6:F6)</f>
        <v>5.7735026918962428E-4</v>
      </c>
      <c r="J6" s="55">
        <v>7.41</v>
      </c>
      <c r="K6" s="55">
        <v>7.41</v>
      </c>
      <c r="L6" s="55">
        <v>7.41</v>
      </c>
      <c r="M6" s="55">
        <v>7.46</v>
      </c>
      <c r="N6" s="111">
        <f>AVERAGE(J6:L6)</f>
        <v>7.41</v>
      </c>
      <c r="O6" s="51">
        <f>STDEV(J6:L6)</f>
        <v>0</v>
      </c>
      <c r="P6" s="84"/>
      <c r="Q6" s="49"/>
      <c r="R6" s="49"/>
      <c r="S6" s="49"/>
      <c r="T6" s="85"/>
      <c r="U6" s="86"/>
      <c r="V6" s="84"/>
      <c r="W6" s="49"/>
      <c r="X6" s="49"/>
      <c r="Y6" s="49"/>
      <c r="Z6" s="85"/>
      <c r="AA6" s="86"/>
    </row>
    <row r="7" spans="1:27" x14ac:dyDescent="0.25">
      <c r="A7" s="5" t="s">
        <v>20</v>
      </c>
      <c r="B7" s="17">
        <v>42755.612500000003</v>
      </c>
      <c r="C7" s="112">
        <f t="shared" si="0"/>
        <v>2.3500000001513399</v>
      </c>
      <c r="D7" s="113">
        <v>2.3E-2</v>
      </c>
      <c r="E7" s="113">
        <v>2.1000000000000001E-2</v>
      </c>
      <c r="F7" s="113">
        <v>2.1999999999999999E-2</v>
      </c>
      <c r="G7" s="113">
        <v>0</v>
      </c>
      <c r="H7" s="114">
        <f t="shared" ref="H7:H15" si="1">AVERAGE(D7:F7)</f>
        <v>2.2000000000000002E-2</v>
      </c>
      <c r="I7" s="32">
        <f t="shared" ref="I7:I15" si="2">STDEV(D7:F7)</f>
        <v>9.9999999999999915E-4</v>
      </c>
      <c r="J7" s="115">
        <v>7.25</v>
      </c>
      <c r="K7" s="115">
        <v>7.24</v>
      </c>
      <c r="L7" s="115">
        <v>7.25</v>
      </c>
      <c r="M7" s="115">
        <v>7.41</v>
      </c>
      <c r="N7" s="116">
        <f t="shared" ref="N7:N12" si="3">AVERAGE(J7:L7)</f>
        <v>7.246666666666667</v>
      </c>
      <c r="O7" s="36">
        <f t="shared" ref="O7:O12" si="4">STDEV(J7:L7)</f>
        <v>5.7735026918961348E-3</v>
      </c>
      <c r="P7" s="33">
        <v>30.054962334118606</v>
      </c>
      <c r="Q7" s="34">
        <v>30.125163217868803</v>
      </c>
      <c r="R7" s="34">
        <v>30.162418003560209</v>
      </c>
      <c r="S7" s="34">
        <v>30.240058006172809</v>
      </c>
      <c r="T7" s="35">
        <f>AVERAGE(P7:R7)</f>
        <v>30.114181185182542</v>
      </c>
      <c r="U7" s="36">
        <f>STDEV(P7:R7)</f>
        <v>5.4563119460193557E-2</v>
      </c>
      <c r="V7" s="33">
        <v>0.53223825033904948</v>
      </c>
      <c r="W7" s="34">
        <v>0.52685422399598392</v>
      </c>
      <c r="X7" s="34">
        <v>0.52294618995606768</v>
      </c>
      <c r="Y7" s="90" t="s">
        <v>21</v>
      </c>
      <c r="Z7" s="35">
        <f>AVERAGE(V7:X7)</f>
        <v>0.52734622143036702</v>
      </c>
      <c r="AA7" s="36">
        <f>STDEV(V7:X7)</f>
        <v>4.6655270492008353E-3</v>
      </c>
    </row>
    <row r="8" spans="1:27" x14ac:dyDescent="0.25">
      <c r="A8" s="5" t="s">
        <v>22</v>
      </c>
      <c r="B8" s="17">
        <v>42755.704861111109</v>
      </c>
      <c r="C8" s="112">
        <f t="shared" si="0"/>
        <v>4.5666666667093523</v>
      </c>
      <c r="D8" s="113">
        <v>0.03</v>
      </c>
      <c r="E8" s="113">
        <v>2.9000000000000001E-2</v>
      </c>
      <c r="F8" s="113">
        <v>2.8000000000000001E-2</v>
      </c>
      <c r="G8" s="113">
        <v>1E-3</v>
      </c>
      <c r="H8" s="114">
        <f t="shared" si="1"/>
        <v>2.8999999999999998E-2</v>
      </c>
      <c r="I8" s="32">
        <f t="shared" si="2"/>
        <v>9.9999999999999915E-4</v>
      </c>
      <c r="J8" s="115">
        <v>7.06</v>
      </c>
      <c r="K8" s="115">
        <v>7.06</v>
      </c>
      <c r="L8" s="115">
        <v>7.06</v>
      </c>
      <c r="M8" s="115">
        <v>7.39</v>
      </c>
      <c r="N8" s="116">
        <f t="shared" si="3"/>
        <v>7.06</v>
      </c>
      <c r="O8" s="36">
        <f t="shared" si="4"/>
        <v>0</v>
      </c>
      <c r="P8" s="33"/>
      <c r="Q8" s="34"/>
      <c r="R8" s="34"/>
      <c r="S8" s="34"/>
      <c r="T8" s="35"/>
      <c r="U8" s="36"/>
      <c r="V8" s="33"/>
      <c r="W8" s="34"/>
      <c r="X8" s="34"/>
      <c r="Y8" s="90"/>
      <c r="Z8" s="35"/>
      <c r="AA8" s="36"/>
    </row>
    <row r="9" spans="1:27" x14ac:dyDescent="0.25">
      <c r="A9" s="5" t="s">
        <v>23</v>
      </c>
      <c r="B9" s="17">
        <v>42755.801388888889</v>
      </c>
      <c r="C9" s="112">
        <f t="shared" si="0"/>
        <v>6.8833333334187046</v>
      </c>
      <c r="D9" s="113">
        <v>0.04</v>
      </c>
      <c r="E9" s="113">
        <v>3.6999999999999998E-2</v>
      </c>
      <c r="F9" s="113">
        <v>3.5999999999999997E-2</v>
      </c>
      <c r="G9" s="113">
        <v>1E-3</v>
      </c>
      <c r="H9" s="114">
        <f t="shared" si="1"/>
        <v>3.7666666666666661E-2</v>
      </c>
      <c r="I9" s="32">
        <f t="shared" si="2"/>
        <v>2.0816659994661348E-3</v>
      </c>
      <c r="J9" s="115">
        <v>6.8</v>
      </c>
      <c r="K9" s="115">
        <v>6.81</v>
      </c>
      <c r="L9" s="115">
        <v>6.83</v>
      </c>
      <c r="M9" s="115">
        <v>7.36</v>
      </c>
      <c r="N9" s="116">
        <f t="shared" si="3"/>
        <v>6.8133333333333326</v>
      </c>
      <c r="O9" s="36">
        <f t="shared" si="4"/>
        <v>1.5275252316519626E-2</v>
      </c>
      <c r="P9" s="33"/>
      <c r="Q9" s="34"/>
      <c r="R9" s="34"/>
      <c r="S9" s="34"/>
      <c r="T9" s="35"/>
      <c r="U9" s="36"/>
      <c r="V9" s="33"/>
      <c r="W9" s="34"/>
      <c r="X9" s="34"/>
      <c r="Y9" s="90"/>
      <c r="Z9" s="35"/>
      <c r="AA9" s="36"/>
    </row>
    <row r="10" spans="1:27" x14ac:dyDescent="0.25">
      <c r="A10" s="5" t="s">
        <v>24</v>
      </c>
      <c r="B10" s="17">
        <v>42755.893750000003</v>
      </c>
      <c r="C10" s="112">
        <f t="shared" si="0"/>
        <v>9.1000000001513399</v>
      </c>
      <c r="D10" s="113">
        <v>5.8000000000000003E-2</v>
      </c>
      <c r="E10" s="113">
        <v>5.2999999999999999E-2</v>
      </c>
      <c r="F10" s="113">
        <v>0.05</v>
      </c>
      <c r="G10" s="113">
        <v>1E-3</v>
      </c>
      <c r="H10" s="114">
        <f t="shared" si="1"/>
        <v>5.3666666666666668E-2</v>
      </c>
      <c r="I10" s="32">
        <f t="shared" si="2"/>
        <v>4.0414518843273801E-3</v>
      </c>
      <c r="J10" s="115">
        <v>6.39</v>
      </c>
      <c r="K10" s="115">
        <v>6.45</v>
      </c>
      <c r="L10" s="115">
        <v>6.49</v>
      </c>
      <c r="M10" s="115">
        <v>7.34</v>
      </c>
      <c r="N10" s="116">
        <f t="shared" si="3"/>
        <v>6.4433333333333325</v>
      </c>
      <c r="O10" s="36">
        <f t="shared" si="4"/>
        <v>5.0332229568471942E-2</v>
      </c>
      <c r="P10" s="33"/>
      <c r="Q10" s="34"/>
      <c r="R10" s="34"/>
      <c r="S10" s="34"/>
      <c r="T10" s="35"/>
      <c r="U10" s="36"/>
      <c r="V10" s="33"/>
      <c r="W10" s="34"/>
      <c r="X10" s="34"/>
      <c r="Y10" s="90"/>
      <c r="Z10" s="35"/>
      <c r="AA10" s="36"/>
    </row>
    <row r="11" spans="1:27" x14ac:dyDescent="0.25">
      <c r="A11" s="5" t="s">
        <v>40</v>
      </c>
      <c r="B11" s="17">
        <v>42755.98333333333</v>
      </c>
      <c r="C11" s="112">
        <f t="shared" si="0"/>
        <v>11.25</v>
      </c>
      <c r="D11" s="113">
        <v>8.1000000000000003E-2</v>
      </c>
      <c r="E11" s="113">
        <v>7.5999999999999998E-2</v>
      </c>
      <c r="F11" s="113">
        <v>7.1999999999999995E-2</v>
      </c>
      <c r="G11" s="113">
        <v>1E-3</v>
      </c>
      <c r="H11" s="114">
        <f t="shared" si="1"/>
        <v>7.6333333333333322E-2</v>
      </c>
      <c r="I11" s="32">
        <f t="shared" si="2"/>
        <v>4.5092497528228985E-3</v>
      </c>
      <c r="J11" s="115">
        <v>5.16</v>
      </c>
      <c r="K11" s="115">
        <v>5.5</v>
      </c>
      <c r="L11" s="115">
        <v>5.67</v>
      </c>
      <c r="M11" s="115">
        <v>7.31</v>
      </c>
      <c r="N11" s="116">
        <f t="shared" si="3"/>
        <v>5.4433333333333325</v>
      </c>
      <c r="O11" s="36">
        <f t="shared" si="4"/>
        <v>0.25967928938083085</v>
      </c>
      <c r="P11" s="33">
        <v>26.45005120637931</v>
      </c>
      <c r="Q11" s="34">
        <v>27.815871898616848</v>
      </c>
      <c r="R11" s="34">
        <v>27.94646735190517</v>
      </c>
      <c r="S11" s="34">
        <v>30.684726377009053</v>
      </c>
      <c r="T11" s="35">
        <f t="shared" ref="T11" si="5">AVERAGE(P11:R11)</f>
        <v>27.404130152300443</v>
      </c>
      <c r="U11" s="36">
        <f t="shared" ref="U11" si="6">STDEV(P11:R11)</f>
        <v>0.82883277528846555</v>
      </c>
      <c r="V11" s="33">
        <v>5.431339596442486</v>
      </c>
      <c r="W11" s="34">
        <v>5.1739688800518859</v>
      </c>
      <c r="X11" s="34">
        <v>4.9359296538937274</v>
      </c>
      <c r="Y11" s="90" t="s">
        <v>21</v>
      </c>
      <c r="Z11" s="35">
        <f t="shared" ref="Z11" si="7">AVERAGE(V11:X11)</f>
        <v>5.1804127101293664</v>
      </c>
      <c r="AA11" s="36">
        <f t="shared" ref="AA11" si="8">STDEV(V11:X11)</f>
        <v>0.24776782479489071</v>
      </c>
    </row>
    <row r="12" spans="1:27" x14ac:dyDescent="0.25">
      <c r="A12" s="5" t="s">
        <v>46</v>
      </c>
      <c r="B12" s="17">
        <v>42756.070833333331</v>
      </c>
      <c r="C12" s="117">
        <f t="shared" si="0"/>
        <v>13.350000000034925</v>
      </c>
      <c r="D12" s="109">
        <v>8.2000000000000003E-2</v>
      </c>
      <c r="E12" s="109">
        <v>7.9000000000000001E-2</v>
      </c>
      <c r="F12" s="109">
        <v>7.6999999999999999E-2</v>
      </c>
      <c r="G12" s="109">
        <v>1E-3</v>
      </c>
      <c r="H12" s="87">
        <f t="shared" si="1"/>
        <v>7.9333333333333325E-2</v>
      </c>
      <c r="I12" s="22">
        <f t="shared" si="2"/>
        <v>2.5166114784235852E-3</v>
      </c>
      <c r="J12" s="55">
        <v>4.8</v>
      </c>
      <c r="K12" s="55">
        <v>4.83</v>
      </c>
      <c r="L12" s="55">
        <v>4.87</v>
      </c>
      <c r="M12" s="55">
        <v>7.31</v>
      </c>
      <c r="N12" s="111">
        <f t="shared" si="3"/>
        <v>4.833333333333333</v>
      </c>
      <c r="O12" s="26">
        <f t="shared" si="4"/>
        <v>3.5118845842842597E-2</v>
      </c>
      <c r="P12" s="84"/>
      <c r="Q12" s="49"/>
      <c r="R12" s="49"/>
      <c r="S12" s="49"/>
      <c r="T12" s="85"/>
      <c r="U12" s="86"/>
      <c r="V12" s="84"/>
      <c r="W12" s="49"/>
      <c r="X12" s="49"/>
      <c r="Y12" s="49"/>
      <c r="Z12" s="25"/>
      <c r="AA12" s="26"/>
    </row>
    <row r="13" spans="1:27" x14ac:dyDescent="0.25">
      <c r="A13" s="5" t="s">
        <v>65</v>
      </c>
      <c r="B13" s="17">
        <v>42756.368750000001</v>
      </c>
      <c r="C13" s="118">
        <f t="shared" si="0"/>
        <v>20.500000000116415</v>
      </c>
      <c r="D13" s="41">
        <v>8.4000000000000005E-2</v>
      </c>
      <c r="E13" s="41">
        <v>8.1000000000000003E-2</v>
      </c>
      <c r="F13" s="41">
        <v>0.08</v>
      </c>
      <c r="G13" s="41">
        <v>1E-3</v>
      </c>
      <c r="H13" s="42">
        <f t="shared" si="1"/>
        <v>8.1666666666666665E-2</v>
      </c>
      <c r="I13" s="43">
        <f t="shared" si="2"/>
        <v>2.0816659994661348E-3</v>
      </c>
      <c r="J13" s="62"/>
      <c r="K13" s="62"/>
      <c r="L13" s="62"/>
      <c r="M13" s="62"/>
      <c r="N13" s="62"/>
      <c r="O13" s="63"/>
      <c r="P13" s="64"/>
      <c r="Q13" s="49"/>
      <c r="R13" s="62"/>
      <c r="S13" s="62"/>
      <c r="T13" s="104"/>
      <c r="U13" s="80"/>
      <c r="V13" s="64"/>
      <c r="W13" s="49"/>
      <c r="X13" s="62"/>
      <c r="Y13" s="62"/>
      <c r="Z13" s="46"/>
      <c r="AA13" s="47"/>
    </row>
    <row r="14" spans="1:27" ht="18.75" x14ac:dyDescent="0.35">
      <c r="C14" s="48" t="s">
        <v>25</v>
      </c>
      <c r="D14" s="55">
        <f>LN(LOGEST(D7:D11,$C$7:$C$11))</f>
        <v>0.14217343984332148</v>
      </c>
      <c r="E14" s="55">
        <f t="shared" ref="E14:F14" si="9">LN(LOGEST(E7:E11,$C$7:$C$11))</f>
        <v>0.14205034205899933</v>
      </c>
      <c r="F14" s="55">
        <f t="shared" si="9"/>
        <v>0.13199335299613657</v>
      </c>
      <c r="G14" s="55"/>
      <c r="H14" s="111">
        <f t="shared" si="1"/>
        <v>0.13873904496615244</v>
      </c>
      <c r="I14" s="51">
        <f t="shared" si="2"/>
        <v>5.8422648332542145E-3</v>
      </c>
      <c r="M14" s="50"/>
      <c r="O14" s="50" t="s">
        <v>26</v>
      </c>
      <c r="P14" s="23">
        <f>P7-P11</f>
        <v>3.604911127739296</v>
      </c>
      <c r="Q14" s="119">
        <f t="shared" ref="Q14:R14" si="10">Q7-Q11</f>
        <v>2.3092913192519546</v>
      </c>
      <c r="R14" s="24">
        <f t="shared" si="10"/>
        <v>2.2159506516550387</v>
      </c>
      <c r="S14" s="49"/>
      <c r="T14" s="25">
        <f>AVERAGE(P14:R14)</f>
        <v>2.7100510328820966</v>
      </c>
      <c r="U14" s="26">
        <f>STDEV(P14:R14)</f>
        <v>0.7763755934357649</v>
      </c>
      <c r="V14" s="23">
        <f>V11-V7</f>
        <v>4.8991013461034365</v>
      </c>
      <c r="W14" s="119">
        <f t="shared" ref="W14:X14" si="11">W11-W7</f>
        <v>4.6471146560559022</v>
      </c>
      <c r="X14" s="24">
        <f t="shared" si="11"/>
        <v>4.4129834639376595</v>
      </c>
      <c r="Y14" s="49"/>
      <c r="Z14" s="25">
        <f t="shared" ref="Z14" si="12">AVERAGE(V14:X14)</f>
        <v>4.6530664886989994</v>
      </c>
      <c r="AA14" s="26">
        <f t="shared" ref="AA14" si="13">STDEV(V14:X14)</f>
        <v>0.24311358883080483</v>
      </c>
    </row>
    <row r="15" spans="1:27" ht="18" x14ac:dyDescent="0.35">
      <c r="A15" s="52" t="s">
        <v>27</v>
      </c>
      <c r="B15" s="53"/>
      <c r="C15" s="54" t="s">
        <v>28</v>
      </c>
      <c r="D15" s="55">
        <f>D13*0.46</f>
        <v>3.8640000000000001E-2</v>
      </c>
      <c r="E15" s="55">
        <f t="shared" ref="E15:F15" si="14">E13*0.46</f>
        <v>3.7260000000000001E-2</v>
      </c>
      <c r="F15" s="55">
        <f t="shared" si="14"/>
        <v>3.6799999999999999E-2</v>
      </c>
      <c r="G15" s="55"/>
      <c r="H15" s="111">
        <f t="shared" si="1"/>
        <v>3.7566666666666665E-2</v>
      </c>
      <c r="I15" s="26">
        <f t="shared" si="2"/>
        <v>9.5756635975442143E-4</v>
      </c>
      <c r="M15" s="50"/>
      <c r="O15" s="50" t="s">
        <v>29</v>
      </c>
      <c r="P15" s="23">
        <f>(D11-D7)*0.46</f>
        <v>2.6680000000000002E-2</v>
      </c>
      <c r="Q15" s="24">
        <f t="shared" ref="Q15:R15" si="15">(E11-E7)*0.46</f>
        <v>2.53E-2</v>
      </c>
      <c r="R15" s="24">
        <f t="shared" si="15"/>
        <v>2.3E-2</v>
      </c>
      <c r="S15" s="24"/>
      <c r="T15" s="25">
        <f>AVERAGE(P15:R15)</f>
        <v>2.4993333333333329E-2</v>
      </c>
      <c r="U15" s="26">
        <f>STDEV(P15:R15)</f>
        <v>1.8590678667905962E-3</v>
      </c>
      <c r="V15" s="84"/>
      <c r="W15" s="24"/>
      <c r="X15" s="24"/>
      <c r="Y15" s="49"/>
      <c r="Z15" s="25"/>
      <c r="AA15" s="26"/>
    </row>
    <row r="16" spans="1:27" ht="18" x14ac:dyDescent="0.35">
      <c r="C16" s="59"/>
      <c r="H16" s="55"/>
      <c r="I16" s="59"/>
      <c r="M16" s="50"/>
      <c r="O16" s="50" t="s">
        <v>30</v>
      </c>
      <c r="P16" s="23">
        <f>P15/(P14/1000*180.16)</f>
        <v>4.1080232188281038E-2</v>
      </c>
      <c r="Q16" s="24">
        <f t="shared" ref="Q16:R16" si="16">Q15/(Q14/1000*180.16)</f>
        <v>6.0811179200661696E-2</v>
      </c>
      <c r="R16" s="24">
        <f t="shared" si="16"/>
        <v>5.7611525918265218E-2</v>
      </c>
      <c r="S16" s="49"/>
      <c r="T16" s="25">
        <f>AVERAGE(P16:R16)</f>
        <v>5.3167645769069315E-2</v>
      </c>
      <c r="U16" s="26">
        <f>STDEV(P16:R16)</f>
        <v>1.0589552426172556E-2</v>
      </c>
      <c r="V16" s="23">
        <f>(V14/1000*90.08)/(P14/1000*180.16)</f>
        <v>0.67950376202141638</v>
      </c>
      <c r="W16" s="24">
        <f>(W14/1000*90.08)/(Q14/1000*180.16)</f>
        <v>1.0061776566070573</v>
      </c>
      <c r="X16" s="24">
        <f>(X14/1000*90.08)/(R14/1000*180.16)</f>
        <v>0.99573143938059083</v>
      </c>
      <c r="Y16" s="49"/>
      <c r="Z16" s="25">
        <f t="shared" ref="Z16:Z19" si="17">AVERAGE(V16:X16)</f>
        <v>0.89380428600302153</v>
      </c>
      <c r="AA16" s="26">
        <f t="shared" ref="AA16:AA19" si="18">STDEV(V16:X16)</f>
        <v>0.18566318105019741</v>
      </c>
    </row>
    <row r="17" spans="3:27" ht="18" x14ac:dyDescent="0.35">
      <c r="C17" s="59"/>
      <c r="I17" s="59"/>
      <c r="M17" s="98"/>
      <c r="O17" s="98" t="s">
        <v>31</v>
      </c>
      <c r="P17" s="84"/>
      <c r="Q17" s="49"/>
      <c r="R17" s="49"/>
      <c r="S17" s="49"/>
      <c r="T17" s="25"/>
      <c r="U17" s="26"/>
      <c r="V17" s="23">
        <f>(V14/1000*90.08)/P15</f>
        <v>16.540893900187314</v>
      </c>
      <c r="W17" s="24">
        <f>(W14/1000*90.08)/Q15</f>
        <v>16.545932340613266</v>
      </c>
      <c r="X17" s="24">
        <f>(X14/1000*90.08)/R15</f>
        <v>17.283545670934974</v>
      </c>
      <c r="Y17" s="49"/>
      <c r="Z17" s="25">
        <f t="shared" si="17"/>
        <v>16.790123970578517</v>
      </c>
      <c r="AA17" s="26">
        <f t="shared" si="18"/>
        <v>0.42732315319611863</v>
      </c>
    </row>
    <row r="18" spans="3:27" ht="18.75" x14ac:dyDescent="0.35">
      <c r="C18" s="59"/>
      <c r="I18" s="59"/>
      <c r="M18" s="98"/>
      <c r="O18" s="54" t="s">
        <v>32</v>
      </c>
      <c r="P18" s="23">
        <f>D14*(P14)</f>
        <v>0.51252261536016297</v>
      </c>
      <c r="Q18" s="24">
        <f t="shared" ref="Q18:R18" si="19">E14*(Q14)</f>
        <v>0.32803562181361801</v>
      </c>
      <c r="R18" s="24">
        <f t="shared" si="19"/>
        <v>0.29249075658592238</v>
      </c>
      <c r="S18" s="49"/>
      <c r="T18" s="25">
        <f t="shared" ref="T18:T19" si="20">AVERAGE(P18:R18)</f>
        <v>0.37768299791990118</v>
      </c>
      <c r="U18" s="26">
        <f t="shared" ref="U18:U19" si="21">STDEV(P18:R18)</f>
        <v>0.11811922444966701</v>
      </c>
      <c r="V18" s="23">
        <f>D14*(V14)</f>
        <v>0.69652209051657221</v>
      </c>
      <c r="W18" s="24">
        <f t="shared" ref="W18:X18" si="22">E14*(W14)</f>
        <v>0.66012422648012992</v>
      </c>
      <c r="X18" s="24">
        <f t="shared" si="22"/>
        <v>0.582484484121637</v>
      </c>
      <c r="Y18" s="49"/>
      <c r="Z18" s="25">
        <f t="shared" si="17"/>
        <v>0.64637693370611304</v>
      </c>
      <c r="AA18" s="26">
        <f t="shared" si="18"/>
        <v>5.824847604901303E-2</v>
      </c>
    </row>
    <row r="19" spans="3:27" ht="18.75" x14ac:dyDescent="0.35">
      <c r="C19" s="63"/>
      <c r="D19" s="62"/>
      <c r="E19" s="62"/>
      <c r="F19" s="62"/>
      <c r="G19" s="62"/>
      <c r="H19" s="62"/>
      <c r="I19" s="63"/>
      <c r="J19" s="62"/>
      <c r="K19" s="62"/>
      <c r="L19" s="62"/>
      <c r="M19" s="65"/>
      <c r="N19" s="62"/>
      <c r="O19" s="65" t="s">
        <v>33</v>
      </c>
      <c r="P19" s="44">
        <f>D14*(P14/P15)</f>
        <v>19.209993079466376</v>
      </c>
      <c r="Q19" s="45">
        <f t="shared" ref="Q19:R19" si="23">E14*(Q14/Q15)</f>
        <v>12.965834854293201</v>
      </c>
      <c r="R19" s="45">
        <f t="shared" si="23"/>
        <v>12.716989416779235</v>
      </c>
      <c r="S19" s="45"/>
      <c r="T19" s="46">
        <f t="shared" si="20"/>
        <v>14.964272450179605</v>
      </c>
      <c r="U19" s="47">
        <f t="shared" si="21"/>
        <v>3.6790064908078484</v>
      </c>
      <c r="V19" s="44">
        <f>D14*(V14/P15)</f>
        <v>26.106525131805554</v>
      </c>
      <c r="W19" s="45">
        <f>E14*(W14/Q15)</f>
        <v>26.091866659293675</v>
      </c>
      <c r="X19" s="45">
        <f>F14*(X14/R15)</f>
        <v>25.325412353114654</v>
      </c>
      <c r="Y19" s="62"/>
      <c r="Z19" s="46">
        <f t="shared" si="17"/>
        <v>25.841268048071296</v>
      </c>
      <c r="AA19" s="47">
        <f t="shared" si="18"/>
        <v>0.44680425380528138</v>
      </c>
    </row>
    <row r="20" spans="3:27" x14ac:dyDescent="0.25">
      <c r="I20" s="54" t="s">
        <v>34</v>
      </c>
      <c r="J20" s="55">
        <f>P15/(J7-J11)</f>
        <v>1.2765550239234452E-2</v>
      </c>
      <c r="K20" s="55">
        <f>Q15/(K7-K11)</f>
        <v>1.454022988505747E-2</v>
      </c>
      <c r="L20" s="55">
        <f>R15/(L7-L11)</f>
        <v>1.4556962025316455E-2</v>
      </c>
      <c r="N20" s="111">
        <f>AVERAGE(J20:L20)</f>
        <v>1.3954247383202792E-2</v>
      </c>
      <c r="O20" s="26">
        <f>STDEV(J20:L20)</f>
        <v>1.0294759182167782E-3</v>
      </c>
      <c r="T20" s="55"/>
      <c r="U20" s="55"/>
    </row>
    <row r="21" spans="3:27" x14ac:dyDescent="0.25">
      <c r="T21" s="55"/>
      <c r="Z21" s="55"/>
    </row>
    <row r="22" spans="3:27" x14ac:dyDescent="0.25">
      <c r="O22" s="9" t="s">
        <v>35</v>
      </c>
      <c r="P22" s="5">
        <f>P14/1000*6</f>
        <v>2.1629466766435776E-2</v>
      </c>
      <c r="Q22" s="5">
        <f>Q14/1000*6</f>
        <v>1.3855747915511727E-2</v>
      </c>
      <c r="R22" s="5">
        <f>R14/1000*6</f>
        <v>1.3295703909930231E-2</v>
      </c>
      <c r="V22" s="5">
        <f>V14/1000*3</f>
        <v>1.4697304038310308E-2</v>
      </c>
      <c r="W22" s="5">
        <f>W14/1000*3</f>
        <v>1.3941343968167708E-2</v>
      </c>
      <c r="X22" s="5">
        <f>X14/1000*3</f>
        <v>1.3238950391812979E-2</v>
      </c>
    </row>
    <row r="23" spans="3:27" x14ac:dyDescent="0.25">
      <c r="O23" s="9" t="s">
        <v>36</v>
      </c>
      <c r="P23" s="5">
        <f>P15*0.5/12.01</f>
        <v>1.1107410491257286E-3</v>
      </c>
      <c r="Q23" s="5">
        <f>Q15*0.5/12.01</f>
        <v>1.0532889258950875E-3</v>
      </c>
      <c r="R23" s="5">
        <f>R15*0.5/12.01</f>
        <v>9.5753538717735216E-4</v>
      </c>
      <c r="T23" s="71" t="s">
        <v>17</v>
      </c>
      <c r="U23" s="120" t="s">
        <v>18</v>
      </c>
    </row>
    <row r="24" spans="3:27" x14ac:dyDescent="0.25">
      <c r="O24" s="9" t="s">
        <v>37</v>
      </c>
      <c r="P24" s="5">
        <f>(P22-V22-P23)/P22</f>
        <v>0.26914309732467923</v>
      </c>
      <c r="Q24" s="5">
        <f t="shared" ref="Q24:R24" si="24">(Q22-W22-Q23)/Q22</f>
        <v>-8.2195850090204692E-2</v>
      </c>
      <c r="R24" s="5">
        <f t="shared" si="24"/>
        <v>-6.774984424760909E-2</v>
      </c>
      <c r="T24" s="72">
        <f>AVERAGE(P24:R24)</f>
        <v>3.9732467662288481E-2</v>
      </c>
      <c r="U24" s="80">
        <f>STDEV(P24:R24)</f>
        <v>0.19880668882804731</v>
      </c>
    </row>
  </sheetData>
  <mergeCells count="4">
    <mergeCell ref="D4:I4"/>
    <mergeCell ref="J4:O4"/>
    <mergeCell ref="P4:U4"/>
    <mergeCell ref="V4:AA4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851F-A655-4DA7-921E-005AFCF1B6BD}">
  <dimension ref="A1:AU89"/>
  <sheetViews>
    <sheetView zoomScale="95" zoomScaleNormal="95" workbookViewId="0"/>
  </sheetViews>
  <sheetFormatPr defaultColWidth="8.7109375" defaultRowHeight="15" x14ac:dyDescent="0.25"/>
  <cols>
    <col min="1" max="1" width="8.7109375" style="5"/>
    <col min="2" max="2" width="14.85546875" style="5" customWidth="1"/>
    <col min="3" max="14" width="9.140625" style="5" customWidth="1"/>
    <col min="15" max="15" width="10.7109375" style="5" customWidth="1"/>
    <col min="16" max="26" width="9.140625" style="5" customWidth="1"/>
    <col min="27" max="28" width="8.7109375" style="5"/>
    <col min="29" max="31" width="10" style="5" bestFit="1" customWidth="1"/>
    <col min="32" max="33" width="8.7109375" style="5"/>
    <col min="34" max="34" width="11" style="5" customWidth="1"/>
    <col min="35" max="35" width="8.7109375" style="5"/>
    <col min="36" max="36" width="11" style="5" customWidth="1"/>
    <col min="37" max="16384" width="8.7109375" style="5"/>
  </cols>
  <sheetData>
    <row r="1" spans="1:47" x14ac:dyDescent="0.25">
      <c r="A1" s="8" t="s">
        <v>81</v>
      </c>
      <c r="D1" s="5">
        <v>20160416</v>
      </c>
    </row>
    <row r="2" spans="1:47" x14ac:dyDescent="0.25">
      <c r="A2" s="9" t="s">
        <v>82</v>
      </c>
    </row>
    <row r="3" spans="1:47" x14ac:dyDescent="0.25">
      <c r="A3" s="9" t="s">
        <v>11</v>
      </c>
    </row>
    <row r="4" spans="1:47" x14ac:dyDescent="0.25">
      <c r="D4" s="382" t="s">
        <v>12</v>
      </c>
      <c r="E4" s="383"/>
      <c r="F4" s="383"/>
      <c r="G4" s="383"/>
      <c r="H4" s="383"/>
      <c r="I4" s="384"/>
      <c r="J4" s="382" t="s">
        <v>5</v>
      </c>
      <c r="K4" s="383"/>
      <c r="L4" s="383"/>
      <c r="M4" s="383"/>
      <c r="N4" s="383"/>
      <c r="O4" s="384"/>
      <c r="P4" s="382" t="s">
        <v>13</v>
      </c>
      <c r="Q4" s="383"/>
      <c r="R4" s="383"/>
      <c r="S4" s="383"/>
      <c r="T4" s="383"/>
      <c r="U4" s="384"/>
      <c r="V4" s="383" t="s">
        <v>69</v>
      </c>
      <c r="W4" s="383"/>
      <c r="X4" s="383"/>
      <c r="Y4" s="383"/>
      <c r="Z4" s="383"/>
      <c r="AA4" s="384"/>
      <c r="AB4" s="382" t="s">
        <v>83</v>
      </c>
      <c r="AC4" s="383"/>
      <c r="AD4" s="383"/>
      <c r="AE4" s="383"/>
      <c r="AF4" s="384"/>
      <c r="AG4" s="382" t="s">
        <v>84</v>
      </c>
      <c r="AH4" s="383"/>
      <c r="AI4" s="383"/>
      <c r="AJ4" s="383"/>
      <c r="AK4" s="384"/>
      <c r="AL4" s="382" t="s">
        <v>85</v>
      </c>
      <c r="AM4" s="383"/>
      <c r="AN4" s="383"/>
      <c r="AO4" s="383"/>
      <c r="AP4" s="384"/>
      <c r="AQ4" s="382" t="s">
        <v>86</v>
      </c>
      <c r="AR4" s="383"/>
      <c r="AS4" s="383"/>
      <c r="AT4" s="383"/>
      <c r="AU4" s="384"/>
    </row>
    <row r="5" spans="1:47" x14ac:dyDescent="0.25">
      <c r="B5" s="9" t="s">
        <v>15</v>
      </c>
      <c r="C5" s="11" t="s">
        <v>16</v>
      </c>
      <c r="D5" s="12">
        <v>1</v>
      </c>
      <c r="E5" s="13">
        <v>2</v>
      </c>
      <c r="F5" s="13">
        <v>3</v>
      </c>
      <c r="G5" s="13" t="s">
        <v>4</v>
      </c>
      <c r="H5" s="14" t="s">
        <v>17</v>
      </c>
      <c r="I5" s="15" t="s">
        <v>18</v>
      </c>
      <c r="J5" s="12">
        <v>1</v>
      </c>
      <c r="K5" s="13">
        <v>2</v>
      </c>
      <c r="L5" s="13">
        <v>3</v>
      </c>
      <c r="M5" s="13" t="s">
        <v>4</v>
      </c>
      <c r="N5" s="14" t="s">
        <v>17</v>
      </c>
      <c r="O5" s="15" t="s">
        <v>18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5" t="s">
        <v>18</v>
      </c>
      <c r="V5" s="13">
        <v>1</v>
      </c>
      <c r="W5" s="13">
        <v>2</v>
      </c>
      <c r="X5" s="13">
        <v>3</v>
      </c>
      <c r="Y5" s="13" t="s">
        <v>4</v>
      </c>
      <c r="Z5" s="14" t="s">
        <v>17</v>
      </c>
      <c r="AA5" s="14" t="s">
        <v>18</v>
      </c>
      <c r="AB5" s="12">
        <v>1</v>
      </c>
      <c r="AC5" s="13">
        <v>2</v>
      </c>
      <c r="AD5" s="13">
        <v>3</v>
      </c>
      <c r="AE5" s="14" t="s">
        <v>17</v>
      </c>
      <c r="AF5" s="15" t="s">
        <v>18</v>
      </c>
      <c r="AG5" s="12">
        <v>1</v>
      </c>
      <c r="AH5" s="13">
        <v>2</v>
      </c>
      <c r="AI5" s="13">
        <v>3</v>
      </c>
      <c r="AJ5" s="14" t="s">
        <v>17</v>
      </c>
      <c r="AK5" s="15" t="s">
        <v>18</v>
      </c>
      <c r="AL5" s="12">
        <v>1</v>
      </c>
      <c r="AM5" s="13">
        <v>2</v>
      </c>
      <c r="AN5" s="13">
        <v>3</v>
      </c>
      <c r="AO5" s="14" t="s">
        <v>17</v>
      </c>
      <c r="AP5" s="15" t="s">
        <v>18</v>
      </c>
      <c r="AQ5" s="13">
        <v>1</v>
      </c>
      <c r="AR5" s="13">
        <v>2</v>
      </c>
      <c r="AS5" s="13">
        <v>3</v>
      </c>
      <c r="AT5" s="14" t="s">
        <v>17</v>
      </c>
      <c r="AU5" s="15" t="s">
        <v>18</v>
      </c>
    </row>
    <row r="6" spans="1:47" x14ac:dyDescent="0.25">
      <c r="A6" s="5" t="s">
        <v>19</v>
      </c>
      <c r="B6" s="17">
        <v>42476.431944444441</v>
      </c>
      <c r="C6" s="18">
        <f>(B6-$B$6)*24</f>
        <v>0</v>
      </c>
      <c r="D6" s="132">
        <v>3.5000000000000003E-2</v>
      </c>
      <c r="E6" s="57">
        <v>3.6999999999999998E-2</v>
      </c>
      <c r="F6" s="57">
        <v>3.9E-2</v>
      </c>
      <c r="G6" s="20">
        <v>0</v>
      </c>
      <c r="H6" s="21">
        <f t="shared" ref="H6:H13" si="0">AVERAGE(D6:F6)</f>
        <v>3.7000000000000005E-2</v>
      </c>
      <c r="I6" s="22">
        <f t="shared" ref="I6:I13" si="1">STDEV(D6:F6)</f>
        <v>1.9999999999999983E-3</v>
      </c>
      <c r="J6" s="23">
        <v>6</v>
      </c>
      <c r="K6" s="24">
        <v>5.99</v>
      </c>
      <c r="L6" s="24">
        <v>5.99</v>
      </c>
      <c r="M6" s="24">
        <v>6.01</v>
      </c>
      <c r="N6" s="25">
        <f t="shared" ref="N6:N13" si="2">AVERAGE(J6:L6)</f>
        <v>5.9933333333333332</v>
      </c>
      <c r="O6" s="26">
        <f t="shared" ref="O6:O13" si="3">STDEV(J6:L6)</f>
        <v>5.7735026918961348E-3</v>
      </c>
      <c r="P6" s="23">
        <v>27.216002634735887</v>
      </c>
      <c r="Q6" s="24">
        <v>27.931282835057274</v>
      </c>
      <c r="R6" s="24">
        <v>28.547554989964041</v>
      </c>
      <c r="S6" s="24">
        <v>28.854965962309574</v>
      </c>
      <c r="T6" s="25">
        <f>AVERAGE(P6:R6)</f>
        <v>27.898280153252401</v>
      </c>
      <c r="U6" s="26">
        <f>STDEV(P6:R6)</f>
        <v>0.66638937674091625</v>
      </c>
      <c r="Z6" s="81"/>
      <c r="AA6" s="81"/>
      <c r="AB6" s="133">
        <f>X69-X44</f>
        <v>28500000</v>
      </c>
      <c r="AC6" s="134">
        <f>X70-X46</f>
        <v>29400000</v>
      </c>
      <c r="AD6" s="134">
        <f>X71-X48</f>
        <v>33000000</v>
      </c>
      <c r="AE6" s="135">
        <f>AVERAGE(AB6:AD6)</f>
        <v>30300000</v>
      </c>
      <c r="AF6" s="136">
        <f>STDEV(AB6:AD6)</f>
        <v>2381176.1799581316</v>
      </c>
      <c r="AG6" s="133">
        <f>X44</f>
        <v>23500000</v>
      </c>
      <c r="AH6" s="134">
        <f>X46</f>
        <v>22600000</v>
      </c>
      <c r="AI6" s="134">
        <f>X48</f>
        <v>27000000</v>
      </c>
      <c r="AJ6" s="135">
        <f>AVERAGE(AG6:AI6)</f>
        <v>24366666.666666668</v>
      </c>
      <c r="AK6" s="136">
        <f>STDEV(AG6:AI6)</f>
        <v>2324507.1162148188</v>
      </c>
      <c r="AL6" s="23">
        <f>AB6/(AB6+AG6)</f>
        <v>0.54807692307692313</v>
      </c>
      <c r="AM6" s="24">
        <f t="shared" ref="AM6:AN12" si="4">AC6/(AC6+AH6)</f>
        <v>0.56538461538461537</v>
      </c>
      <c r="AN6" s="24">
        <f t="shared" si="4"/>
        <v>0.55000000000000004</v>
      </c>
      <c r="AO6" s="25">
        <f>AVERAGE(AL6:AN6)</f>
        <v>0.55448717948717952</v>
      </c>
      <c r="AP6" s="26">
        <f>STDEV(AL6:AN6)</f>
        <v>9.4863131967619814E-3</v>
      </c>
      <c r="AQ6" s="24">
        <f>AG6/(AB6+AG6)</f>
        <v>0.45192307692307693</v>
      </c>
      <c r="AR6" s="24">
        <f t="shared" ref="AR6:AS12" si="5">AH6/(AC6+AH6)</f>
        <v>0.43461538461538463</v>
      </c>
      <c r="AS6" s="24">
        <f t="shared" si="5"/>
        <v>0.45</v>
      </c>
      <c r="AT6" s="25">
        <f>AVERAGE(AQ6:AS6)</f>
        <v>0.44551282051282048</v>
      </c>
      <c r="AU6" s="26">
        <f>STDEV(AQ6:AS6)</f>
        <v>9.4863131967620126E-3</v>
      </c>
    </row>
    <row r="7" spans="1:47" x14ac:dyDescent="0.25">
      <c r="A7" s="5" t="s">
        <v>20</v>
      </c>
      <c r="B7" s="17">
        <v>42476.546527777777</v>
      </c>
      <c r="C7" s="28">
        <f t="shared" ref="C7:C13" si="6">(B7-$B$6)*24</f>
        <v>2.7500000000582077</v>
      </c>
      <c r="D7" s="29">
        <v>6.7000000000000004E-2</v>
      </c>
      <c r="E7" s="30">
        <v>6.9000000000000006E-2</v>
      </c>
      <c r="F7" s="30">
        <v>7.8E-2</v>
      </c>
      <c r="G7" s="30">
        <v>0</v>
      </c>
      <c r="H7" s="31">
        <f t="shared" si="0"/>
        <v>7.1333333333333346E-2</v>
      </c>
      <c r="I7" s="32">
        <f t="shared" si="1"/>
        <v>5.8594652770823132E-3</v>
      </c>
      <c r="J7" s="33">
        <v>5.61</v>
      </c>
      <c r="K7" s="34">
        <v>5.53</v>
      </c>
      <c r="L7" s="34">
        <v>5.61</v>
      </c>
      <c r="M7" s="34">
        <v>6.03</v>
      </c>
      <c r="N7" s="35">
        <f t="shared" si="2"/>
        <v>5.583333333333333</v>
      </c>
      <c r="O7" s="36">
        <f t="shared" si="3"/>
        <v>4.6188021535170105E-2</v>
      </c>
      <c r="P7" s="33">
        <v>28.367959529906344</v>
      </c>
      <c r="Q7" s="34">
        <v>29.266063066227098</v>
      </c>
      <c r="R7" s="34">
        <v>29.36393622986472</v>
      </c>
      <c r="S7" s="37">
        <v>29.847022579328893</v>
      </c>
      <c r="T7" s="35">
        <f t="shared" ref="T7:T10" si="7">AVERAGE(P7:R7)</f>
        <v>28.999319608666053</v>
      </c>
      <c r="U7" s="36">
        <f t="shared" ref="U7:U10" si="8">STDEV(P7:R7)</f>
        <v>0.5489594254848984</v>
      </c>
      <c r="V7" s="115">
        <v>0.45004499304739676</v>
      </c>
      <c r="W7" s="115">
        <v>0.49614100505884784</v>
      </c>
      <c r="X7" s="115">
        <v>0.36168042267707212</v>
      </c>
      <c r="Y7" s="137" t="s">
        <v>21</v>
      </c>
      <c r="Z7" s="116">
        <f>AVERAGE(V7:X7)</f>
        <v>0.43595547359443892</v>
      </c>
      <c r="AA7" s="138">
        <f>STDEV(V7:X7)</f>
        <v>6.832860288651435E-2</v>
      </c>
      <c r="AB7" s="139">
        <f>X72-X49</f>
        <v>16000000</v>
      </c>
      <c r="AC7" s="140">
        <f>X73-X50</f>
        <v>28000000</v>
      </c>
      <c r="AD7" s="140">
        <f>X74-X51</f>
        <v>37000000</v>
      </c>
      <c r="AE7" s="141">
        <f t="shared" ref="AE7:AE12" si="9">AVERAGE(AB7:AD7)</f>
        <v>27000000</v>
      </c>
      <c r="AF7" s="142">
        <f t="shared" ref="AF7:AF12" si="10">STDEV(AB7:AD7)</f>
        <v>10535653.75285274</v>
      </c>
      <c r="AG7" s="139">
        <f>X49</f>
        <v>68000000</v>
      </c>
      <c r="AH7" s="140">
        <f>X50</f>
        <v>63000000</v>
      </c>
      <c r="AI7" s="140">
        <f>X51</f>
        <v>66000000</v>
      </c>
      <c r="AJ7" s="141">
        <f t="shared" ref="AJ7:AJ12" si="11">AVERAGE(AG7:AI7)</f>
        <v>65666666.666666664</v>
      </c>
      <c r="AK7" s="142">
        <f t="shared" ref="AK7:AK12" si="12">STDEV(AG7:AI7)</f>
        <v>2516611.4784235833</v>
      </c>
      <c r="AL7" s="33">
        <f t="shared" ref="AL7:AL12" si="13">AB7/(AB7+AG7)</f>
        <v>0.19047619047619047</v>
      </c>
      <c r="AM7" s="34">
        <f t="shared" si="4"/>
        <v>0.30769230769230771</v>
      </c>
      <c r="AN7" s="34">
        <f t="shared" si="4"/>
        <v>0.35922330097087379</v>
      </c>
      <c r="AO7" s="35">
        <f t="shared" ref="AO7:AO12" si="14">AVERAGE(AL7:AN7)</f>
        <v>0.28579726637979069</v>
      </c>
      <c r="AP7" s="36">
        <f t="shared" ref="AP7:AP12" si="15">STDEV(AL7:AN7)</f>
        <v>8.6477982461629063E-2</v>
      </c>
      <c r="AQ7" s="34">
        <f t="shared" ref="AQ7:AQ12" si="16">AG7/(AB7+AG7)</f>
        <v>0.80952380952380953</v>
      </c>
      <c r="AR7" s="34">
        <f t="shared" si="5"/>
        <v>0.69230769230769229</v>
      </c>
      <c r="AS7" s="34">
        <f t="shared" si="5"/>
        <v>0.64077669902912626</v>
      </c>
      <c r="AT7" s="35">
        <f t="shared" ref="AT7:AT12" si="17">AVERAGE(AQ7:AS7)</f>
        <v>0.71420273362020936</v>
      </c>
      <c r="AU7" s="36">
        <f t="shared" ref="AU7:AU12" si="18">STDEV(AQ7:AS7)</f>
        <v>8.6477982461629119E-2</v>
      </c>
    </row>
    <row r="8" spans="1:47" x14ac:dyDescent="0.25">
      <c r="A8" s="5" t="s">
        <v>22</v>
      </c>
      <c r="B8" s="17">
        <v>42476.652777777781</v>
      </c>
      <c r="C8" s="28">
        <f t="shared" si="6"/>
        <v>5.3000000001629815</v>
      </c>
      <c r="D8" s="29">
        <v>0.112</v>
      </c>
      <c r="E8" s="30">
        <v>0.114</v>
      </c>
      <c r="F8" s="30">
        <v>0.14099999999999999</v>
      </c>
      <c r="G8" s="30">
        <v>0</v>
      </c>
      <c r="H8" s="31">
        <f t="shared" si="0"/>
        <v>0.12233333333333334</v>
      </c>
      <c r="I8" s="32">
        <f t="shared" si="1"/>
        <v>1.6196707484341676E-2</v>
      </c>
      <c r="J8" s="33">
        <v>4.7</v>
      </c>
      <c r="K8" s="34">
        <v>4.5199999999999996</v>
      </c>
      <c r="L8" s="34">
        <v>4.6100000000000003</v>
      </c>
      <c r="M8" s="34">
        <v>6.04</v>
      </c>
      <c r="N8" s="35">
        <f t="shared" si="2"/>
        <v>4.6099999999999994</v>
      </c>
      <c r="O8" s="36">
        <f t="shared" si="3"/>
        <v>9.0000000000000302E-2</v>
      </c>
      <c r="P8" s="33"/>
      <c r="Q8" s="34"/>
      <c r="R8" s="34"/>
      <c r="S8" s="34"/>
      <c r="T8" s="35"/>
      <c r="U8" s="36"/>
      <c r="V8" s="115"/>
      <c r="W8" s="115"/>
      <c r="X8" s="115"/>
      <c r="Y8" s="143"/>
      <c r="Z8" s="116"/>
      <c r="AA8" s="138"/>
      <c r="AB8" s="139">
        <f>X75-X52</f>
        <v>41000000</v>
      </c>
      <c r="AC8" s="140">
        <f>X76-X53</f>
        <v>39000000</v>
      </c>
      <c r="AD8" s="140">
        <f>X77-X54</f>
        <v>58000000</v>
      </c>
      <c r="AE8" s="141">
        <f t="shared" si="9"/>
        <v>46000000</v>
      </c>
      <c r="AF8" s="142">
        <f t="shared" si="10"/>
        <v>10440306.50891055</v>
      </c>
      <c r="AG8" s="139">
        <f>X52</f>
        <v>107000000</v>
      </c>
      <c r="AH8" s="140">
        <f>X53</f>
        <v>119000000</v>
      </c>
      <c r="AI8" s="140">
        <f>X54</f>
        <v>166000000</v>
      </c>
      <c r="AJ8" s="141">
        <f t="shared" si="11"/>
        <v>130666666.66666667</v>
      </c>
      <c r="AK8" s="142">
        <f t="shared" si="12"/>
        <v>31182259.913824912</v>
      </c>
      <c r="AL8" s="33">
        <f t="shared" si="13"/>
        <v>0.27702702702702703</v>
      </c>
      <c r="AM8" s="34">
        <f t="shared" si="4"/>
        <v>0.24683544303797469</v>
      </c>
      <c r="AN8" s="34">
        <f t="shared" si="4"/>
        <v>0.25892857142857145</v>
      </c>
      <c r="AO8" s="35">
        <f t="shared" si="14"/>
        <v>0.2609303471645244</v>
      </c>
      <c r="AP8" s="36">
        <f t="shared" si="15"/>
        <v>1.5195007914271969E-2</v>
      </c>
      <c r="AQ8" s="34">
        <f t="shared" si="16"/>
        <v>0.72297297297297303</v>
      </c>
      <c r="AR8" s="34">
        <f t="shared" si="5"/>
        <v>0.75316455696202533</v>
      </c>
      <c r="AS8" s="34">
        <f t="shared" si="5"/>
        <v>0.7410714285714286</v>
      </c>
      <c r="AT8" s="35">
        <f t="shared" si="17"/>
        <v>0.73906965283547565</v>
      </c>
      <c r="AU8" s="36">
        <f t="shared" si="18"/>
        <v>1.5195007914271955E-2</v>
      </c>
    </row>
    <row r="9" spans="1:47" x14ac:dyDescent="0.25">
      <c r="A9" s="5" t="s">
        <v>23</v>
      </c>
      <c r="B9" s="17">
        <v>42476.757638888892</v>
      </c>
      <c r="C9" s="28">
        <f t="shared" si="6"/>
        <v>7.8166666668257676</v>
      </c>
      <c r="D9" s="29">
        <v>0.16</v>
      </c>
      <c r="E9" s="30">
        <v>0.16200000000000001</v>
      </c>
      <c r="F9" s="30">
        <v>0.219</v>
      </c>
      <c r="G9" s="30">
        <v>0</v>
      </c>
      <c r="H9" s="31">
        <f t="shared" si="0"/>
        <v>0.18033333333333335</v>
      </c>
      <c r="I9" s="32">
        <f t="shared" si="1"/>
        <v>3.3501243758005901E-2</v>
      </c>
      <c r="J9" s="33">
        <v>4.49</v>
      </c>
      <c r="K9" s="34">
        <v>4.32</v>
      </c>
      <c r="L9" s="34">
        <v>4.22</v>
      </c>
      <c r="M9" s="34">
        <v>6.03</v>
      </c>
      <c r="N9" s="35">
        <f t="shared" si="2"/>
        <v>4.3433333333333337</v>
      </c>
      <c r="O9" s="36">
        <f t="shared" si="3"/>
        <v>0.13650396819628866</v>
      </c>
      <c r="P9" s="33"/>
      <c r="Q9" s="34"/>
      <c r="R9" s="34"/>
      <c r="S9" s="34"/>
      <c r="T9" s="35"/>
      <c r="U9" s="36"/>
      <c r="V9" s="115"/>
      <c r="W9" s="115"/>
      <c r="X9" s="115"/>
      <c r="Y9" s="143"/>
      <c r="Z9" s="116"/>
      <c r="AA9" s="138"/>
      <c r="AB9" s="139">
        <f>X78-X55</f>
        <v>48000000</v>
      </c>
      <c r="AC9" s="140">
        <f>X79-X56</f>
        <v>32000000</v>
      </c>
      <c r="AD9" s="140">
        <f>X80-X57</f>
        <v>21000000</v>
      </c>
      <c r="AE9" s="141">
        <f t="shared" si="9"/>
        <v>33666666.666666664</v>
      </c>
      <c r="AF9" s="142">
        <f t="shared" si="10"/>
        <v>13576941.236277532</v>
      </c>
      <c r="AG9" s="139">
        <f>X55</f>
        <v>134000000</v>
      </c>
      <c r="AH9" s="140">
        <f>X56</f>
        <v>133000000</v>
      </c>
      <c r="AI9" s="140">
        <f>X57</f>
        <v>166000000</v>
      </c>
      <c r="AJ9" s="141">
        <f t="shared" si="11"/>
        <v>144333333.33333334</v>
      </c>
      <c r="AK9" s="142">
        <f t="shared" si="12"/>
        <v>18770544.300401412</v>
      </c>
      <c r="AL9" s="33">
        <f t="shared" si="13"/>
        <v>0.26373626373626374</v>
      </c>
      <c r="AM9" s="34">
        <f t="shared" si="4"/>
        <v>0.19393939393939394</v>
      </c>
      <c r="AN9" s="34">
        <f t="shared" si="4"/>
        <v>0.11229946524064172</v>
      </c>
      <c r="AO9" s="35">
        <f t="shared" si="14"/>
        <v>0.18999170763876647</v>
      </c>
      <c r="AP9" s="36">
        <f t="shared" si="15"/>
        <v>7.5795541788399576E-2</v>
      </c>
      <c r="AQ9" s="34">
        <f t="shared" si="16"/>
        <v>0.73626373626373631</v>
      </c>
      <c r="AR9" s="34">
        <f t="shared" si="5"/>
        <v>0.80606060606060603</v>
      </c>
      <c r="AS9" s="34">
        <f t="shared" si="5"/>
        <v>0.88770053475935828</v>
      </c>
      <c r="AT9" s="35">
        <f t="shared" si="17"/>
        <v>0.81000829236123362</v>
      </c>
      <c r="AU9" s="36">
        <f t="shared" si="18"/>
        <v>7.5795541788399562E-2</v>
      </c>
    </row>
    <row r="10" spans="1:47" x14ac:dyDescent="0.25">
      <c r="A10" s="5" t="s">
        <v>24</v>
      </c>
      <c r="B10" s="17">
        <v>42476.879861111112</v>
      </c>
      <c r="C10" s="28">
        <f t="shared" si="6"/>
        <v>10.750000000116415</v>
      </c>
      <c r="D10" s="29">
        <v>0.249</v>
      </c>
      <c r="E10" s="30">
        <v>0.249</v>
      </c>
      <c r="F10" s="30">
        <v>0.27</v>
      </c>
      <c r="G10" s="30">
        <v>0</v>
      </c>
      <c r="H10" s="31">
        <f t="shared" si="0"/>
        <v>0.25600000000000001</v>
      </c>
      <c r="I10" s="32">
        <f t="shared" si="1"/>
        <v>1.2124355652982153E-2</v>
      </c>
      <c r="J10" s="33">
        <v>4.3600000000000003</v>
      </c>
      <c r="K10" s="34">
        <v>4.16</v>
      </c>
      <c r="L10" s="34">
        <v>4.05</v>
      </c>
      <c r="M10" s="34">
        <v>6.02</v>
      </c>
      <c r="N10" s="35">
        <f t="shared" si="2"/>
        <v>4.1900000000000004</v>
      </c>
      <c r="O10" s="36">
        <f t="shared" si="3"/>
        <v>0.15716233645501734</v>
      </c>
      <c r="P10" s="126">
        <v>27.386896514582986</v>
      </c>
      <c r="Q10" s="34">
        <v>28.024050522448746</v>
      </c>
      <c r="R10" s="34">
        <v>28.025360003947689</v>
      </c>
      <c r="S10" s="34">
        <v>30.085274659398145</v>
      </c>
      <c r="T10" s="35">
        <f t="shared" si="7"/>
        <v>27.812102346993139</v>
      </c>
      <c r="U10" s="36">
        <f t="shared" si="8"/>
        <v>0.36823963477898236</v>
      </c>
      <c r="V10" s="121">
        <v>0.13153646086230777</v>
      </c>
      <c r="W10" s="115">
        <v>0.12753636824798126</v>
      </c>
      <c r="X10" s="115">
        <v>0.10011584530792225</v>
      </c>
      <c r="Y10" s="143" t="s">
        <v>21</v>
      </c>
      <c r="Z10" s="116">
        <f t="shared" ref="Z10" si="19">AVERAGE(V10:X10)</f>
        <v>0.11972955813940378</v>
      </c>
      <c r="AA10" s="138">
        <f t="shared" ref="AA10" si="20">STDEV(V10:X10)</f>
        <v>1.7103317909331523E-2</v>
      </c>
      <c r="AB10" s="139">
        <f>X81-X58</f>
        <v>40000000</v>
      </c>
      <c r="AC10" s="140">
        <f>X82-X59</f>
        <v>54000000</v>
      </c>
      <c r="AD10" s="140">
        <f>X83-X60</f>
        <v>52000000</v>
      </c>
      <c r="AE10" s="141">
        <f t="shared" si="9"/>
        <v>48666666.666666664</v>
      </c>
      <c r="AF10" s="142">
        <f t="shared" si="10"/>
        <v>7571877.7944003763</v>
      </c>
      <c r="AG10" s="139">
        <f>X58</f>
        <v>62000000</v>
      </c>
      <c r="AH10" s="140">
        <f>X59</f>
        <v>50000000</v>
      </c>
      <c r="AI10" s="140">
        <f>X60</f>
        <v>124000000</v>
      </c>
      <c r="AJ10" s="141">
        <f t="shared" si="11"/>
        <v>78666666.666666672</v>
      </c>
      <c r="AK10" s="142">
        <f t="shared" si="12"/>
        <v>39715656.022950619</v>
      </c>
      <c r="AL10" s="33">
        <f t="shared" si="13"/>
        <v>0.39215686274509803</v>
      </c>
      <c r="AM10" s="34">
        <f t="shared" si="4"/>
        <v>0.51923076923076927</v>
      </c>
      <c r="AN10" s="34">
        <f t="shared" si="4"/>
        <v>0.29545454545454547</v>
      </c>
      <c r="AO10" s="35">
        <f t="shared" si="14"/>
        <v>0.40228072581013757</v>
      </c>
      <c r="AP10" s="36">
        <f t="shared" si="15"/>
        <v>0.11223109655708796</v>
      </c>
      <c r="AQ10" s="34">
        <f t="shared" si="16"/>
        <v>0.60784313725490191</v>
      </c>
      <c r="AR10" s="34">
        <f t="shared" si="5"/>
        <v>0.48076923076923078</v>
      </c>
      <c r="AS10" s="34">
        <f t="shared" si="5"/>
        <v>0.70454545454545459</v>
      </c>
      <c r="AT10" s="35">
        <f t="shared" si="17"/>
        <v>0.59771927418986237</v>
      </c>
      <c r="AU10" s="36">
        <f t="shared" si="18"/>
        <v>0.11223109655708809</v>
      </c>
    </row>
    <row r="11" spans="1:47" x14ac:dyDescent="0.25">
      <c r="A11" s="5" t="s">
        <v>40</v>
      </c>
      <c r="B11" s="17">
        <v>42477.001388888886</v>
      </c>
      <c r="C11" s="18">
        <f t="shared" si="6"/>
        <v>13.666666666686069</v>
      </c>
      <c r="D11" s="19">
        <v>0.28399999999999997</v>
      </c>
      <c r="E11" s="20">
        <v>0.28100000000000003</v>
      </c>
      <c r="F11" s="20">
        <v>0.28599999999999998</v>
      </c>
      <c r="G11" s="20">
        <v>0</v>
      </c>
      <c r="H11" s="21">
        <f t="shared" si="0"/>
        <v>0.28366666666666668</v>
      </c>
      <c r="I11" s="22">
        <f t="shared" si="1"/>
        <v>2.5166114784235562E-3</v>
      </c>
      <c r="J11" s="23">
        <v>4.07</v>
      </c>
      <c r="K11" s="24">
        <v>4.03</v>
      </c>
      <c r="L11" s="24">
        <v>3.96</v>
      </c>
      <c r="M11" s="24">
        <v>6.01</v>
      </c>
      <c r="N11" s="25">
        <f t="shared" si="2"/>
        <v>4.0200000000000005</v>
      </c>
      <c r="O11" s="26">
        <f t="shared" si="3"/>
        <v>5.567764362830039E-2</v>
      </c>
      <c r="P11" s="23">
        <v>26.90113707038843</v>
      </c>
      <c r="Q11" s="24">
        <v>26.753014064490408</v>
      </c>
      <c r="R11" s="24">
        <v>26.730656016505918</v>
      </c>
      <c r="S11" s="24">
        <v>29.078170885897958</v>
      </c>
      <c r="T11" s="25">
        <f>AVERAGE(P11:R11)</f>
        <v>26.794935717128254</v>
      </c>
      <c r="U11" s="26">
        <f>STDEV(P11:R11)</f>
        <v>9.2649965748180282E-2</v>
      </c>
      <c r="Z11" s="81"/>
      <c r="AA11" s="81"/>
      <c r="AB11" s="133">
        <f>X84-X61</f>
        <v>42000000</v>
      </c>
      <c r="AC11" s="134">
        <f>X85-X62</f>
        <v>25000000</v>
      </c>
      <c r="AD11" s="134">
        <f>X86-X63</f>
        <v>13000000</v>
      </c>
      <c r="AE11" s="135">
        <f t="shared" si="9"/>
        <v>26666666.666666668</v>
      </c>
      <c r="AF11" s="136">
        <f t="shared" si="10"/>
        <v>14571661.99626293</v>
      </c>
      <c r="AG11" s="133">
        <f>X61</f>
        <v>81000000</v>
      </c>
      <c r="AH11" s="134">
        <f>X62</f>
        <v>72000000</v>
      </c>
      <c r="AI11" s="134">
        <f>X63</f>
        <v>124000000</v>
      </c>
      <c r="AJ11" s="135">
        <f t="shared" si="11"/>
        <v>92333333.333333328</v>
      </c>
      <c r="AK11" s="136">
        <f t="shared" si="12"/>
        <v>27790885.796126291</v>
      </c>
      <c r="AL11" s="23">
        <f t="shared" si="13"/>
        <v>0.34146341463414637</v>
      </c>
      <c r="AM11" s="24">
        <f t="shared" si="4"/>
        <v>0.25773195876288657</v>
      </c>
      <c r="AN11" s="24">
        <f t="shared" si="4"/>
        <v>9.4890510948905105E-2</v>
      </c>
      <c r="AO11" s="25">
        <f t="shared" si="14"/>
        <v>0.23136196144864604</v>
      </c>
      <c r="AP11" s="26">
        <f t="shared" si="15"/>
        <v>0.12538373808715228</v>
      </c>
      <c r="AQ11" s="24">
        <f t="shared" si="16"/>
        <v>0.65853658536585369</v>
      </c>
      <c r="AR11" s="24">
        <f t="shared" si="5"/>
        <v>0.74226804123711343</v>
      </c>
      <c r="AS11" s="24">
        <f t="shared" si="5"/>
        <v>0.9051094890510949</v>
      </c>
      <c r="AT11" s="25">
        <f t="shared" si="17"/>
        <v>0.76863803855135393</v>
      </c>
      <c r="AU11" s="26">
        <f t="shared" si="18"/>
        <v>0.12538373808715234</v>
      </c>
    </row>
    <row r="12" spans="1:47" x14ac:dyDescent="0.25">
      <c r="A12" s="5" t="s">
        <v>46</v>
      </c>
      <c r="B12" s="17">
        <v>42477.275000000001</v>
      </c>
      <c r="C12" s="122">
        <f t="shared" si="6"/>
        <v>20.233333333453629</v>
      </c>
      <c r="D12" s="19">
        <f>0.156*2</f>
        <v>0.312</v>
      </c>
      <c r="E12" s="20">
        <f>0.155*2</f>
        <v>0.31</v>
      </c>
      <c r="F12" s="20">
        <v>0.28999999999999998</v>
      </c>
      <c r="G12" s="20">
        <v>0</v>
      </c>
      <c r="H12" s="21">
        <f t="shared" si="0"/>
        <v>0.30399999999999999</v>
      </c>
      <c r="I12" s="22">
        <f t="shared" si="1"/>
        <v>1.216552506059645E-2</v>
      </c>
      <c r="J12" s="23">
        <v>4.03</v>
      </c>
      <c r="K12" s="24">
        <v>3.95</v>
      </c>
      <c r="L12" s="24">
        <v>3.93</v>
      </c>
      <c r="M12" s="24">
        <v>6.01</v>
      </c>
      <c r="N12" s="25">
        <f t="shared" si="2"/>
        <v>3.97</v>
      </c>
      <c r="O12" s="26">
        <f t="shared" si="3"/>
        <v>5.2915026221291857E-2</v>
      </c>
      <c r="P12" s="23">
        <v>26.658514396319539</v>
      </c>
      <c r="Q12" s="24">
        <v>26.164554996659977</v>
      </c>
      <c r="R12" s="24">
        <v>26.537527600592188</v>
      </c>
      <c r="S12" s="24">
        <v>28.925907190891614</v>
      </c>
      <c r="T12" s="25">
        <f>AVERAGE(P12:R12)</f>
        <v>26.453532331190569</v>
      </c>
      <c r="U12" s="26">
        <f>STDEV(P12:R12)</f>
        <v>0.2574691750276078</v>
      </c>
      <c r="AB12" s="133">
        <f>X87-X64</f>
        <v>26000000</v>
      </c>
      <c r="AC12" s="134">
        <f>X88-X65</f>
        <v>-5000000</v>
      </c>
      <c r="AD12" s="134">
        <f>X89-X66</f>
        <v>5000000</v>
      </c>
      <c r="AE12" s="135">
        <f t="shared" si="9"/>
        <v>8666666.666666666</v>
      </c>
      <c r="AF12" s="136">
        <f t="shared" si="10"/>
        <v>15821925.715074424</v>
      </c>
      <c r="AG12" s="133">
        <f>X64</f>
        <v>97000000</v>
      </c>
      <c r="AH12" s="134">
        <f>X65</f>
        <v>122000000</v>
      </c>
      <c r="AI12" s="134">
        <f>X66</f>
        <v>109000000</v>
      </c>
      <c r="AJ12" s="135">
        <f t="shared" si="11"/>
        <v>109333333.33333333</v>
      </c>
      <c r="AK12" s="136">
        <f t="shared" si="12"/>
        <v>12503332.889007369</v>
      </c>
      <c r="AL12" s="23">
        <f t="shared" si="13"/>
        <v>0.21138211382113822</v>
      </c>
      <c r="AM12" s="24">
        <f t="shared" si="4"/>
        <v>-4.2735042735042736E-2</v>
      </c>
      <c r="AN12" s="24">
        <f t="shared" si="4"/>
        <v>4.3859649122807015E-2</v>
      </c>
      <c r="AO12" s="25">
        <f t="shared" si="14"/>
        <v>7.0835573402967505E-2</v>
      </c>
      <c r="AP12" s="26">
        <f t="shared" si="15"/>
        <v>0.12918845800661283</v>
      </c>
      <c r="AQ12" s="24">
        <f t="shared" si="16"/>
        <v>0.78861788617886175</v>
      </c>
      <c r="AR12" s="24">
        <f t="shared" si="5"/>
        <v>1.0427350427350428</v>
      </c>
      <c r="AS12" s="24">
        <f t="shared" si="5"/>
        <v>0.95614035087719296</v>
      </c>
      <c r="AT12" s="25">
        <f t="shared" si="17"/>
        <v>0.92916442659703247</v>
      </c>
      <c r="AU12" s="26">
        <f t="shared" si="18"/>
        <v>0.12918845800661244</v>
      </c>
    </row>
    <row r="13" spans="1:47" x14ac:dyDescent="0.25">
      <c r="A13" s="5" t="s">
        <v>65</v>
      </c>
      <c r="B13" s="17">
        <v>42477.62222222222</v>
      </c>
      <c r="C13" s="39">
        <f t="shared" si="6"/>
        <v>28.566666666709352</v>
      </c>
      <c r="D13" s="40">
        <f>0.158*2</f>
        <v>0.316</v>
      </c>
      <c r="E13" s="41">
        <f>0.156*2</f>
        <v>0.312</v>
      </c>
      <c r="F13" s="41">
        <v>0.28499999999999998</v>
      </c>
      <c r="G13" s="41">
        <v>0</v>
      </c>
      <c r="H13" s="42">
        <f t="shared" si="0"/>
        <v>0.30433333333333334</v>
      </c>
      <c r="I13" s="43">
        <f t="shared" si="1"/>
        <v>1.6862186493255667E-2</v>
      </c>
      <c r="J13" s="44">
        <v>3.97</v>
      </c>
      <c r="K13" s="45">
        <v>3.93</v>
      </c>
      <c r="L13" s="45">
        <v>3.9</v>
      </c>
      <c r="M13" s="45">
        <v>6.01</v>
      </c>
      <c r="N13" s="46">
        <f t="shared" si="2"/>
        <v>3.9333333333333336</v>
      </c>
      <c r="O13" s="47">
        <f t="shared" si="3"/>
        <v>3.5118845842842597E-2</v>
      </c>
      <c r="P13" s="44"/>
      <c r="Q13" s="45"/>
      <c r="R13" s="45"/>
      <c r="S13" s="45"/>
      <c r="T13" s="46"/>
      <c r="U13" s="47"/>
      <c r="V13" s="62"/>
      <c r="W13" s="62"/>
      <c r="X13" s="62"/>
      <c r="Y13" s="62"/>
      <c r="Z13" s="62"/>
      <c r="AA13" s="63"/>
      <c r="AB13" s="64"/>
      <c r="AC13" s="62"/>
      <c r="AD13" s="62"/>
      <c r="AE13" s="104"/>
      <c r="AF13" s="80"/>
      <c r="AG13" s="64"/>
      <c r="AH13" s="62"/>
      <c r="AI13" s="62"/>
      <c r="AJ13" s="62"/>
      <c r="AK13" s="63"/>
      <c r="AL13" s="64"/>
      <c r="AM13" s="62"/>
      <c r="AN13" s="62"/>
      <c r="AO13" s="104"/>
      <c r="AP13" s="80"/>
      <c r="AQ13" s="62"/>
      <c r="AR13" s="62"/>
      <c r="AS13" s="62"/>
      <c r="AT13" s="62"/>
      <c r="AU13" s="63"/>
    </row>
    <row r="14" spans="1:47" ht="18.75" x14ac:dyDescent="0.35">
      <c r="B14" s="17"/>
      <c r="C14" s="48" t="s">
        <v>25</v>
      </c>
      <c r="D14" s="24">
        <f>LN(LOGEST(D7:D10,$C$7:$C$10))</f>
        <v>0.1617167512889735</v>
      </c>
      <c r="E14" s="24">
        <f t="shared" ref="E14:F14" si="21">LN(LOGEST(E7:E10,$C$7:$C$10))</f>
        <v>0.15818404684803314</v>
      </c>
      <c r="F14" s="24">
        <f t="shared" si="21"/>
        <v>0.15578648731235836</v>
      </c>
      <c r="G14" s="20"/>
      <c r="H14" s="25">
        <f>AVERAGE(D14:F14)</f>
        <v>0.15856242848312166</v>
      </c>
      <c r="I14" s="26">
        <f>STDEV(D14:F14)</f>
        <v>2.983184071493747E-3</v>
      </c>
      <c r="J14" s="24"/>
      <c r="K14" s="24"/>
      <c r="L14" s="49"/>
      <c r="M14" s="127"/>
      <c r="N14" s="25"/>
      <c r="O14" s="50" t="s">
        <v>87</v>
      </c>
      <c r="P14" s="23">
        <f>(P7-P10)</f>
        <v>0.98106301532335749</v>
      </c>
      <c r="Q14" s="24">
        <f t="shared" ref="Q14:R14" si="22">(Q7-Q10)</f>
        <v>1.2420125437783511</v>
      </c>
      <c r="R14" s="24">
        <f t="shared" si="22"/>
        <v>1.3385762259170306</v>
      </c>
      <c r="S14" s="24"/>
      <c r="T14" s="25">
        <f>AVERAGE(P14:R14)</f>
        <v>1.1872172616729131</v>
      </c>
      <c r="U14" s="51">
        <f>STDEV(P14:R14)</f>
        <v>0.1849481444703085</v>
      </c>
      <c r="AB14" s="84"/>
      <c r="AC14" s="49"/>
      <c r="AD14" s="49"/>
      <c r="AE14" s="49"/>
      <c r="AF14" s="59"/>
      <c r="AG14" s="84"/>
      <c r="AH14" s="49"/>
      <c r="AI14" s="49"/>
      <c r="AJ14" s="49"/>
      <c r="AK14" s="59"/>
      <c r="AL14" s="84"/>
      <c r="AM14" s="49"/>
      <c r="AN14" s="49"/>
      <c r="AO14" s="49"/>
      <c r="AP14" s="59"/>
      <c r="AQ14" s="49"/>
      <c r="AR14" s="49"/>
      <c r="AS14" s="49"/>
      <c r="AT14" s="49"/>
      <c r="AU14" s="59"/>
    </row>
    <row r="15" spans="1:47" ht="18" x14ac:dyDescent="0.35">
      <c r="A15" s="52" t="s">
        <v>27</v>
      </c>
      <c r="B15" s="53"/>
      <c r="C15" s="54" t="s">
        <v>28</v>
      </c>
      <c r="D15" s="55">
        <f>D13*0.46</f>
        <v>0.14536000000000002</v>
      </c>
      <c r="E15" s="55">
        <f t="shared" ref="E15:F15" si="23">E13*0.46</f>
        <v>0.14352000000000001</v>
      </c>
      <c r="F15" s="55">
        <f t="shared" si="23"/>
        <v>0.13109999999999999</v>
      </c>
      <c r="G15" s="55"/>
      <c r="H15" s="25">
        <f>AVERAGE(D15:F15)</f>
        <v>0.13999333333333333</v>
      </c>
      <c r="I15" s="26">
        <f>STDEV(D15:F15)</f>
        <v>7.7566057868976102E-3</v>
      </c>
      <c r="J15" s="24"/>
      <c r="K15" s="24"/>
      <c r="L15" s="49"/>
      <c r="M15" s="127"/>
      <c r="N15" s="25"/>
      <c r="O15" s="50" t="s">
        <v>29</v>
      </c>
      <c r="P15" s="23">
        <f>(D10-D7)*0.46</f>
        <v>8.3720000000000003E-2</v>
      </c>
      <c r="Q15" s="24">
        <f t="shared" ref="Q15:R15" si="24">(E10-E7)*0.46</f>
        <v>8.2799999999999999E-2</v>
      </c>
      <c r="R15" s="24">
        <f t="shared" si="24"/>
        <v>8.832000000000001E-2</v>
      </c>
      <c r="S15" s="24"/>
      <c r="T15" s="25">
        <f>AVERAGE(P15:R15)</f>
        <v>8.494666666666667E-2</v>
      </c>
      <c r="U15" s="26">
        <f>STDEV(P15:R15)</f>
        <v>2.9573862333711781E-3</v>
      </c>
      <c r="AB15" s="84"/>
      <c r="AC15" s="49"/>
      <c r="AD15" s="49"/>
      <c r="AE15" s="49"/>
      <c r="AF15" s="59"/>
      <c r="AG15" s="84"/>
      <c r="AH15" s="49"/>
      <c r="AI15" s="49"/>
      <c r="AJ15" s="49"/>
      <c r="AK15" s="59"/>
      <c r="AL15" s="84"/>
      <c r="AM15" s="49"/>
      <c r="AN15" s="49"/>
      <c r="AO15" s="49"/>
      <c r="AP15" s="59"/>
      <c r="AQ15" s="49"/>
      <c r="AR15" s="49"/>
      <c r="AS15" s="49"/>
      <c r="AT15" s="49"/>
      <c r="AU15" s="59"/>
    </row>
    <row r="16" spans="1:47" ht="18" x14ac:dyDescent="0.35">
      <c r="B16" s="17"/>
      <c r="C16" s="56"/>
      <c r="D16" s="24"/>
      <c r="E16" s="24"/>
      <c r="F16" s="24"/>
      <c r="G16" s="20"/>
      <c r="H16" s="20"/>
      <c r="I16" s="59"/>
      <c r="M16" s="127"/>
      <c r="O16" s="50" t="s">
        <v>88</v>
      </c>
      <c r="P16" s="23">
        <f>P15/(P14/1000*180.16)</f>
        <v>0.47366788771260349</v>
      </c>
      <c r="Q16" s="24">
        <f t="shared" ref="Q16:R16" si="25">Q15/(Q14/1000*180.16)</f>
        <v>0.37003770738658004</v>
      </c>
      <c r="R16" s="24">
        <f t="shared" si="25"/>
        <v>0.36623308883706607</v>
      </c>
      <c r="S16" s="24"/>
      <c r="T16" s="25">
        <f>AVERAGE(P16:R16)</f>
        <v>0.40331289464541653</v>
      </c>
      <c r="U16" s="26">
        <f>STDEV(P16:R16)</f>
        <v>6.0958900643710658E-2</v>
      </c>
      <c r="AB16" s="84"/>
      <c r="AC16" s="49"/>
      <c r="AD16" s="49"/>
      <c r="AE16" s="49"/>
      <c r="AF16" s="59"/>
      <c r="AG16" s="84"/>
      <c r="AH16" s="49"/>
      <c r="AI16" s="49"/>
      <c r="AJ16" s="49"/>
      <c r="AK16" s="59"/>
      <c r="AL16" s="84"/>
      <c r="AM16" s="49"/>
      <c r="AN16" s="49"/>
      <c r="AO16" s="49"/>
      <c r="AP16" s="59"/>
      <c r="AQ16" s="49"/>
      <c r="AR16" s="49"/>
      <c r="AS16" s="49"/>
      <c r="AT16" s="49"/>
      <c r="AU16" s="59"/>
    </row>
    <row r="17" spans="1:47" ht="18.75" x14ac:dyDescent="0.35">
      <c r="B17" s="17"/>
      <c r="C17" s="56"/>
      <c r="D17" s="24"/>
      <c r="E17" s="24"/>
      <c r="F17" s="24"/>
      <c r="G17" s="20"/>
      <c r="H17" s="20"/>
      <c r="I17" s="59"/>
      <c r="M17" s="127"/>
      <c r="O17" s="54" t="s">
        <v>32</v>
      </c>
      <c r="P17" s="23">
        <f>D14*(P14)</f>
        <v>0.15865432364785781</v>
      </c>
      <c r="Q17" s="24">
        <f t="shared" ref="Q17:R17" si="26">E14*(Q14)</f>
        <v>0.1964665704108795</v>
      </c>
      <c r="R17" s="24">
        <f t="shared" si="26"/>
        <v>0.20853208823544803</v>
      </c>
      <c r="S17" s="24"/>
      <c r="T17" s="25">
        <f>AVERAGE(P17:R17)</f>
        <v>0.18788432743139513</v>
      </c>
      <c r="U17" s="26">
        <f>STDEV(P17:R17)</f>
        <v>2.6022855742269067E-2</v>
      </c>
      <c r="AB17" s="84"/>
      <c r="AC17" s="49"/>
      <c r="AD17" s="49"/>
      <c r="AE17" s="49"/>
      <c r="AF17" s="59"/>
      <c r="AG17" s="84"/>
      <c r="AH17" s="49"/>
      <c r="AI17" s="49"/>
      <c r="AJ17" s="49"/>
      <c r="AK17" s="59"/>
      <c r="AL17" s="84"/>
      <c r="AM17" s="49"/>
      <c r="AN17" s="49"/>
      <c r="AO17" s="49"/>
      <c r="AP17" s="59"/>
      <c r="AQ17" s="49"/>
      <c r="AR17" s="49"/>
      <c r="AS17" s="49"/>
      <c r="AT17" s="49"/>
      <c r="AU17" s="59"/>
    </row>
    <row r="18" spans="1:47" ht="18.75" x14ac:dyDescent="0.35">
      <c r="B18" s="17"/>
      <c r="C18" s="61"/>
      <c r="D18" s="45"/>
      <c r="E18" s="45"/>
      <c r="F18" s="45"/>
      <c r="G18" s="41"/>
      <c r="H18" s="41"/>
      <c r="I18" s="144"/>
      <c r="J18" s="45"/>
      <c r="K18" s="45"/>
      <c r="L18" s="62"/>
      <c r="M18" s="11"/>
      <c r="N18" s="45"/>
      <c r="O18" s="65" t="s">
        <v>33</v>
      </c>
      <c r="P18" s="66">
        <f>D14*(P14/P15)</f>
        <v>1.8950588108917559</v>
      </c>
      <c r="Q18" s="67">
        <f>E14*(Q14/Q15)</f>
        <v>2.3727846667980619</v>
      </c>
      <c r="R18" s="67">
        <f>F14*(R14/R15)</f>
        <v>2.3610970135354168</v>
      </c>
      <c r="S18" s="45"/>
      <c r="T18" s="46">
        <f>AVERAGE(P18:R18)</f>
        <v>2.2096468304084116</v>
      </c>
      <c r="U18" s="47">
        <f>STDEV(P18:R18)</f>
        <v>0.27250388405902615</v>
      </c>
      <c r="V18" s="62"/>
      <c r="W18" s="62"/>
      <c r="X18" s="62"/>
      <c r="Y18" s="62"/>
      <c r="Z18" s="62"/>
      <c r="AA18" s="63"/>
      <c r="AB18" s="64"/>
      <c r="AC18" s="62"/>
      <c r="AD18" s="62"/>
      <c r="AE18" s="62"/>
      <c r="AF18" s="63"/>
      <c r="AG18" s="64"/>
      <c r="AH18" s="62"/>
      <c r="AI18" s="62"/>
      <c r="AJ18" s="62"/>
      <c r="AK18" s="63"/>
      <c r="AL18" s="64"/>
      <c r="AM18" s="62"/>
      <c r="AN18" s="62"/>
      <c r="AO18" s="62"/>
      <c r="AP18" s="63"/>
      <c r="AQ18" s="62"/>
      <c r="AR18" s="62"/>
      <c r="AS18" s="62"/>
      <c r="AT18" s="62"/>
      <c r="AU18" s="63"/>
    </row>
    <row r="19" spans="1:47" x14ac:dyDescent="0.25">
      <c r="B19" s="17"/>
      <c r="C19" s="125"/>
      <c r="D19" s="24"/>
      <c r="E19" s="24"/>
      <c r="F19" s="24"/>
      <c r="G19" s="20"/>
      <c r="H19" s="20"/>
      <c r="I19" s="69" t="s">
        <v>34</v>
      </c>
      <c r="J19" s="24">
        <f>P15/(J7-J10)</f>
        <v>6.6976000000000008E-2</v>
      </c>
      <c r="K19" s="24">
        <f>Q15/(K7-K10)</f>
        <v>6.0437956204379556E-2</v>
      </c>
      <c r="L19" s="24">
        <f>R15/(L7-L10)</f>
        <v>5.6615384615384602E-2</v>
      </c>
      <c r="M19" s="49"/>
      <c r="N19" s="25">
        <f>AVERAGE(J19:L19)</f>
        <v>6.1343113606588055E-2</v>
      </c>
      <c r="O19" s="26">
        <f>STDEV(J19:L19)</f>
        <v>5.2392814611415929E-3</v>
      </c>
      <c r="P19" s="94"/>
      <c r="Q19" s="94"/>
      <c r="R19" s="94"/>
      <c r="S19" s="24"/>
      <c r="T19" s="24"/>
      <c r="U19" s="24"/>
      <c r="V19" s="24"/>
      <c r="W19" s="24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</row>
    <row r="20" spans="1:47" x14ac:dyDescent="0.25">
      <c r="B20" s="17"/>
      <c r="C20" s="125"/>
      <c r="D20" s="24"/>
      <c r="E20" s="24"/>
      <c r="F20" s="24"/>
      <c r="G20" s="20"/>
      <c r="H20" s="20"/>
      <c r="I20" s="20"/>
      <c r="J20" s="24"/>
      <c r="K20" s="24"/>
      <c r="L20" s="49"/>
      <c r="M20" s="49"/>
      <c r="N20" s="24"/>
      <c r="O20" s="49"/>
      <c r="P20" s="94"/>
      <c r="Q20" s="94"/>
      <c r="R20" s="94"/>
      <c r="S20" s="24"/>
      <c r="T20" s="24"/>
      <c r="U20" s="24"/>
      <c r="V20" s="24"/>
      <c r="W20" s="24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</row>
    <row r="21" spans="1:47" x14ac:dyDescent="0.25">
      <c r="B21" s="17"/>
      <c r="C21" s="125"/>
      <c r="D21" s="24"/>
      <c r="E21" s="24"/>
      <c r="F21" s="24"/>
      <c r="G21" s="20"/>
      <c r="H21" s="20"/>
      <c r="I21" s="20"/>
      <c r="J21" s="24"/>
      <c r="K21" s="24"/>
      <c r="L21" s="49"/>
      <c r="M21" s="49"/>
      <c r="N21" s="24"/>
      <c r="O21" s="9" t="s">
        <v>35</v>
      </c>
      <c r="P21" s="94">
        <f>P14/1000*6</f>
        <v>5.886378091940145E-3</v>
      </c>
      <c r="Q21" s="94">
        <f t="shared" ref="Q21:R21" si="27">Q14/1000*6</f>
        <v>7.4520752626701069E-3</v>
      </c>
      <c r="R21" s="94">
        <f t="shared" si="27"/>
        <v>8.0314573555021838E-3</v>
      </c>
      <c r="S21" s="24"/>
      <c r="T21" s="24"/>
      <c r="U21" s="24"/>
      <c r="V21" s="24"/>
      <c r="W21" s="24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</row>
    <row r="22" spans="1:47" x14ac:dyDescent="0.25">
      <c r="B22" s="17"/>
      <c r="C22" s="125"/>
      <c r="D22" s="24"/>
      <c r="E22" s="24"/>
      <c r="F22" s="24"/>
      <c r="G22" s="20"/>
      <c r="H22" s="20"/>
      <c r="I22" s="20"/>
      <c r="J22" s="24"/>
      <c r="K22" s="24"/>
      <c r="L22" s="49"/>
      <c r="M22" s="49"/>
      <c r="N22" s="24"/>
      <c r="O22" s="9" t="s">
        <v>36</v>
      </c>
      <c r="P22" s="94">
        <f>P15*0.5/12.01</f>
        <v>3.4854288093255623E-3</v>
      </c>
      <c r="Q22" s="94">
        <f t="shared" ref="Q22:R22" si="28">Q15*0.5/12.01</f>
        <v>3.4471273938384678E-3</v>
      </c>
      <c r="R22" s="94">
        <f t="shared" si="28"/>
        <v>3.6769358867610328E-3</v>
      </c>
      <c r="S22" s="24"/>
      <c r="T22" s="79" t="s">
        <v>17</v>
      </c>
      <c r="U22" s="51" t="s">
        <v>18</v>
      </c>
      <c r="V22" s="24"/>
      <c r="W22" s="24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</row>
    <row r="23" spans="1:47" x14ac:dyDescent="0.25">
      <c r="B23" s="17"/>
      <c r="C23" s="125"/>
      <c r="D23" s="24"/>
      <c r="E23" s="24"/>
      <c r="F23" s="24"/>
      <c r="G23" s="20"/>
      <c r="H23" s="20"/>
      <c r="I23" s="20"/>
      <c r="J23" s="24"/>
      <c r="K23" s="24"/>
      <c r="L23" s="49"/>
      <c r="M23" s="49"/>
      <c r="N23" s="24"/>
      <c r="O23" s="9" t="s">
        <v>37</v>
      </c>
      <c r="P23" s="94">
        <f>(P21-P22)/P21</f>
        <v>0.40788227414444456</v>
      </c>
      <c r="Q23" s="94">
        <f t="shared" ref="Q23:R23" si="29">(Q21-Q22)/Q21</f>
        <v>0.53742719010015083</v>
      </c>
      <c r="R23" s="94">
        <f t="shared" si="29"/>
        <v>0.54218322727667345</v>
      </c>
      <c r="T23" s="103">
        <f>AVERAGE(P23:R23)</f>
        <v>0.49583089717375622</v>
      </c>
      <c r="U23" s="47">
        <f>STDEV(P23:R23)</f>
        <v>7.6202855536850425E-2</v>
      </c>
      <c r="V23" s="24"/>
      <c r="W23" s="24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</row>
    <row r="24" spans="1:47" x14ac:dyDescent="0.25">
      <c r="B24" s="17"/>
      <c r="C24" s="125"/>
      <c r="D24" s="24"/>
      <c r="E24" s="24"/>
      <c r="F24" s="24"/>
      <c r="G24" s="20"/>
      <c r="H24" s="20"/>
      <c r="I24" s="20"/>
      <c r="J24" s="24"/>
      <c r="K24" s="24"/>
      <c r="L24" s="49"/>
      <c r="M24" s="49"/>
      <c r="N24" s="24"/>
      <c r="O24" s="49"/>
      <c r="P24" s="94"/>
      <c r="Q24" s="94"/>
      <c r="R24" s="94"/>
      <c r="S24" s="24"/>
      <c r="T24" s="24"/>
      <c r="U24" s="24"/>
      <c r="V24" s="24"/>
      <c r="W24" s="24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</row>
    <row r="25" spans="1:47" x14ac:dyDescent="0.25">
      <c r="B25" s="17"/>
      <c r="C25" s="68"/>
      <c r="D25" s="24"/>
      <c r="E25" s="24"/>
      <c r="F25" s="24"/>
      <c r="G25" s="20"/>
      <c r="H25" s="20"/>
      <c r="I25" s="20"/>
      <c r="J25" s="24"/>
      <c r="K25" s="24"/>
      <c r="L25" s="7"/>
      <c r="M25" s="24"/>
      <c r="N25" s="24"/>
    </row>
    <row r="27" spans="1:47" x14ac:dyDescent="0.25">
      <c r="A27" s="9"/>
      <c r="C27" s="73"/>
      <c r="D27" s="1"/>
      <c r="E27" s="74"/>
      <c r="F27" s="73"/>
      <c r="G27" s="1"/>
      <c r="H27" s="74"/>
      <c r="I27" s="73"/>
      <c r="J27" s="1"/>
      <c r="K27" s="74"/>
    </row>
    <row r="28" spans="1:47" x14ac:dyDescent="0.25">
      <c r="E28" s="55"/>
      <c r="H28" s="55"/>
      <c r="K28" s="55"/>
    </row>
    <row r="31" spans="1:47" x14ac:dyDescent="0.25">
      <c r="O31" s="75"/>
      <c r="P31" s="76"/>
      <c r="Q31" s="76"/>
      <c r="R31" s="76"/>
    </row>
    <row r="32" spans="1:47" x14ac:dyDescent="0.25">
      <c r="O32" s="75"/>
      <c r="P32" s="76"/>
    </row>
    <row r="33" spans="1:25" x14ac:dyDescent="0.25">
      <c r="O33" s="75"/>
      <c r="P33" s="77"/>
      <c r="Q33" s="77"/>
      <c r="R33" s="77"/>
    </row>
    <row r="34" spans="1:25" x14ac:dyDescent="0.25">
      <c r="O34" s="75"/>
      <c r="P34" s="76"/>
    </row>
    <row r="41" spans="1:25" x14ac:dyDescent="0.25">
      <c r="A41" s="145" t="s">
        <v>89</v>
      </c>
    </row>
    <row r="42" spans="1:25" x14ac:dyDescent="0.25">
      <c r="B42" s="73" t="s">
        <v>90</v>
      </c>
      <c r="C42" s="73">
        <v>1</v>
      </c>
      <c r="D42" s="73">
        <v>2</v>
      </c>
      <c r="E42" s="73">
        <v>3</v>
      </c>
      <c r="F42" s="73">
        <v>4</v>
      </c>
      <c r="G42" s="73">
        <v>5</v>
      </c>
      <c r="H42" s="73">
        <v>6</v>
      </c>
      <c r="I42" s="73">
        <v>7</v>
      </c>
      <c r="J42" s="73">
        <v>8</v>
      </c>
      <c r="K42" s="73">
        <v>9</v>
      </c>
      <c r="L42" s="73">
        <v>10</v>
      </c>
      <c r="M42" s="73"/>
      <c r="N42" s="73">
        <v>1</v>
      </c>
      <c r="O42" s="73">
        <v>2</v>
      </c>
      <c r="P42" s="73">
        <v>3</v>
      </c>
      <c r="Q42" s="73">
        <v>4</v>
      </c>
      <c r="R42" s="73">
        <v>5</v>
      </c>
      <c r="S42" s="73">
        <v>6</v>
      </c>
      <c r="T42" s="73">
        <v>7</v>
      </c>
      <c r="U42" s="73">
        <v>8</v>
      </c>
      <c r="V42" s="73">
        <v>9</v>
      </c>
      <c r="W42" s="73">
        <v>10</v>
      </c>
      <c r="X42" s="73" t="s">
        <v>91</v>
      </c>
    </row>
    <row r="43" spans="1:25" x14ac:dyDescent="0.25">
      <c r="A43" s="9" t="s">
        <v>92</v>
      </c>
      <c r="B43" s="5">
        <v>5</v>
      </c>
      <c r="C43" s="5">
        <v>3</v>
      </c>
      <c r="D43" s="5">
        <v>1</v>
      </c>
      <c r="E43" s="5">
        <v>3</v>
      </c>
      <c r="F43" s="5">
        <v>2</v>
      </c>
      <c r="G43" s="5">
        <v>6</v>
      </c>
      <c r="H43" s="5">
        <v>2</v>
      </c>
      <c r="I43" s="5">
        <v>2</v>
      </c>
      <c r="J43" s="5">
        <v>4</v>
      </c>
      <c r="K43" s="5">
        <v>3</v>
      </c>
      <c r="L43" s="5">
        <v>3</v>
      </c>
      <c r="N43" s="146">
        <f>(C43/0.01)*10^($B$43)</f>
        <v>30000000</v>
      </c>
      <c r="O43" s="146">
        <f t="shared" ref="O43:W43" si="30">(D43/0.01)*10^($B$43)</f>
        <v>10000000</v>
      </c>
      <c r="P43" s="146">
        <f t="shared" si="30"/>
        <v>30000000</v>
      </c>
      <c r="Q43" s="146">
        <f t="shared" si="30"/>
        <v>20000000</v>
      </c>
      <c r="R43" s="146">
        <f t="shared" si="30"/>
        <v>60000000</v>
      </c>
      <c r="S43" s="146">
        <f t="shared" si="30"/>
        <v>20000000</v>
      </c>
      <c r="T43" s="146">
        <f t="shared" si="30"/>
        <v>20000000</v>
      </c>
      <c r="U43" s="146">
        <f t="shared" si="30"/>
        <v>40000000</v>
      </c>
      <c r="V43" s="146">
        <f t="shared" si="30"/>
        <v>30000000</v>
      </c>
      <c r="W43" s="146">
        <f t="shared" si="30"/>
        <v>30000000</v>
      </c>
      <c r="X43" s="146">
        <f>AVERAGE(N43:W43)</f>
        <v>29000000</v>
      </c>
      <c r="Y43" s="9" t="s">
        <v>92</v>
      </c>
    </row>
    <row r="44" spans="1:25" x14ac:dyDescent="0.25">
      <c r="A44" s="147" t="s">
        <v>92</v>
      </c>
      <c r="B44" s="5">
        <v>4</v>
      </c>
      <c r="C44" s="5">
        <v>24</v>
      </c>
      <c r="D44" s="5">
        <v>23</v>
      </c>
      <c r="E44" s="5">
        <v>21</v>
      </c>
      <c r="F44" s="5">
        <v>33</v>
      </c>
      <c r="G44" s="5">
        <v>21</v>
      </c>
      <c r="H44" s="5">
        <v>24</v>
      </c>
      <c r="I44" s="5">
        <v>26</v>
      </c>
      <c r="J44" s="5">
        <v>21</v>
      </c>
      <c r="K44" s="5">
        <v>24</v>
      </c>
      <c r="L44" s="5">
        <v>18</v>
      </c>
      <c r="N44" s="146">
        <f>(C44/0.01)*10^($B$44)</f>
        <v>24000000</v>
      </c>
      <c r="O44" s="146">
        <f t="shared" ref="O44:W44" si="31">(D44/0.01)*10^($B$44)</f>
        <v>23000000</v>
      </c>
      <c r="P44" s="146">
        <f t="shared" si="31"/>
        <v>21000000</v>
      </c>
      <c r="Q44" s="146">
        <f t="shared" si="31"/>
        <v>33000000</v>
      </c>
      <c r="R44" s="146">
        <f t="shared" si="31"/>
        <v>21000000</v>
      </c>
      <c r="S44" s="146">
        <f t="shared" si="31"/>
        <v>24000000</v>
      </c>
      <c r="T44" s="146">
        <f t="shared" si="31"/>
        <v>26000000</v>
      </c>
      <c r="U44" s="146">
        <f t="shared" si="31"/>
        <v>21000000</v>
      </c>
      <c r="V44" s="146">
        <f t="shared" si="31"/>
        <v>24000000</v>
      </c>
      <c r="W44" s="146">
        <f t="shared" si="31"/>
        <v>18000000</v>
      </c>
      <c r="X44" s="146">
        <f t="shared" ref="X44:X89" si="32">AVERAGE(N44:W44)</f>
        <v>23500000</v>
      </c>
      <c r="Y44" s="147" t="s">
        <v>92</v>
      </c>
    </row>
    <row r="45" spans="1:25" x14ac:dyDescent="0.25">
      <c r="A45" s="9" t="s">
        <v>93</v>
      </c>
      <c r="B45" s="5">
        <v>5</v>
      </c>
      <c r="C45" s="5">
        <v>5</v>
      </c>
      <c r="D45" s="5">
        <v>2</v>
      </c>
      <c r="E45" s="5">
        <v>5</v>
      </c>
      <c r="F45" s="5">
        <v>6</v>
      </c>
      <c r="G45" s="5">
        <v>7</v>
      </c>
      <c r="H45" s="5">
        <v>4</v>
      </c>
      <c r="I45" s="5">
        <v>2</v>
      </c>
      <c r="J45" s="5">
        <v>1</v>
      </c>
      <c r="K45" s="5">
        <v>1</v>
      </c>
      <c r="L45" s="5">
        <v>2</v>
      </c>
      <c r="N45" s="146">
        <f>(C45/0.01)*10^($B$45)</f>
        <v>50000000</v>
      </c>
      <c r="O45" s="146">
        <f t="shared" ref="O45:W45" si="33">(D45/0.01)*10^($B$45)</f>
        <v>20000000</v>
      </c>
      <c r="P45" s="146">
        <f t="shared" si="33"/>
        <v>50000000</v>
      </c>
      <c r="Q45" s="146">
        <f t="shared" si="33"/>
        <v>60000000</v>
      </c>
      <c r="R45" s="146">
        <f t="shared" si="33"/>
        <v>70000000</v>
      </c>
      <c r="S45" s="146">
        <f t="shared" si="33"/>
        <v>40000000</v>
      </c>
      <c r="T45" s="146">
        <f t="shared" si="33"/>
        <v>20000000</v>
      </c>
      <c r="U45" s="146">
        <f t="shared" si="33"/>
        <v>10000000</v>
      </c>
      <c r="V45" s="146">
        <f t="shared" si="33"/>
        <v>10000000</v>
      </c>
      <c r="W45" s="146">
        <f t="shared" si="33"/>
        <v>20000000</v>
      </c>
      <c r="X45" s="146">
        <f t="shared" si="32"/>
        <v>35000000</v>
      </c>
      <c r="Y45" s="9" t="s">
        <v>93</v>
      </c>
    </row>
    <row r="46" spans="1:25" x14ac:dyDescent="0.25">
      <c r="A46" s="147" t="s">
        <v>93</v>
      </c>
      <c r="B46" s="5">
        <v>4</v>
      </c>
      <c r="C46" s="5">
        <v>18</v>
      </c>
      <c r="D46" s="5">
        <v>30</v>
      </c>
      <c r="E46" s="5">
        <v>23</v>
      </c>
      <c r="F46" s="5">
        <v>23</v>
      </c>
      <c r="G46" s="5">
        <v>24</v>
      </c>
      <c r="H46" s="5">
        <v>19</v>
      </c>
      <c r="I46" s="5">
        <v>25</v>
      </c>
      <c r="J46" s="5">
        <v>17</v>
      </c>
      <c r="K46" s="5">
        <v>23</v>
      </c>
      <c r="L46" s="5">
        <v>24</v>
      </c>
      <c r="N46" s="146">
        <f>(C46/0.01)*10^($B$46)</f>
        <v>18000000</v>
      </c>
      <c r="O46" s="146">
        <f t="shared" ref="O46:W46" si="34">(D46/0.01)*10^($B$46)</f>
        <v>30000000</v>
      </c>
      <c r="P46" s="146">
        <f t="shared" si="34"/>
        <v>23000000</v>
      </c>
      <c r="Q46" s="146">
        <f t="shared" si="34"/>
        <v>23000000</v>
      </c>
      <c r="R46" s="146">
        <f t="shared" si="34"/>
        <v>24000000</v>
      </c>
      <c r="S46" s="146">
        <f t="shared" si="34"/>
        <v>19000000</v>
      </c>
      <c r="T46" s="146">
        <f t="shared" si="34"/>
        <v>25000000</v>
      </c>
      <c r="U46" s="146">
        <f t="shared" si="34"/>
        <v>17000000</v>
      </c>
      <c r="V46" s="146">
        <f t="shared" si="34"/>
        <v>23000000</v>
      </c>
      <c r="W46" s="146">
        <f t="shared" si="34"/>
        <v>24000000</v>
      </c>
      <c r="X46" s="146">
        <f t="shared" si="32"/>
        <v>22600000</v>
      </c>
      <c r="Y46" s="147" t="s">
        <v>93</v>
      </c>
    </row>
    <row r="47" spans="1:25" x14ac:dyDescent="0.25">
      <c r="A47" s="9" t="s">
        <v>94</v>
      </c>
      <c r="B47" s="5">
        <v>5</v>
      </c>
      <c r="C47" s="5">
        <v>4</v>
      </c>
      <c r="D47" s="5">
        <v>5</v>
      </c>
      <c r="E47" s="5">
        <v>3</v>
      </c>
      <c r="F47" s="5">
        <v>3</v>
      </c>
      <c r="G47" s="5">
        <v>2</v>
      </c>
      <c r="H47" s="5">
        <v>4</v>
      </c>
      <c r="I47" s="5">
        <v>4</v>
      </c>
      <c r="J47" s="5">
        <v>5</v>
      </c>
      <c r="K47" s="5">
        <v>4</v>
      </c>
      <c r="L47" s="5">
        <v>3</v>
      </c>
      <c r="N47" s="146">
        <f>(C47/0.01)*10^($B$47)</f>
        <v>40000000</v>
      </c>
      <c r="O47" s="146">
        <f t="shared" ref="O47:W47" si="35">(D47/0.01)*10^($B$47)</f>
        <v>50000000</v>
      </c>
      <c r="P47" s="146">
        <f t="shared" si="35"/>
        <v>30000000</v>
      </c>
      <c r="Q47" s="146">
        <f t="shared" si="35"/>
        <v>30000000</v>
      </c>
      <c r="R47" s="146">
        <f t="shared" si="35"/>
        <v>20000000</v>
      </c>
      <c r="S47" s="146">
        <f t="shared" si="35"/>
        <v>40000000</v>
      </c>
      <c r="T47" s="146">
        <f t="shared" si="35"/>
        <v>40000000</v>
      </c>
      <c r="U47" s="146">
        <f t="shared" si="35"/>
        <v>50000000</v>
      </c>
      <c r="V47" s="146">
        <f t="shared" si="35"/>
        <v>40000000</v>
      </c>
      <c r="W47" s="146">
        <f t="shared" si="35"/>
        <v>30000000</v>
      </c>
      <c r="X47" s="146">
        <f t="shared" si="32"/>
        <v>37000000</v>
      </c>
      <c r="Y47" s="9" t="s">
        <v>94</v>
      </c>
    </row>
    <row r="48" spans="1:25" x14ac:dyDescent="0.25">
      <c r="A48" s="147" t="s">
        <v>94</v>
      </c>
      <c r="B48" s="5">
        <v>4</v>
      </c>
      <c r="C48" s="5">
        <v>26</v>
      </c>
      <c r="D48" s="5">
        <v>31</v>
      </c>
      <c r="E48" s="5">
        <v>23</v>
      </c>
      <c r="F48" s="5">
        <v>27</v>
      </c>
      <c r="G48" s="5">
        <v>29</v>
      </c>
      <c r="H48" s="5">
        <v>23</v>
      </c>
      <c r="I48" s="5">
        <v>29</v>
      </c>
      <c r="J48" s="5">
        <v>25</v>
      </c>
      <c r="K48" s="5">
        <v>24</v>
      </c>
      <c r="L48" s="5">
        <v>33</v>
      </c>
      <c r="N48" s="146">
        <f>(C48/0.01)*10^($B$48)</f>
        <v>26000000</v>
      </c>
      <c r="O48" s="146">
        <f t="shared" ref="O48:W48" si="36">(D48/0.01)*10^($B$48)</f>
        <v>31000000</v>
      </c>
      <c r="P48" s="146">
        <f t="shared" si="36"/>
        <v>23000000</v>
      </c>
      <c r="Q48" s="146">
        <f t="shared" si="36"/>
        <v>27000000</v>
      </c>
      <c r="R48" s="146">
        <f t="shared" si="36"/>
        <v>29000000</v>
      </c>
      <c r="S48" s="146">
        <f t="shared" si="36"/>
        <v>23000000</v>
      </c>
      <c r="T48" s="146">
        <f t="shared" si="36"/>
        <v>29000000</v>
      </c>
      <c r="U48" s="146">
        <f t="shared" si="36"/>
        <v>25000000</v>
      </c>
      <c r="V48" s="146">
        <f t="shared" si="36"/>
        <v>24000000</v>
      </c>
      <c r="W48" s="146">
        <f t="shared" si="36"/>
        <v>33000000</v>
      </c>
      <c r="X48" s="146">
        <f t="shared" si="32"/>
        <v>27000000</v>
      </c>
      <c r="Y48" s="147" t="s">
        <v>94</v>
      </c>
    </row>
    <row r="49" spans="1:25" x14ac:dyDescent="0.25">
      <c r="A49" s="9" t="s">
        <v>95</v>
      </c>
      <c r="B49" s="5">
        <v>5</v>
      </c>
      <c r="C49" s="5">
        <v>6</v>
      </c>
      <c r="D49" s="5">
        <v>6</v>
      </c>
      <c r="E49" s="5">
        <v>8</v>
      </c>
      <c r="F49" s="5">
        <v>4</v>
      </c>
      <c r="G49" s="5">
        <v>10</v>
      </c>
      <c r="H49" s="5">
        <v>5</v>
      </c>
      <c r="I49" s="5">
        <v>8</v>
      </c>
      <c r="J49" s="5">
        <v>3</v>
      </c>
      <c r="K49" s="5">
        <v>10</v>
      </c>
      <c r="L49" s="5">
        <v>8</v>
      </c>
      <c r="N49" s="146">
        <f>(C49/0.01)*10^($B$49)</f>
        <v>60000000</v>
      </c>
      <c r="O49" s="146">
        <f t="shared" ref="O49:W49" si="37">(D49/0.01)*10^($B$49)</f>
        <v>60000000</v>
      </c>
      <c r="P49" s="146">
        <f t="shared" si="37"/>
        <v>80000000</v>
      </c>
      <c r="Q49" s="146">
        <f t="shared" si="37"/>
        <v>40000000</v>
      </c>
      <c r="R49" s="146">
        <f t="shared" si="37"/>
        <v>100000000</v>
      </c>
      <c r="S49" s="146">
        <f t="shared" si="37"/>
        <v>50000000</v>
      </c>
      <c r="T49" s="146">
        <f t="shared" si="37"/>
        <v>80000000</v>
      </c>
      <c r="U49" s="146">
        <f t="shared" si="37"/>
        <v>30000000</v>
      </c>
      <c r="V49" s="146">
        <f t="shared" si="37"/>
        <v>100000000</v>
      </c>
      <c r="W49" s="146">
        <f t="shared" si="37"/>
        <v>80000000</v>
      </c>
      <c r="X49" s="146">
        <f t="shared" si="32"/>
        <v>68000000</v>
      </c>
      <c r="Y49" s="9" t="s">
        <v>95</v>
      </c>
    </row>
    <row r="50" spans="1:25" x14ac:dyDescent="0.25">
      <c r="A50" s="9" t="s">
        <v>96</v>
      </c>
      <c r="B50" s="5">
        <v>5</v>
      </c>
      <c r="C50" s="5">
        <v>6</v>
      </c>
      <c r="D50" s="5">
        <v>11</v>
      </c>
      <c r="E50" s="5">
        <v>8</v>
      </c>
      <c r="F50" s="5">
        <v>5</v>
      </c>
      <c r="G50" s="5">
        <v>7</v>
      </c>
      <c r="H50" s="5">
        <v>9</v>
      </c>
      <c r="I50" s="5">
        <v>3</v>
      </c>
      <c r="J50" s="5">
        <v>5</v>
      </c>
      <c r="K50" s="5">
        <v>5</v>
      </c>
      <c r="L50" s="5">
        <v>4</v>
      </c>
      <c r="N50" s="146">
        <f>(C50/0.01)*10^($B$50)</f>
        <v>60000000</v>
      </c>
      <c r="O50" s="146">
        <f t="shared" ref="O50:W50" si="38">(D50/0.01)*10^($B$50)</f>
        <v>110000000</v>
      </c>
      <c r="P50" s="146">
        <f t="shared" si="38"/>
        <v>80000000</v>
      </c>
      <c r="Q50" s="146">
        <f t="shared" si="38"/>
        <v>50000000</v>
      </c>
      <c r="R50" s="146">
        <f t="shared" si="38"/>
        <v>70000000</v>
      </c>
      <c r="S50" s="146">
        <f t="shared" si="38"/>
        <v>90000000</v>
      </c>
      <c r="T50" s="146">
        <f t="shared" si="38"/>
        <v>30000000</v>
      </c>
      <c r="U50" s="146">
        <f t="shared" si="38"/>
        <v>50000000</v>
      </c>
      <c r="V50" s="146">
        <f t="shared" si="38"/>
        <v>50000000</v>
      </c>
      <c r="W50" s="146">
        <f t="shared" si="38"/>
        <v>40000000</v>
      </c>
      <c r="X50" s="146">
        <f t="shared" si="32"/>
        <v>63000000</v>
      </c>
      <c r="Y50" s="9" t="s">
        <v>96</v>
      </c>
    </row>
    <row r="51" spans="1:25" x14ac:dyDescent="0.25">
      <c r="A51" s="9" t="s">
        <v>97</v>
      </c>
      <c r="B51" s="5">
        <v>5</v>
      </c>
      <c r="C51" s="5">
        <v>2</v>
      </c>
      <c r="D51" s="5">
        <v>9</v>
      </c>
      <c r="E51" s="5">
        <v>6</v>
      </c>
      <c r="F51" s="5">
        <v>7</v>
      </c>
      <c r="G51" s="5">
        <v>8</v>
      </c>
      <c r="H51" s="5">
        <v>4</v>
      </c>
      <c r="I51" s="5">
        <v>12</v>
      </c>
      <c r="J51" s="5">
        <v>5</v>
      </c>
      <c r="K51" s="5">
        <v>9</v>
      </c>
      <c r="L51" s="5">
        <v>4</v>
      </c>
      <c r="N51" s="146">
        <f>(C51/0.01)*10^($B$51)</f>
        <v>20000000</v>
      </c>
      <c r="O51" s="146">
        <f t="shared" ref="O51:W51" si="39">(D51/0.01)*10^($B$51)</f>
        <v>90000000</v>
      </c>
      <c r="P51" s="146">
        <f t="shared" si="39"/>
        <v>60000000</v>
      </c>
      <c r="Q51" s="146">
        <f t="shared" si="39"/>
        <v>70000000</v>
      </c>
      <c r="R51" s="146">
        <f t="shared" si="39"/>
        <v>80000000</v>
      </c>
      <c r="S51" s="146">
        <f t="shared" si="39"/>
        <v>40000000</v>
      </c>
      <c r="T51" s="146">
        <f t="shared" si="39"/>
        <v>120000000</v>
      </c>
      <c r="U51" s="146">
        <f t="shared" si="39"/>
        <v>50000000</v>
      </c>
      <c r="V51" s="146">
        <f t="shared" si="39"/>
        <v>90000000</v>
      </c>
      <c r="W51" s="146">
        <f t="shared" si="39"/>
        <v>40000000</v>
      </c>
      <c r="X51" s="146">
        <f t="shared" si="32"/>
        <v>66000000</v>
      </c>
      <c r="Y51" s="9" t="s">
        <v>97</v>
      </c>
    </row>
    <row r="52" spans="1:25" x14ac:dyDescent="0.25">
      <c r="A52" s="9" t="s">
        <v>98</v>
      </c>
      <c r="B52" s="5">
        <v>5</v>
      </c>
      <c r="C52" s="5">
        <v>12</v>
      </c>
      <c r="D52" s="5">
        <v>12</v>
      </c>
      <c r="E52" s="5">
        <v>10</v>
      </c>
      <c r="F52" s="5">
        <v>11</v>
      </c>
      <c r="G52" s="5">
        <v>7</v>
      </c>
      <c r="H52" s="5">
        <v>5</v>
      </c>
      <c r="I52" s="5">
        <v>10</v>
      </c>
      <c r="J52" s="5">
        <v>20</v>
      </c>
      <c r="K52" s="5">
        <v>8</v>
      </c>
      <c r="L52" s="5">
        <v>12</v>
      </c>
      <c r="N52" s="146">
        <f>(C52/0.01)*10^($B$52)</f>
        <v>120000000</v>
      </c>
      <c r="O52" s="146">
        <f t="shared" ref="O52:W52" si="40">(D52/0.01)*10^($B$52)</f>
        <v>120000000</v>
      </c>
      <c r="P52" s="146">
        <f t="shared" si="40"/>
        <v>100000000</v>
      </c>
      <c r="Q52" s="146">
        <f t="shared" si="40"/>
        <v>110000000</v>
      </c>
      <c r="R52" s="146">
        <f t="shared" si="40"/>
        <v>70000000</v>
      </c>
      <c r="S52" s="146">
        <f t="shared" si="40"/>
        <v>50000000</v>
      </c>
      <c r="T52" s="146">
        <f t="shared" si="40"/>
        <v>100000000</v>
      </c>
      <c r="U52" s="146">
        <f t="shared" si="40"/>
        <v>200000000</v>
      </c>
      <c r="V52" s="146">
        <f t="shared" si="40"/>
        <v>80000000</v>
      </c>
      <c r="W52" s="146">
        <f t="shared" si="40"/>
        <v>120000000</v>
      </c>
      <c r="X52" s="146">
        <f t="shared" si="32"/>
        <v>107000000</v>
      </c>
      <c r="Y52" s="9" t="s">
        <v>98</v>
      </c>
    </row>
    <row r="53" spans="1:25" x14ac:dyDescent="0.25">
      <c r="A53" s="9" t="s">
        <v>99</v>
      </c>
      <c r="B53" s="5">
        <v>5</v>
      </c>
      <c r="C53" s="5">
        <v>14</v>
      </c>
      <c r="D53" s="5">
        <v>13</v>
      </c>
      <c r="E53" s="5">
        <v>7</v>
      </c>
      <c r="F53" s="5">
        <v>12</v>
      </c>
      <c r="G53" s="5">
        <v>11</v>
      </c>
      <c r="H53" s="5">
        <v>8</v>
      </c>
      <c r="I53" s="5">
        <v>8</v>
      </c>
      <c r="J53" s="5">
        <v>17</v>
      </c>
      <c r="K53" s="5">
        <v>16</v>
      </c>
      <c r="L53" s="5">
        <v>13</v>
      </c>
      <c r="N53" s="146">
        <f>(C53/0.01)*10^($B$53)</f>
        <v>140000000</v>
      </c>
      <c r="O53" s="146">
        <f t="shared" ref="O53:W53" si="41">(D53/0.01)*10^($B$53)</f>
        <v>130000000</v>
      </c>
      <c r="P53" s="146">
        <f t="shared" si="41"/>
        <v>70000000</v>
      </c>
      <c r="Q53" s="146">
        <f t="shared" si="41"/>
        <v>120000000</v>
      </c>
      <c r="R53" s="146">
        <f t="shared" si="41"/>
        <v>110000000</v>
      </c>
      <c r="S53" s="146">
        <f>(H53/0.01)*10^($B$53)</f>
        <v>80000000</v>
      </c>
      <c r="T53" s="146">
        <f t="shared" si="41"/>
        <v>80000000</v>
      </c>
      <c r="U53" s="146">
        <f t="shared" si="41"/>
        <v>170000000</v>
      </c>
      <c r="V53" s="146">
        <f t="shared" si="41"/>
        <v>160000000</v>
      </c>
      <c r="W53" s="146">
        <f t="shared" si="41"/>
        <v>130000000</v>
      </c>
      <c r="X53" s="146">
        <f t="shared" si="32"/>
        <v>119000000</v>
      </c>
      <c r="Y53" s="9" t="s">
        <v>99</v>
      </c>
    </row>
    <row r="54" spans="1:25" x14ac:dyDescent="0.25">
      <c r="A54" s="9" t="s">
        <v>100</v>
      </c>
      <c r="B54" s="5">
        <v>5</v>
      </c>
      <c r="C54" s="5">
        <v>16</v>
      </c>
      <c r="D54" s="5">
        <v>20</v>
      </c>
      <c r="E54" s="5">
        <v>14</v>
      </c>
      <c r="F54" s="5">
        <v>18</v>
      </c>
      <c r="G54" s="5">
        <v>11</v>
      </c>
      <c r="H54" s="5">
        <v>18</v>
      </c>
      <c r="I54" s="5">
        <v>16</v>
      </c>
      <c r="J54" s="5">
        <v>12</v>
      </c>
      <c r="K54" s="5">
        <v>23</v>
      </c>
      <c r="L54" s="5">
        <v>18</v>
      </c>
      <c r="N54" s="146">
        <f>(C54/0.01)*10^($B$54)</f>
        <v>160000000</v>
      </c>
      <c r="O54" s="146">
        <f t="shared" ref="O54:W54" si="42">(D54/0.01)*10^($B$54)</f>
        <v>200000000</v>
      </c>
      <c r="P54" s="146">
        <f t="shared" si="42"/>
        <v>140000000</v>
      </c>
      <c r="Q54" s="146">
        <f t="shared" si="42"/>
        <v>180000000</v>
      </c>
      <c r="R54" s="146">
        <f t="shared" si="42"/>
        <v>110000000</v>
      </c>
      <c r="S54" s="146">
        <f t="shared" si="42"/>
        <v>180000000</v>
      </c>
      <c r="T54" s="146">
        <f t="shared" si="42"/>
        <v>160000000</v>
      </c>
      <c r="U54" s="146">
        <f t="shared" si="42"/>
        <v>120000000</v>
      </c>
      <c r="V54" s="146">
        <f t="shared" si="42"/>
        <v>230000000</v>
      </c>
      <c r="W54" s="146">
        <f t="shared" si="42"/>
        <v>180000000</v>
      </c>
      <c r="X54" s="146">
        <f t="shared" si="32"/>
        <v>166000000</v>
      </c>
      <c r="Y54" s="9" t="s">
        <v>100</v>
      </c>
    </row>
    <row r="55" spans="1:25" x14ac:dyDescent="0.25">
      <c r="A55" s="9" t="s">
        <v>101</v>
      </c>
      <c r="B55" s="5">
        <v>5</v>
      </c>
      <c r="C55" s="5">
        <v>20</v>
      </c>
      <c r="D55" s="5">
        <v>14</v>
      </c>
      <c r="E55" s="5">
        <v>10</v>
      </c>
      <c r="F55" s="5">
        <v>15</v>
      </c>
      <c r="G55" s="5">
        <v>16</v>
      </c>
      <c r="H55" s="5">
        <v>10</v>
      </c>
      <c r="I55" s="5">
        <v>13</v>
      </c>
      <c r="J55" s="5">
        <v>12</v>
      </c>
      <c r="K55" s="5">
        <v>10</v>
      </c>
      <c r="L55" s="5">
        <v>14</v>
      </c>
      <c r="N55" s="146">
        <f>(C55/0.01)*10^($B$55)</f>
        <v>200000000</v>
      </c>
      <c r="O55" s="146">
        <f t="shared" ref="O55:W55" si="43">(D55/0.01)*10^($B$55)</f>
        <v>140000000</v>
      </c>
      <c r="P55" s="146">
        <f t="shared" si="43"/>
        <v>100000000</v>
      </c>
      <c r="Q55" s="146">
        <f t="shared" si="43"/>
        <v>150000000</v>
      </c>
      <c r="R55" s="146">
        <f t="shared" si="43"/>
        <v>160000000</v>
      </c>
      <c r="S55" s="146">
        <f t="shared" si="43"/>
        <v>100000000</v>
      </c>
      <c r="T55" s="146">
        <f t="shared" si="43"/>
        <v>130000000</v>
      </c>
      <c r="U55" s="146">
        <f t="shared" si="43"/>
        <v>120000000</v>
      </c>
      <c r="V55" s="146">
        <f t="shared" si="43"/>
        <v>100000000</v>
      </c>
      <c r="W55" s="146">
        <f t="shared" si="43"/>
        <v>140000000</v>
      </c>
      <c r="X55" s="146">
        <f t="shared" si="32"/>
        <v>134000000</v>
      </c>
      <c r="Y55" s="9" t="s">
        <v>101</v>
      </c>
    </row>
    <row r="56" spans="1:25" x14ac:dyDescent="0.25">
      <c r="A56" s="9" t="s">
        <v>102</v>
      </c>
      <c r="B56" s="5">
        <v>5</v>
      </c>
      <c r="C56" s="5">
        <v>20</v>
      </c>
      <c r="D56" s="5">
        <v>14</v>
      </c>
      <c r="E56" s="5">
        <v>13</v>
      </c>
      <c r="F56" s="5">
        <v>17</v>
      </c>
      <c r="G56" s="5">
        <v>18</v>
      </c>
      <c r="H56" s="5">
        <v>7</v>
      </c>
      <c r="I56" s="5">
        <v>13</v>
      </c>
      <c r="J56" s="5">
        <v>11</v>
      </c>
      <c r="K56" s="5">
        <v>9</v>
      </c>
      <c r="L56" s="5">
        <v>11</v>
      </c>
      <c r="N56" s="146">
        <f>(C56/0.01)*10^($B$56)</f>
        <v>200000000</v>
      </c>
      <c r="O56" s="146">
        <f t="shared" ref="O56:W56" si="44">(D56/0.01)*10^($B$56)</f>
        <v>140000000</v>
      </c>
      <c r="P56" s="146">
        <f t="shared" si="44"/>
        <v>130000000</v>
      </c>
      <c r="Q56" s="146">
        <f t="shared" si="44"/>
        <v>170000000</v>
      </c>
      <c r="R56" s="146">
        <f t="shared" si="44"/>
        <v>180000000</v>
      </c>
      <c r="S56" s="146">
        <f t="shared" si="44"/>
        <v>70000000</v>
      </c>
      <c r="T56" s="146">
        <f t="shared" si="44"/>
        <v>130000000</v>
      </c>
      <c r="U56" s="146">
        <f t="shared" si="44"/>
        <v>110000000</v>
      </c>
      <c r="V56" s="146">
        <f t="shared" si="44"/>
        <v>90000000</v>
      </c>
      <c r="W56" s="146">
        <f t="shared" si="44"/>
        <v>110000000</v>
      </c>
      <c r="X56" s="146">
        <f t="shared" si="32"/>
        <v>133000000</v>
      </c>
      <c r="Y56" s="9" t="s">
        <v>102</v>
      </c>
    </row>
    <row r="57" spans="1:25" x14ac:dyDescent="0.25">
      <c r="A57" s="9" t="s">
        <v>103</v>
      </c>
      <c r="B57" s="5">
        <v>5</v>
      </c>
      <c r="C57" s="5">
        <v>21</v>
      </c>
      <c r="D57" s="5">
        <v>21</v>
      </c>
      <c r="E57" s="5">
        <v>22</v>
      </c>
      <c r="F57" s="5">
        <v>18</v>
      </c>
      <c r="G57" s="5">
        <v>17</v>
      </c>
      <c r="H57" s="5">
        <v>16</v>
      </c>
      <c r="I57" s="5">
        <v>14</v>
      </c>
      <c r="J57" s="5">
        <v>12</v>
      </c>
      <c r="K57" s="5">
        <v>12</v>
      </c>
      <c r="L57" s="5">
        <v>13</v>
      </c>
      <c r="N57" s="146">
        <f>(C57/0.01)*10^($B$57)</f>
        <v>210000000</v>
      </c>
      <c r="O57" s="146">
        <f t="shared" ref="O57:W57" si="45">(D57/0.01)*10^($B$57)</f>
        <v>210000000</v>
      </c>
      <c r="P57" s="146">
        <f t="shared" si="45"/>
        <v>220000000</v>
      </c>
      <c r="Q57" s="146">
        <f t="shared" si="45"/>
        <v>180000000</v>
      </c>
      <c r="R57" s="146">
        <f t="shared" si="45"/>
        <v>170000000</v>
      </c>
      <c r="S57" s="146">
        <f t="shared" si="45"/>
        <v>160000000</v>
      </c>
      <c r="T57" s="146">
        <f t="shared" si="45"/>
        <v>140000000</v>
      </c>
      <c r="U57" s="146">
        <f t="shared" si="45"/>
        <v>120000000</v>
      </c>
      <c r="V57" s="146">
        <f t="shared" si="45"/>
        <v>120000000</v>
      </c>
      <c r="W57" s="146">
        <f t="shared" si="45"/>
        <v>130000000</v>
      </c>
      <c r="X57" s="146">
        <f t="shared" si="32"/>
        <v>166000000</v>
      </c>
      <c r="Y57" s="9" t="s">
        <v>103</v>
      </c>
    </row>
    <row r="58" spans="1:25" x14ac:dyDescent="0.25">
      <c r="A58" s="9" t="s">
        <v>104</v>
      </c>
      <c r="B58" s="5">
        <v>5</v>
      </c>
      <c r="C58" s="5">
        <v>5</v>
      </c>
      <c r="D58" s="5">
        <v>6</v>
      </c>
      <c r="E58" s="5">
        <v>8</v>
      </c>
      <c r="F58" s="5">
        <v>5</v>
      </c>
      <c r="G58" s="5">
        <v>7</v>
      </c>
      <c r="H58" s="5">
        <v>8</v>
      </c>
      <c r="I58" s="5">
        <v>10</v>
      </c>
      <c r="J58" s="5">
        <v>5</v>
      </c>
      <c r="K58" s="5">
        <v>2</v>
      </c>
      <c r="L58" s="5">
        <v>6</v>
      </c>
      <c r="N58" s="146">
        <f>(C58/0.01)*10^($B$58)</f>
        <v>50000000</v>
      </c>
      <c r="O58" s="146">
        <f t="shared" ref="O58:W58" si="46">(D58/0.01)*10^($B$58)</f>
        <v>60000000</v>
      </c>
      <c r="P58" s="146">
        <f t="shared" si="46"/>
        <v>80000000</v>
      </c>
      <c r="Q58" s="146">
        <f t="shared" si="46"/>
        <v>50000000</v>
      </c>
      <c r="R58" s="146">
        <f t="shared" si="46"/>
        <v>70000000</v>
      </c>
      <c r="S58" s="146">
        <f t="shared" si="46"/>
        <v>80000000</v>
      </c>
      <c r="T58" s="146">
        <f t="shared" si="46"/>
        <v>100000000</v>
      </c>
      <c r="U58" s="146">
        <f t="shared" si="46"/>
        <v>50000000</v>
      </c>
      <c r="V58" s="146">
        <f t="shared" si="46"/>
        <v>20000000</v>
      </c>
      <c r="W58" s="146">
        <f t="shared" si="46"/>
        <v>60000000</v>
      </c>
      <c r="X58" s="146">
        <f t="shared" si="32"/>
        <v>62000000</v>
      </c>
      <c r="Y58" s="9" t="s">
        <v>104</v>
      </c>
    </row>
    <row r="59" spans="1:25" x14ac:dyDescent="0.25">
      <c r="A59" s="9" t="s">
        <v>105</v>
      </c>
      <c r="B59" s="5">
        <v>5</v>
      </c>
      <c r="C59" s="5">
        <v>6</v>
      </c>
      <c r="D59" s="5">
        <v>10</v>
      </c>
      <c r="E59" s="5">
        <v>8</v>
      </c>
      <c r="F59" s="5">
        <v>3</v>
      </c>
      <c r="G59" s="5">
        <v>5</v>
      </c>
      <c r="H59" s="5">
        <v>4</v>
      </c>
      <c r="I59" s="5">
        <v>4</v>
      </c>
      <c r="J59" s="5">
        <v>3</v>
      </c>
      <c r="K59" s="5">
        <v>5</v>
      </c>
      <c r="L59" s="5">
        <v>2</v>
      </c>
      <c r="N59" s="146">
        <f>(C59/0.01)*10^($B$59)</f>
        <v>60000000</v>
      </c>
      <c r="O59" s="146">
        <f t="shared" ref="O59:W59" si="47">(D59/0.01)*10^($B$59)</f>
        <v>100000000</v>
      </c>
      <c r="P59" s="146">
        <f t="shared" si="47"/>
        <v>80000000</v>
      </c>
      <c r="Q59" s="146">
        <f t="shared" si="47"/>
        <v>30000000</v>
      </c>
      <c r="R59" s="146">
        <f t="shared" si="47"/>
        <v>50000000</v>
      </c>
      <c r="S59" s="146">
        <f t="shared" si="47"/>
        <v>40000000</v>
      </c>
      <c r="T59" s="146">
        <f t="shared" si="47"/>
        <v>40000000</v>
      </c>
      <c r="U59" s="146">
        <f t="shared" si="47"/>
        <v>30000000</v>
      </c>
      <c r="V59" s="146">
        <f t="shared" si="47"/>
        <v>50000000</v>
      </c>
      <c r="W59" s="146">
        <f t="shared" si="47"/>
        <v>20000000</v>
      </c>
      <c r="X59" s="146">
        <f t="shared" si="32"/>
        <v>50000000</v>
      </c>
      <c r="Y59" s="9" t="s">
        <v>105</v>
      </c>
    </row>
    <row r="60" spans="1:25" x14ac:dyDescent="0.25">
      <c r="A60" s="9" t="s">
        <v>106</v>
      </c>
      <c r="B60" s="5">
        <v>5</v>
      </c>
      <c r="C60" s="5">
        <v>13</v>
      </c>
      <c r="D60" s="5">
        <v>10</v>
      </c>
      <c r="E60" s="5">
        <v>12</v>
      </c>
      <c r="F60" s="5">
        <v>10</v>
      </c>
      <c r="G60" s="5">
        <v>13</v>
      </c>
      <c r="H60" s="5">
        <v>16</v>
      </c>
      <c r="I60" s="5">
        <v>15</v>
      </c>
      <c r="J60" s="5">
        <v>13</v>
      </c>
      <c r="K60" s="5">
        <v>14</v>
      </c>
      <c r="L60" s="5">
        <v>8</v>
      </c>
      <c r="N60" s="146">
        <f>(C60/0.01)*10^($B$60)</f>
        <v>130000000</v>
      </c>
      <c r="O60" s="146">
        <f t="shared" ref="O60:W60" si="48">(D60/0.01)*10^($B$60)</f>
        <v>100000000</v>
      </c>
      <c r="P60" s="146">
        <f t="shared" si="48"/>
        <v>120000000</v>
      </c>
      <c r="Q60" s="146">
        <f t="shared" si="48"/>
        <v>100000000</v>
      </c>
      <c r="R60" s="146">
        <f t="shared" si="48"/>
        <v>130000000</v>
      </c>
      <c r="S60" s="146">
        <f t="shared" si="48"/>
        <v>160000000</v>
      </c>
      <c r="T60" s="146">
        <f t="shared" si="48"/>
        <v>150000000</v>
      </c>
      <c r="U60" s="146">
        <f t="shared" si="48"/>
        <v>130000000</v>
      </c>
      <c r="V60" s="146">
        <f t="shared" si="48"/>
        <v>140000000</v>
      </c>
      <c r="W60" s="146">
        <f t="shared" si="48"/>
        <v>80000000</v>
      </c>
      <c r="X60" s="146">
        <f t="shared" si="32"/>
        <v>124000000</v>
      </c>
      <c r="Y60" s="9" t="s">
        <v>106</v>
      </c>
    </row>
    <row r="61" spans="1:25" x14ac:dyDescent="0.25">
      <c r="A61" s="9" t="s">
        <v>107</v>
      </c>
      <c r="B61" s="5">
        <v>5</v>
      </c>
      <c r="C61" s="5">
        <v>6</v>
      </c>
      <c r="D61" s="5">
        <v>9</v>
      </c>
      <c r="E61" s="5">
        <v>8</v>
      </c>
      <c r="F61" s="5">
        <v>5</v>
      </c>
      <c r="G61" s="5">
        <v>10</v>
      </c>
      <c r="H61" s="5">
        <v>8</v>
      </c>
      <c r="I61" s="5">
        <v>9</v>
      </c>
      <c r="J61" s="5">
        <v>9</v>
      </c>
      <c r="K61" s="5">
        <v>11</v>
      </c>
      <c r="L61" s="5">
        <v>6</v>
      </c>
      <c r="N61" s="146">
        <f>(C61/0.01)*10^($B$61)</f>
        <v>60000000</v>
      </c>
      <c r="O61" s="146">
        <f t="shared" ref="O61:W61" si="49">(D61/0.01)*10^($B$61)</f>
        <v>90000000</v>
      </c>
      <c r="P61" s="146">
        <f t="shared" si="49"/>
        <v>80000000</v>
      </c>
      <c r="Q61" s="146">
        <f t="shared" si="49"/>
        <v>50000000</v>
      </c>
      <c r="R61" s="146">
        <f t="shared" si="49"/>
        <v>100000000</v>
      </c>
      <c r="S61" s="146">
        <f t="shared" si="49"/>
        <v>80000000</v>
      </c>
      <c r="T61" s="146">
        <f t="shared" si="49"/>
        <v>90000000</v>
      </c>
      <c r="U61" s="146">
        <f t="shared" si="49"/>
        <v>90000000</v>
      </c>
      <c r="V61" s="146">
        <f t="shared" si="49"/>
        <v>110000000</v>
      </c>
      <c r="W61" s="146">
        <f t="shared" si="49"/>
        <v>60000000</v>
      </c>
      <c r="X61" s="146">
        <f t="shared" si="32"/>
        <v>81000000</v>
      </c>
      <c r="Y61" s="9" t="s">
        <v>107</v>
      </c>
    </row>
    <row r="62" spans="1:25" x14ac:dyDescent="0.25">
      <c r="A62" s="9" t="s">
        <v>108</v>
      </c>
      <c r="B62" s="5">
        <v>5</v>
      </c>
      <c r="C62" s="5">
        <v>8</v>
      </c>
      <c r="D62" s="5">
        <v>4</v>
      </c>
      <c r="E62" s="5">
        <v>6</v>
      </c>
      <c r="F62" s="5">
        <v>10</v>
      </c>
      <c r="G62" s="5">
        <v>6</v>
      </c>
      <c r="H62" s="5">
        <v>10</v>
      </c>
      <c r="I62" s="5">
        <v>6</v>
      </c>
      <c r="J62" s="5">
        <v>6</v>
      </c>
      <c r="K62" s="5">
        <v>9</v>
      </c>
      <c r="L62" s="5">
        <v>7</v>
      </c>
      <c r="N62" s="146">
        <f>(C62/0.01)*10^($B$62)</f>
        <v>80000000</v>
      </c>
      <c r="O62" s="146">
        <f t="shared" ref="O62:W62" si="50">(D62/0.01)*10^($B$62)</f>
        <v>40000000</v>
      </c>
      <c r="P62" s="146">
        <f t="shared" si="50"/>
        <v>60000000</v>
      </c>
      <c r="Q62" s="146">
        <f t="shared" si="50"/>
        <v>100000000</v>
      </c>
      <c r="R62" s="146">
        <f t="shared" si="50"/>
        <v>60000000</v>
      </c>
      <c r="S62" s="146">
        <f t="shared" si="50"/>
        <v>100000000</v>
      </c>
      <c r="T62" s="146">
        <f t="shared" si="50"/>
        <v>60000000</v>
      </c>
      <c r="U62" s="146">
        <f t="shared" si="50"/>
        <v>60000000</v>
      </c>
      <c r="V62" s="146">
        <f t="shared" si="50"/>
        <v>90000000</v>
      </c>
      <c r="W62" s="146">
        <f t="shared" si="50"/>
        <v>70000000</v>
      </c>
      <c r="X62" s="146">
        <f t="shared" si="32"/>
        <v>72000000</v>
      </c>
      <c r="Y62" s="9" t="s">
        <v>108</v>
      </c>
    </row>
    <row r="63" spans="1:25" x14ac:dyDescent="0.25">
      <c r="A63" s="9" t="s">
        <v>109</v>
      </c>
      <c r="B63" s="5">
        <v>5</v>
      </c>
      <c r="C63" s="5">
        <v>13</v>
      </c>
      <c r="D63" s="5">
        <v>9</v>
      </c>
      <c r="E63" s="5">
        <v>7</v>
      </c>
      <c r="F63" s="5">
        <v>18</v>
      </c>
      <c r="G63" s="5">
        <v>16</v>
      </c>
      <c r="H63" s="5">
        <v>12</v>
      </c>
      <c r="I63" s="5">
        <v>15</v>
      </c>
      <c r="J63" s="5">
        <v>14</v>
      </c>
      <c r="K63" s="5">
        <v>8</v>
      </c>
      <c r="L63" s="5">
        <v>12</v>
      </c>
      <c r="N63" s="146">
        <f>(C63/0.01)*10^($B$63)</f>
        <v>130000000</v>
      </c>
      <c r="O63" s="146">
        <f t="shared" ref="O63:W63" si="51">(D63/0.01)*10^($B$63)</f>
        <v>90000000</v>
      </c>
      <c r="P63" s="146">
        <f t="shared" si="51"/>
        <v>70000000</v>
      </c>
      <c r="Q63" s="146">
        <f t="shared" si="51"/>
        <v>180000000</v>
      </c>
      <c r="R63" s="146">
        <f t="shared" si="51"/>
        <v>160000000</v>
      </c>
      <c r="S63" s="146">
        <f t="shared" si="51"/>
        <v>120000000</v>
      </c>
      <c r="T63" s="146">
        <f t="shared" si="51"/>
        <v>150000000</v>
      </c>
      <c r="U63" s="146">
        <f t="shared" si="51"/>
        <v>140000000</v>
      </c>
      <c r="V63" s="146">
        <f t="shared" si="51"/>
        <v>80000000</v>
      </c>
      <c r="W63" s="146">
        <f t="shared" si="51"/>
        <v>120000000</v>
      </c>
      <c r="X63" s="146">
        <f t="shared" si="32"/>
        <v>124000000</v>
      </c>
      <c r="Y63" s="9" t="s">
        <v>109</v>
      </c>
    </row>
    <row r="64" spans="1:25" x14ac:dyDescent="0.25">
      <c r="A64" s="9" t="s">
        <v>110</v>
      </c>
      <c r="B64" s="5">
        <v>5</v>
      </c>
      <c r="C64" s="5">
        <v>10</v>
      </c>
      <c r="D64" s="5">
        <v>16</v>
      </c>
      <c r="E64" s="5">
        <v>7</v>
      </c>
      <c r="F64" s="5">
        <v>9</v>
      </c>
      <c r="G64" s="5">
        <v>11</v>
      </c>
      <c r="H64" s="5">
        <v>7</v>
      </c>
      <c r="I64" s="5">
        <v>8</v>
      </c>
      <c r="J64" s="5">
        <v>10</v>
      </c>
      <c r="K64" s="5">
        <v>9</v>
      </c>
      <c r="L64" s="5">
        <v>10</v>
      </c>
      <c r="N64" s="146">
        <f>(C64/0.01)*10^($B$64)</f>
        <v>100000000</v>
      </c>
      <c r="O64" s="146">
        <f t="shared" ref="O64:W64" si="52">(D64/0.01)*10^($B$64)</f>
        <v>160000000</v>
      </c>
      <c r="P64" s="146">
        <f t="shared" si="52"/>
        <v>70000000</v>
      </c>
      <c r="Q64" s="146">
        <f t="shared" si="52"/>
        <v>90000000</v>
      </c>
      <c r="R64" s="146">
        <f t="shared" si="52"/>
        <v>110000000</v>
      </c>
      <c r="S64" s="146">
        <f t="shared" si="52"/>
        <v>70000000</v>
      </c>
      <c r="T64" s="146">
        <f t="shared" si="52"/>
        <v>80000000</v>
      </c>
      <c r="U64" s="146">
        <f t="shared" si="52"/>
        <v>100000000</v>
      </c>
      <c r="V64" s="146">
        <f t="shared" si="52"/>
        <v>90000000</v>
      </c>
      <c r="W64" s="146">
        <f t="shared" si="52"/>
        <v>100000000</v>
      </c>
      <c r="X64" s="146">
        <f t="shared" si="32"/>
        <v>97000000</v>
      </c>
      <c r="Y64" s="9" t="s">
        <v>110</v>
      </c>
    </row>
    <row r="65" spans="1:25" x14ac:dyDescent="0.25">
      <c r="A65" s="9" t="s">
        <v>111</v>
      </c>
      <c r="B65" s="5">
        <v>5</v>
      </c>
      <c r="C65" s="5">
        <v>13</v>
      </c>
      <c r="D65" s="5">
        <v>13</v>
      </c>
      <c r="E65" s="5">
        <v>8</v>
      </c>
      <c r="F65" s="5">
        <v>15</v>
      </c>
      <c r="G65" s="5">
        <v>11</v>
      </c>
      <c r="H65" s="5">
        <v>14</v>
      </c>
      <c r="I65" s="5">
        <v>12</v>
      </c>
      <c r="J65" s="5">
        <v>9</v>
      </c>
      <c r="K65" s="5">
        <v>5</v>
      </c>
      <c r="L65" s="5">
        <v>22</v>
      </c>
      <c r="N65" s="146">
        <f>(C65/0.01)*10^($B$65)</f>
        <v>130000000</v>
      </c>
      <c r="O65" s="146">
        <f t="shared" ref="O65:W65" si="53">(D65/0.01)*10^($B$65)</f>
        <v>130000000</v>
      </c>
      <c r="P65" s="146">
        <f t="shared" si="53"/>
        <v>80000000</v>
      </c>
      <c r="Q65" s="146">
        <f t="shared" si="53"/>
        <v>150000000</v>
      </c>
      <c r="R65" s="146">
        <f t="shared" si="53"/>
        <v>110000000</v>
      </c>
      <c r="S65" s="146">
        <f t="shared" si="53"/>
        <v>140000000</v>
      </c>
      <c r="T65" s="146">
        <f t="shared" si="53"/>
        <v>120000000</v>
      </c>
      <c r="U65" s="146">
        <f t="shared" si="53"/>
        <v>90000000</v>
      </c>
      <c r="V65" s="146">
        <f t="shared" si="53"/>
        <v>50000000</v>
      </c>
      <c r="W65" s="146">
        <f t="shared" si="53"/>
        <v>220000000</v>
      </c>
      <c r="X65" s="146">
        <f t="shared" si="32"/>
        <v>122000000</v>
      </c>
      <c r="Y65" s="9" t="s">
        <v>111</v>
      </c>
    </row>
    <row r="66" spans="1:25" x14ac:dyDescent="0.25">
      <c r="A66" s="9" t="s">
        <v>112</v>
      </c>
      <c r="B66" s="5">
        <v>5</v>
      </c>
      <c r="C66" s="5">
        <v>17</v>
      </c>
      <c r="D66" s="5">
        <v>12</v>
      </c>
      <c r="E66" s="5">
        <v>12</v>
      </c>
      <c r="F66" s="5">
        <v>10</v>
      </c>
      <c r="G66" s="5">
        <v>8</v>
      </c>
      <c r="H66" s="5">
        <v>12</v>
      </c>
      <c r="I66" s="5">
        <v>11</v>
      </c>
      <c r="J66" s="5">
        <v>6</v>
      </c>
      <c r="K66" s="5">
        <v>9</v>
      </c>
      <c r="L66" s="5">
        <v>12</v>
      </c>
      <c r="N66" s="146">
        <f>(C66/0.01)*10^($B$66)</f>
        <v>170000000</v>
      </c>
      <c r="O66" s="146">
        <f t="shared" ref="O66:W66" si="54">(D66/0.01)*10^($B$66)</f>
        <v>120000000</v>
      </c>
      <c r="P66" s="146">
        <f t="shared" si="54"/>
        <v>120000000</v>
      </c>
      <c r="Q66" s="146">
        <f t="shared" si="54"/>
        <v>100000000</v>
      </c>
      <c r="R66" s="146">
        <f t="shared" si="54"/>
        <v>80000000</v>
      </c>
      <c r="S66" s="146">
        <f t="shared" si="54"/>
        <v>120000000</v>
      </c>
      <c r="T66" s="146">
        <f t="shared" si="54"/>
        <v>110000000</v>
      </c>
      <c r="U66" s="146">
        <f t="shared" si="54"/>
        <v>60000000</v>
      </c>
      <c r="V66" s="146">
        <f t="shared" si="54"/>
        <v>90000000</v>
      </c>
      <c r="W66" s="146">
        <f t="shared" si="54"/>
        <v>120000000</v>
      </c>
      <c r="X66" s="146">
        <f t="shared" si="32"/>
        <v>109000000</v>
      </c>
      <c r="Y66" s="9" t="s">
        <v>112</v>
      </c>
    </row>
    <row r="67" spans="1:25" x14ac:dyDescent="0.25">
      <c r="A67" s="9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9"/>
    </row>
    <row r="68" spans="1:25" x14ac:dyDescent="0.25">
      <c r="A68" s="145" t="s">
        <v>113</v>
      </c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</row>
    <row r="69" spans="1:25" x14ac:dyDescent="0.25">
      <c r="A69" s="9" t="s">
        <v>92</v>
      </c>
      <c r="B69" s="5">
        <v>5</v>
      </c>
      <c r="C69" s="5">
        <v>3</v>
      </c>
      <c r="D69" s="5">
        <v>4</v>
      </c>
      <c r="E69" s="5">
        <v>6</v>
      </c>
      <c r="F69" s="5">
        <v>7</v>
      </c>
      <c r="G69" s="5">
        <v>10</v>
      </c>
      <c r="H69" s="5">
        <v>2</v>
      </c>
      <c r="I69" s="5">
        <v>8</v>
      </c>
      <c r="J69" s="5">
        <v>4</v>
      </c>
      <c r="K69" s="5">
        <v>3</v>
      </c>
      <c r="L69" s="5">
        <v>5</v>
      </c>
      <c r="N69" s="146">
        <f>(C69/0.01)*10^($B$69)</f>
        <v>30000000</v>
      </c>
      <c r="O69" s="146">
        <f t="shared" ref="O69:W69" si="55">(D69/0.01)*10^($B$69)</f>
        <v>40000000</v>
      </c>
      <c r="P69" s="146">
        <f t="shared" si="55"/>
        <v>60000000</v>
      </c>
      <c r="Q69" s="146">
        <f t="shared" si="55"/>
        <v>70000000</v>
      </c>
      <c r="R69" s="146">
        <f t="shared" si="55"/>
        <v>100000000</v>
      </c>
      <c r="S69" s="146">
        <f t="shared" si="55"/>
        <v>20000000</v>
      </c>
      <c r="T69" s="146">
        <f t="shared" si="55"/>
        <v>80000000</v>
      </c>
      <c r="U69" s="146">
        <f t="shared" si="55"/>
        <v>40000000</v>
      </c>
      <c r="V69" s="146">
        <f t="shared" si="55"/>
        <v>30000000</v>
      </c>
      <c r="W69" s="146">
        <f t="shared" si="55"/>
        <v>50000000</v>
      </c>
      <c r="X69" s="146">
        <f t="shared" si="32"/>
        <v>52000000</v>
      </c>
      <c r="Y69" s="9" t="s">
        <v>92</v>
      </c>
    </row>
    <row r="70" spans="1:25" x14ac:dyDescent="0.25">
      <c r="A70" s="9" t="s">
        <v>93</v>
      </c>
      <c r="B70" s="5">
        <v>5</v>
      </c>
      <c r="C70" s="5">
        <v>8</v>
      </c>
      <c r="D70" s="5">
        <v>6</v>
      </c>
      <c r="E70" s="5">
        <v>9</v>
      </c>
      <c r="F70" s="5">
        <v>2</v>
      </c>
      <c r="G70" s="5">
        <v>8</v>
      </c>
      <c r="H70" s="5">
        <v>3</v>
      </c>
      <c r="I70" s="5">
        <v>10</v>
      </c>
      <c r="J70" s="5">
        <v>2</v>
      </c>
      <c r="K70" s="5">
        <v>1</v>
      </c>
      <c r="L70" s="5">
        <v>3</v>
      </c>
      <c r="N70" s="146">
        <f>(C70/0.01)*10^($B$70)</f>
        <v>80000000</v>
      </c>
      <c r="O70" s="146">
        <f t="shared" ref="O70:W70" si="56">(D70/0.01)*10^($B$70)</f>
        <v>60000000</v>
      </c>
      <c r="P70" s="146">
        <f t="shared" si="56"/>
        <v>90000000</v>
      </c>
      <c r="Q70" s="146">
        <f t="shared" si="56"/>
        <v>20000000</v>
      </c>
      <c r="R70" s="146">
        <f t="shared" si="56"/>
        <v>80000000</v>
      </c>
      <c r="S70" s="146">
        <f t="shared" si="56"/>
        <v>30000000</v>
      </c>
      <c r="T70" s="146">
        <f t="shared" si="56"/>
        <v>100000000</v>
      </c>
      <c r="U70" s="146">
        <f t="shared" si="56"/>
        <v>20000000</v>
      </c>
      <c r="V70" s="146">
        <f t="shared" si="56"/>
        <v>10000000</v>
      </c>
      <c r="W70" s="146">
        <f t="shared" si="56"/>
        <v>30000000</v>
      </c>
      <c r="X70" s="146">
        <f t="shared" si="32"/>
        <v>52000000</v>
      </c>
      <c r="Y70" s="9" t="s">
        <v>93</v>
      </c>
    </row>
    <row r="71" spans="1:25" x14ac:dyDescent="0.25">
      <c r="A71" s="9" t="s">
        <v>94</v>
      </c>
      <c r="B71" s="5">
        <v>5</v>
      </c>
      <c r="C71" s="5">
        <v>4</v>
      </c>
      <c r="D71" s="5">
        <v>9</v>
      </c>
      <c r="E71" s="5">
        <v>6</v>
      </c>
      <c r="F71" s="5">
        <v>2</v>
      </c>
      <c r="G71" s="5">
        <v>5</v>
      </c>
      <c r="H71" s="5">
        <v>5</v>
      </c>
      <c r="I71" s="5">
        <v>7</v>
      </c>
      <c r="J71" s="5">
        <v>7</v>
      </c>
      <c r="K71" s="5">
        <v>6</v>
      </c>
      <c r="L71" s="5">
        <v>9</v>
      </c>
      <c r="N71" s="146">
        <f>(C71/0.01)*10^($B$71)</f>
        <v>40000000</v>
      </c>
      <c r="O71" s="146">
        <f t="shared" ref="O71:W71" si="57">(D71/0.01)*10^($B$71)</f>
        <v>90000000</v>
      </c>
      <c r="P71" s="146">
        <f t="shared" si="57"/>
        <v>60000000</v>
      </c>
      <c r="Q71" s="146">
        <f t="shared" si="57"/>
        <v>20000000</v>
      </c>
      <c r="R71" s="146">
        <f t="shared" si="57"/>
        <v>50000000</v>
      </c>
      <c r="S71" s="146">
        <f t="shared" si="57"/>
        <v>50000000</v>
      </c>
      <c r="T71" s="146">
        <f t="shared" si="57"/>
        <v>70000000</v>
      </c>
      <c r="U71" s="146">
        <f t="shared" si="57"/>
        <v>70000000</v>
      </c>
      <c r="V71" s="146">
        <f t="shared" si="57"/>
        <v>60000000</v>
      </c>
      <c r="W71" s="146">
        <f t="shared" si="57"/>
        <v>90000000</v>
      </c>
      <c r="X71" s="146">
        <f t="shared" si="32"/>
        <v>60000000</v>
      </c>
      <c r="Y71" s="9" t="s">
        <v>94</v>
      </c>
    </row>
    <row r="72" spans="1:25" x14ac:dyDescent="0.25">
      <c r="A72" s="9" t="s">
        <v>95</v>
      </c>
      <c r="B72" s="5">
        <v>5</v>
      </c>
      <c r="C72" s="5">
        <v>14</v>
      </c>
      <c r="D72" s="5">
        <v>9</v>
      </c>
      <c r="E72" s="5">
        <v>6</v>
      </c>
      <c r="F72" s="5">
        <v>5</v>
      </c>
      <c r="G72" s="5">
        <v>9</v>
      </c>
      <c r="H72" s="5">
        <v>8</v>
      </c>
      <c r="I72" s="5">
        <v>10</v>
      </c>
      <c r="J72" s="5">
        <v>7</v>
      </c>
      <c r="K72" s="5">
        <v>11</v>
      </c>
      <c r="L72" s="5">
        <v>5</v>
      </c>
      <c r="N72" s="146">
        <f>(C72/0.01)*10^($B$72)</f>
        <v>140000000</v>
      </c>
      <c r="O72" s="146">
        <f t="shared" ref="O72:W72" si="58">(D72/0.01)*10^($B$72)</f>
        <v>90000000</v>
      </c>
      <c r="P72" s="146">
        <f t="shared" si="58"/>
        <v>60000000</v>
      </c>
      <c r="Q72" s="146">
        <f t="shared" si="58"/>
        <v>50000000</v>
      </c>
      <c r="R72" s="146">
        <f t="shared" si="58"/>
        <v>90000000</v>
      </c>
      <c r="S72" s="146">
        <f t="shared" si="58"/>
        <v>80000000</v>
      </c>
      <c r="T72" s="146">
        <f t="shared" si="58"/>
        <v>100000000</v>
      </c>
      <c r="U72" s="146">
        <f t="shared" si="58"/>
        <v>70000000</v>
      </c>
      <c r="V72" s="146">
        <f t="shared" si="58"/>
        <v>110000000</v>
      </c>
      <c r="W72" s="146">
        <f t="shared" si="58"/>
        <v>50000000</v>
      </c>
      <c r="X72" s="146">
        <f t="shared" si="32"/>
        <v>84000000</v>
      </c>
      <c r="Y72" s="9" t="s">
        <v>95</v>
      </c>
    </row>
    <row r="73" spans="1:25" x14ac:dyDescent="0.25">
      <c r="A73" s="9" t="s">
        <v>96</v>
      </c>
      <c r="B73" s="5">
        <v>5</v>
      </c>
      <c r="C73" s="5">
        <v>9</v>
      </c>
      <c r="D73" s="5">
        <v>7</v>
      </c>
      <c r="E73" s="5">
        <v>14</v>
      </c>
      <c r="F73" s="5">
        <v>8</v>
      </c>
      <c r="G73" s="5">
        <v>9</v>
      </c>
      <c r="H73" s="5">
        <v>8</v>
      </c>
      <c r="I73" s="5">
        <v>7</v>
      </c>
      <c r="J73" s="5">
        <v>8</v>
      </c>
      <c r="K73" s="5">
        <v>11</v>
      </c>
      <c r="L73" s="5">
        <v>10</v>
      </c>
      <c r="N73" s="146">
        <f>(C73/0.01)*10^($B$73)</f>
        <v>90000000</v>
      </c>
      <c r="O73" s="146">
        <f t="shared" ref="O73:W73" si="59">(D73/0.01)*10^($B$73)</f>
        <v>70000000</v>
      </c>
      <c r="P73" s="146">
        <f t="shared" si="59"/>
        <v>140000000</v>
      </c>
      <c r="Q73" s="146">
        <f t="shared" si="59"/>
        <v>80000000</v>
      </c>
      <c r="R73" s="146">
        <f t="shared" si="59"/>
        <v>90000000</v>
      </c>
      <c r="S73" s="146">
        <f t="shared" si="59"/>
        <v>80000000</v>
      </c>
      <c r="T73" s="146">
        <f t="shared" si="59"/>
        <v>70000000</v>
      </c>
      <c r="U73" s="146">
        <f t="shared" si="59"/>
        <v>80000000</v>
      </c>
      <c r="V73" s="146">
        <f t="shared" si="59"/>
        <v>110000000</v>
      </c>
      <c r="W73" s="146">
        <f t="shared" si="59"/>
        <v>100000000</v>
      </c>
      <c r="X73" s="146">
        <f t="shared" si="32"/>
        <v>91000000</v>
      </c>
      <c r="Y73" s="9" t="s">
        <v>96</v>
      </c>
    </row>
    <row r="74" spans="1:25" x14ac:dyDescent="0.25">
      <c r="A74" s="9" t="s">
        <v>97</v>
      </c>
      <c r="B74" s="5">
        <v>5</v>
      </c>
      <c r="C74" s="5">
        <v>12</v>
      </c>
      <c r="D74" s="5">
        <v>9</v>
      </c>
      <c r="E74" s="5">
        <v>11</v>
      </c>
      <c r="F74" s="5">
        <v>9</v>
      </c>
      <c r="G74" s="5">
        <v>14</v>
      </c>
      <c r="H74" s="5">
        <v>6</v>
      </c>
      <c r="I74" s="5">
        <v>15</v>
      </c>
      <c r="J74" s="5">
        <v>11</v>
      </c>
      <c r="K74" s="5">
        <v>5</v>
      </c>
      <c r="L74" s="5">
        <v>11</v>
      </c>
      <c r="N74" s="146">
        <f>(C74/0.01)*10^($B$74)</f>
        <v>120000000</v>
      </c>
      <c r="O74" s="146">
        <f t="shared" ref="O74:W74" si="60">(D74/0.01)*10^($B$74)</f>
        <v>90000000</v>
      </c>
      <c r="P74" s="146">
        <f t="shared" si="60"/>
        <v>110000000</v>
      </c>
      <c r="Q74" s="146">
        <f t="shared" si="60"/>
        <v>90000000</v>
      </c>
      <c r="R74" s="146">
        <f t="shared" si="60"/>
        <v>140000000</v>
      </c>
      <c r="S74" s="146">
        <f t="shared" si="60"/>
        <v>60000000</v>
      </c>
      <c r="T74" s="146">
        <f t="shared" si="60"/>
        <v>150000000</v>
      </c>
      <c r="U74" s="146">
        <f t="shared" si="60"/>
        <v>110000000</v>
      </c>
      <c r="V74" s="146">
        <f t="shared" si="60"/>
        <v>50000000</v>
      </c>
      <c r="W74" s="146">
        <f t="shared" si="60"/>
        <v>110000000</v>
      </c>
      <c r="X74" s="146">
        <f t="shared" si="32"/>
        <v>103000000</v>
      </c>
      <c r="Y74" s="9" t="s">
        <v>97</v>
      </c>
    </row>
    <row r="75" spans="1:25" x14ac:dyDescent="0.25">
      <c r="A75" s="9" t="s">
        <v>98</v>
      </c>
      <c r="B75" s="5">
        <v>5</v>
      </c>
      <c r="C75" s="5">
        <v>19</v>
      </c>
      <c r="D75" s="5">
        <v>12</v>
      </c>
      <c r="E75" s="5">
        <v>16</v>
      </c>
      <c r="F75" s="5">
        <v>13</v>
      </c>
      <c r="G75" s="5">
        <v>12</v>
      </c>
      <c r="H75" s="5">
        <v>13</v>
      </c>
      <c r="I75" s="5">
        <v>18</v>
      </c>
      <c r="J75" s="5">
        <v>11</v>
      </c>
      <c r="K75" s="5">
        <v>18</v>
      </c>
      <c r="L75" s="5">
        <v>16</v>
      </c>
      <c r="N75" s="146">
        <f>(C75/0.01)*10^($B$75)</f>
        <v>190000000</v>
      </c>
      <c r="O75" s="146">
        <f t="shared" ref="O75:W75" si="61">(D75/0.01)*10^($B$75)</f>
        <v>120000000</v>
      </c>
      <c r="P75" s="146">
        <f t="shared" si="61"/>
        <v>160000000</v>
      </c>
      <c r="Q75" s="146">
        <f t="shared" si="61"/>
        <v>130000000</v>
      </c>
      <c r="R75" s="146">
        <f t="shared" si="61"/>
        <v>120000000</v>
      </c>
      <c r="S75" s="146">
        <f t="shared" si="61"/>
        <v>130000000</v>
      </c>
      <c r="T75" s="146">
        <f t="shared" si="61"/>
        <v>180000000</v>
      </c>
      <c r="U75" s="146">
        <f t="shared" si="61"/>
        <v>110000000</v>
      </c>
      <c r="V75" s="146">
        <f t="shared" si="61"/>
        <v>180000000</v>
      </c>
      <c r="W75" s="146">
        <f t="shared" si="61"/>
        <v>160000000</v>
      </c>
      <c r="X75" s="146">
        <f t="shared" si="32"/>
        <v>148000000</v>
      </c>
      <c r="Y75" s="9" t="s">
        <v>98</v>
      </c>
    </row>
    <row r="76" spans="1:25" x14ac:dyDescent="0.25">
      <c r="A76" s="9" t="s">
        <v>99</v>
      </c>
      <c r="B76" s="5">
        <v>5</v>
      </c>
      <c r="C76" s="5">
        <v>12</v>
      </c>
      <c r="D76" s="5">
        <v>11</v>
      </c>
      <c r="E76" s="5">
        <v>16</v>
      </c>
      <c r="F76" s="5">
        <v>17</v>
      </c>
      <c r="G76" s="5">
        <v>24</v>
      </c>
      <c r="H76" s="5">
        <v>13</v>
      </c>
      <c r="I76" s="5">
        <v>21</v>
      </c>
      <c r="J76" s="5">
        <v>12</v>
      </c>
      <c r="K76" s="5">
        <v>19</v>
      </c>
      <c r="L76" s="5">
        <v>13</v>
      </c>
      <c r="N76" s="146">
        <f>(C76/0.01)*10^($B$76)</f>
        <v>120000000</v>
      </c>
      <c r="O76" s="146">
        <f t="shared" ref="O76:W76" si="62">(D76/0.01)*10^($B$76)</f>
        <v>110000000</v>
      </c>
      <c r="P76" s="146">
        <f t="shared" si="62"/>
        <v>160000000</v>
      </c>
      <c r="Q76" s="146">
        <f t="shared" si="62"/>
        <v>170000000</v>
      </c>
      <c r="R76" s="146">
        <f t="shared" si="62"/>
        <v>240000000</v>
      </c>
      <c r="S76" s="146">
        <f t="shared" si="62"/>
        <v>130000000</v>
      </c>
      <c r="T76" s="146">
        <f t="shared" si="62"/>
        <v>210000000</v>
      </c>
      <c r="U76" s="146">
        <f t="shared" si="62"/>
        <v>120000000</v>
      </c>
      <c r="V76" s="146">
        <f t="shared" si="62"/>
        <v>190000000</v>
      </c>
      <c r="W76" s="146">
        <f t="shared" si="62"/>
        <v>130000000</v>
      </c>
      <c r="X76" s="146">
        <f t="shared" si="32"/>
        <v>158000000</v>
      </c>
      <c r="Y76" s="9" t="s">
        <v>99</v>
      </c>
    </row>
    <row r="77" spans="1:25" x14ac:dyDescent="0.25">
      <c r="A77" s="9" t="s">
        <v>100</v>
      </c>
      <c r="B77" s="5">
        <v>5</v>
      </c>
      <c r="C77" s="5">
        <v>18</v>
      </c>
      <c r="D77" s="5">
        <v>19</v>
      </c>
      <c r="E77" s="5">
        <v>22</v>
      </c>
      <c r="F77" s="5">
        <v>27</v>
      </c>
      <c r="G77" s="5">
        <v>29</v>
      </c>
      <c r="H77" s="5">
        <v>24</v>
      </c>
      <c r="I77" s="5">
        <v>20</v>
      </c>
      <c r="J77" s="5">
        <v>26</v>
      </c>
      <c r="K77" s="5">
        <v>22</v>
      </c>
      <c r="L77" s="5">
        <v>17</v>
      </c>
      <c r="N77" s="146">
        <f>(C77/0.01)*10^($B$77)</f>
        <v>180000000</v>
      </c>
      <c r="O77" s="146">
        <f t="shared" ref="O77:W77" si="63">(D77/0.01)*10^($B$77)</f>
        <v>190000000</v>
      </c>
      <c r="P77" s="146">
        <f t="shared" si="63"/>
        <v>220000000</v>
      </c>
      <c r="Q77" s="146">
        <f t="shared" si="63"/>
        <v>270000000</v>
      </c>
      <c r="R77" s="146">
        <f t="shared" si="63"/>
        <v>290000000</v>
      </c>
      <c r="S77" s="146">
        <f t="shared" si="63"/>
        <v>240000000</v>
      </c>
      <c r="T77" s="146">
        <f t="shared" si="63"/>
        <v>200000000</v>
      </c>
      <c r="U77" s="146">
        <f t="shared" si="63"/>
        <v>260000000</v>
      </c>
      <c r="V77" s="146">
        <f t="shared" si="63"/>
        <v>220000000</v>
      </c>
      <c r="W77" s="146">
        <f t="shared" si="63"/>
        <v>170000000</v>
      </c>
      <c r="X77" s="146">
        <f t="shared" si="32"/>
        <v>224000000</v>
      </c>
      <c r="Y77" s="9" t="s">
        <v>100</v>
      </c>
    </row>
    <row r="78" spans="1:25" x14ac:dyDescent="0.25">
      <c r="A78" s="9" t="s">
        <v>101</v>
      </c>
      <c r="B78" s="5">
        <v>5</v>
      </c>
      <c r="C78" s="5">
        <v>18</v>
      </c>
      <c r="D78" s="5">
        <v>23</v>
      </c>
      <c r="E78" s="5">
        <v>19</v>
      </c>
      <c r="F78" s="5">
        <v>16</v>
      </c>
      <c r="G78" s="5">
        <v>22</v>
      </c>
      <c r="H78" s="5">
        <v>19</v>
      </c>
      <c r="I78" s="5">
        <v>8</v>
      </c>
      <c r="J78" s="5">
        <v>20</v>
      </c>
      <c r="K78" s="5">
        <v>17</v>
      </c>
      <c r="L78" s="5">
        <v>20</v>
      </c>
      <c r="N78" s="146">
        <f>(C78/0.01)*10^($B$78)</f>
        <v>180000000</v>
      </c>
      <c r="O78" s="146">
        <f t="shared" ref="O78:W78" si="64">(D78/0.01)*10^($B$78)</f>
        <v>230000000</v>
      </c>
      <c r="P78" s="146">
        <f t="shared" si="64"/>
        <v>190000000</v>
      </c>
      <c r="Q78" s="146">
        <f t="shared" si="64"/>
        <v>160000000</v>
      </c>
      <c r="R78" s="146">
        <f t="shared" si="64"/>
        <v>220000000</v>
      </c>
      <c r="S78" s="146">
        <f t="shared" si="64"/>
        <v>190000000</v>
      </c>
      <c r="T78" s="146">
        <f t="shared" si="64"/>
        <v>80000000</v>
      </c>
      <c r="U78" s="146">
        <f t="shared" si="64"/>
        <v>200000000</v>
      </c>
      <c r="V78" s="146">
        <f t="shared" si="64"/>
        <v>170000000</v>
      </c>
      <c r="W78" s="146">
        <f t="shared" si="64"/>
        <v>200000000</v>
      </c>
      <c r="X78" s="146">
        <f t="shared" si="32"/>
        <v>182000000</v>
      </c>
      <c r="Y78" s="9" t="s">
        <v>101</v>
      </c>
    </row>
    <row r="79" spans="1:25" x14ac:dyDescent="0.25">
      <c r="A79" s="9" t="s">
        <v>102</v>
      </c>
      <c r="B79" s="5">
        <v>5</v>
      </c>
      <c r="C79" s="5">
        <v>13</v>
      </c>
      <c r="D79" s="5">
        <v>17</v>
      </c>
      <c r="E79" s="5">
        <v>15</v>
      </c>
      <c r="F79" s="5">
        <v>13</v>
      </c>
      <c r="G79" s="5">
        <v>22</v>
      </c>
      <c r="H79" s="5">
        <v>16</v>
      </c>
      <c r="I79" s="5">
        <v>13</v>
      </c>
      <c r="J79" s="5">
        <v>20</v>
      </c>
      <c r="K79" s="5">
        <v>13</v>
      </c>
      <c r="L79" s="5">
        <v>23</v>
      </c>
      <c r="N79" s="146">
        <f>(C79/0.01)*10^($B$79)</f>
        <v>130000000</v>
      </c>
      <c r="O79" s="146">
        <f t="shared" ref="O79:W79" si="65">(D79/0.01)*10^($B$79)</f>
        <v>170000000</v>
      </c>
      <c r="P79" s="146">
        <f t="shared" si="65"/>
        <v>150000000</v>
      </c>
      <c r="Q79" s="146">
        <f t="shared" si="65"/>
        <v>130000000</v>
      </c>
      <c r="R79" s="146">
        <f t="shared" si="65"/>
        <v>220000000</v>
      </c>
      <c r="S79" s="146">
        <f t="shared" si="65"/>
        <v>160000000</v>
      </c>
      <c r="T79" s="146">
        <f t="shared" si="65"/>
        <v>130000000</v>
      </c>
      <c r="U79" s="146">
        <f t="shared" si="65"/>
        <v>200000000</v>
      </c>
      <c r="V79" s="146">
        <f t="shared" si="65"/>
        <v>130000000</v>
      </c>
      <c r="W79" s="146">
        <f t="shared" si="65"/>
        <v>230000000</v>
      </c>
      <c r="X79" s="146">
        <f>AVERAGE(N79:W79)</f>
        <v>165000000</v>
      </c>
      <c r="Y79" s="9" t="s">
        <v>102</v>
      </c>
    </row>
    <row r="80" spans="1:25" x14ac:dyDescent="0.25">
      <c r="A80" s="9" t="s">
        <v>103</v>
      </c>
      <c r="B80" s="5">
        <v>5</v>
      </c>
      <c r="C80" s="5">
        <v>21</v>
      </c>
      <c r="D80" s="5">
        <v>11</v>
      </c>
      <c r="E80" s="5">
        <v>22</v>
      </c>
      <c r="F80" s="5">
        <v>13</v>
      </c>
      <c r="G80" s="5">
        <v>24</v>
      </c>
      <c r="H80" s="5">
        <v>16</v>
      </c>
      <c r="I80" s="5">
        <v>17</v>
      </c>
      <c r="J80" s="5">
        <v>25</v>
      </c>
      <c r="K80" s="5">
        <v>12</v>
      </c>
      <c r="L80" s="5">
        <v>26</v>
      </c>
      <c r="N80" s="146">
        <f>(C80/0.01)*10^($B$80)</f>
        <v>210000000</v>
      </c>
      <c r="O80" s="146">
        <f t="shared" ref="O80:W80" si="66">(D80/0.01)*10^($B$80)</f>
        <v>110000000</v>
      </c>
      <c r="P80" s="146">
        <f t="shared" si="66"/>
        <v>220000000</v>
      </c>
      <c r="Q80" s="146">
        <f t="shared" si="66"/>
        <v>130000000</v>
      </c>
      <c r="R80" s="146">
        <f t="shared" si="66"/>
        <v>240000000</v>
      </c>
      <c r="S80" s="146">
        <f t="shared" si="66"/>
        <v>160000000</v>
      </c>
      <c r="T80" s="146">
        <f t="shared" si="66"/>
        <v>170000000</v>
      </c>
      <c r="U80" s="146">
        <f t="shared" si="66"/>
        <v>250000000</v>
      </c>
      <c r="V80" s="146">
        <f t="shared" si="66"/>
        <v>120000000</v>
      </c>
      <c r="W80" s="146">
        <f t="shared" si="66"/>
        <v>260000000</v>
      </c>
      <c r="X80" s="146">
        <f t="shared" si="32"/>
        <v>187000000</v>
      </c>
      <c r="Y80" s="9" t="s">
        <v>103</v>
      </c>
    </row>
    <row r="81" spans="1:25" x14ac:dyDescent="0.25">
      <c r="A81" s="9" t="s">
        <v>104</v>
      </c>
      <c r="B81" s="5">
        <v>5</v>
      </c>
      <c r="C81" s="5">
        <v>5</v>
      </c>
      <c r="D81" s="5">
        <v>14</v>
      </c>
      <c r="E81" s="5">
        <v>13</v>
      </c>
      <c r="F81" s="5">
        <v>9</v>
      </c>
      <c r="G81" s="5">
        <v>7</v>
      </c>
      <c r="H81" s="5">
        <v>11</v>
      </c>
      <c r="I81" s="5">
        <v>10</v>
      </c>
      <c r="J81" s="5">
        <v>9</v>
      </c>
      <c r="K81" s="5">
        <v>12</v>
      </c>
      <c r="L81" s="5">
        <v>12</v>
      </c>
      <c r="N81" s="146">
        <f>(C81/0.01)*10^($B$81)</f>
        <v>50000000</v>
      </c>
      <c r="O81" s="146">
        <f t="shared" ref="O81:W81" si="67">(D81/0.01)*10^($B$81)</f>
        <v>140000000</v>
      </c>
      <c r="P81" s="146">
        <f t="shared" si="67"/>
        <v>130000000</v>
      </c>
      <c r="Q81" s="146">
        <f t="shared" si="67"/>
        <v>90000000</v>
      </c>
      <c r="R81" s="146">
        <f t="shared" si="67"/>
        <v>70000000</v>
      </c>
      <c r="S81" s="146">
        <f t="shared" si="67"/>
        <v>110000000</v>
      </c>
      <c r="T81" s="146">
        <f t="shared" si="67"/>
        <v>100000000</v>
      </c>
      <c r="U81" s="146">
        <f t="shared" si="67"/>
        <v>90000000</v>
      </c>
      <c r="V81" s="146">
        <f t="shared" si="67"/>
        <v>120000000</v>
      </c>
      <c r="W81" s="146">
        <f t="shared" si="67"/>
        <v>120000000</v>
      </c>
      <c r="X81" s="146">
        <f t="shared" si="32"/>
        <v>102000000</v>
      </c>
      <c r="Y81" s="9" t="s">
        <v>104</v>
      </c>
    </row>
    <row r="82" spans="1:25" x14ac:dyDescent="0.25">
      <c r="A82" s="9" t="s">
        <v>105</v>
      </c>
      <c r="B82" s="5">
        <v>5</v>
      </c>
      <c r="C82" s="5">
        <v>8</v>
      </c>
      <c r="D82" s="5">
        <v>10</v>
      </c>
      <c r="E82" s="5">
        <v>9</v>
      </c>
      <c r="F82" s="5">
        <v>11</v>
      </c>
      <c r="G82" s="5">
        <v>17</v>
      </c>
      <c r="H82" s="5">
        <v>13</v>
      </c>
      <c r="I82" s="5">
        <v>5</v>
      </c>
      <c r="J82" s="5">
        <v>9</v>
      </c>
      <c r="K82" s="5">
        <v>7</v>
      </c>
      <c r="L82" s="5">
        <v>15</v>
      </c>
      <c r="N82" s="146">
        <f>(C82/0.01)*10^($B$82)</f>
        <v>80000000</v>
      </c>
      <c r="O82" s="146">
        <f t="shared" ref="O82:W82" si="68">(D82/0.01)*10^($B$82)</f>
        <v>100000000</v>
      </c>
      <c r="P82" s="146">
        <f t="shared" si="68"/>
        <v>90000000</v>
      </c>
      <c r="Q82" s="146">
        <f t="shared" si="68"/>
        <v>110000000</v>
      </c>
      <c r="R82" s="146">
        <f t="shared" si="68"/>
        <v>170000000</v>
      </c>
      <c r="S82" s="146">
        <f t="shared" si="68"/>
        <v>130000000</v>
      </c>
      <c r="T82" s="146">
        <f t="shared" si="68"/>
        <v>50000000</v>
      </c>
      <c r="U82" s="146">
        <f t="shared" si="68"/>
        <v>90000000</v>
      </c>
      <c r="V82" s="146">
        <f t="shared" si="68"/>
        <v>70000000</v>
      </c>
      <c r="W82" s="146">
        <f t="shared" si="68"/>
        <v>150000000</v>
      </c>
      <c r="X82" s="146">
        <f t="shared" si="32"/>
        <v>104000000</v>
      </c>
      <c r="Y82" s="9" t="s">
        <v>105</v>
      </c>
    </row>
    <row r="83" spans="1:25" x14ac:dyDescent="0.25">
      <c r="A83" s="9" t="s">
        <v>106</v>
      </c>
      <c r="B83" s="5">
        <v>5</v>
      </c>
      <c r="C83" s="5">
        <v>28</v>
      </c>
      <c r="D83" s="5">
        <v>14</v>
      </c>
      <c r="E83" s="5">
        <v>14</v>
      </c>
      <c r="F83" s="5">
        <v>13</v>
      </c>
      <c r="G83" s="5">
        <v>24</v>
      </c>
      <c r="H83" s="5">
        <v>21</v>
      </c>
      <c r="I83" s="5">
        <v>14</v>
      </c>
      <c r="J83" s="5">
        <v>11</v>
      </c>
      <c r="K83" s="5">
        <v>22</v>
      </c>
      <c r="L83" s="5">
        <v>15</v>
      </c>
      <c r="N83" s="146">
        <f>(C83/0.01)*10^($B$83)</f>
        <v>280000000</v>
      </c>
      <c r="O83" s="146">
        <f t="shared" ref="O83:W83" si="69">(D83/0.01)*10^($B$83)</f>
        <v>140000000</v>
      </c>
      <c r="P83" s="146">
        <f t="shared" si="69"/>
        <v>140000000</v>
      </c>
      <c r="Q83" s="146">
        <f t="shared" si="69"/>
        <v>130000000</v>
      </c>
      <c r="R83" s="146">
        <f t="shared" si="69"/>
        <v>240000000</v>
      </c>
      <c r="S83" s="146">
        <f t="shared" si="69"/>
        <v>210000000</v>
      </c>
      <c r="T83" s="146">
        <f t="shared" si="69"/>
        <v>140000000</v>
      </c>
      <c r="U83" s="146">
        <f t="shared" si="69"/>
        <v>110000000</v>
      </c>
      <c r="V83" s="146">
        <f t="shared" si="69"/>
        <v>220000000</v>
      </c>
      <c r="W83" s="146">
        <f t="shared" si="69"/>
        <v>150000000</v>
      </c>
      <c r="X83" s="146">
        <f t="shared" si="32"/>
        <v>176000000</v>
      </c>
      <c r="Y83" s="9" t="s">
        <v>106</v>
      </c>
    </row>
    <row r="84" spans="1:25" x14ac:dyDescent="0.25">
      <c r="A84" s="9" t="s">
        <v>107</v>
      </c>
      <c r="B84" s="5">
        <v>5</v>
      </c>
      <c r="C84" s="5">
        <v>15</v>
      </c>
      <c r="D84" s="5">
        <v>13</v>
      </c>
      <c r="E84" s="5">
        <v>16</v>
      </c>
      <c r="F84" s="5">
        <v>13</v>
      </c>
      <c r="G84" s="5">
        <v>7</v>
      </c>
      <c r="H84" s="5">
        <v>10</v>
      </c>
      <c r="I84" s="5">
        <v>13</v>
      </c>
      <c r="J84" s="5">
        <v>10</v>
      </c>
      <c r="K84" s="5">
        <v>15</v>
      </c>
      <c r="L84" s="5">
        <v>11</v>
      </c>
      <c r="N84" s="146">
        <f>(C84/0.01)*10^($B$84)</f>
        <v>150000000</v>
      </c>
      <c r="O84" s="146">
        <f t="shared" ref="O84:W84" si="70">(D84/0.01)*10^($B$84)</f>
        <v>130000000</v>
      </c>
      <c r="P84" s="146">
        <f t="shared" si="70"/>
        <v>160000000</v>
      </c>
      <c r="Q84" s="146">
        <f t="shared" si="70"/>
        <v>130000000</v>
      </c>
      <c r="R84" s="146">
        <f t="shared" si="70"/>
        <v>70000000</v>
      </c>
      <c r="S84" s="146">
        <f t="shared" si="70"/>
        <v>100000000</v>
      </c>
      <c r="T84" s="146">
        <f t="shared" si="70"/>
        <v>130000000</v>
      </c>
      <c r="U84" s="146">
        <f t="shared" si="70"/>
        <v>100000000</v>
      </c>
      <c r="V84" s="146">
        <f t="shared" si="70"/>
        <v>150000000</v>
      </c>
      <c r="W84" s="146">
        <f t="shared" si="70"/>
        <v>110000000</v>
      </c>
      <c r="X84" s="146">
        <f t="shared" si="32"/>
        <v>123000000</v>
      </c>
      <c r="Y84" s="9" t="s">
        <v>107</v>
      </c>
    </row>
    <row r="85" spans="1:25" x14ac:dyDescent="0.25">
      <c r="A85" s="9" t="s">
        <v>108</v>
      </c>
      <c r="B85" s="5">
        <v>5</v>
      </c>
      <c r="C85" s="5">
        <v>6</v>
      </c>
      <c r="D85" s="5">
        <v>9</v>
      </c>
      <c r="E85" s="5">
        <v>13</v>
      </c>
      <c r="F85" s="5">
        <v>6</v>
      </c>
      <c r="G85" s="5">
        <v>11</v>
      </c>
      <c r="H85" s="5">
        <v>14</v>
      </c>
      <c r="I85" s="5">
        <v>9</v>
      </c>
      <c r="J85" s="5">
        <v>13</v>
      </c>
      <c r="K85" s="5">
        <v>9</v>
      </c>
      <c r="L85" s="5">
        <v>7</v>
      </c>
      <c r="N85" s="146">
        <f>(C85/0.01)*10^($B$85)</f>
        <v>60000000</v>
      </c>
      <c r="O85" s="146">
        <f t="shared" ref="O85:W85" si="71">(D85/0.01)*10^($B$85)</f>
        <v>90000000</v>
      </c>
      <c r="P85" s="146">
        <f t="shared" si="71"/>
        <v>130000000</v>
      </c>
      <c r="Q85" s="146">
        <f t="shared" si="71"/>
        <v>60000000</v>
      </c>
      <c r="R85" s="146">
        <f t="shared" si="71"/>
        <v>110000000</v>
      </c>
      <c r="S85" s="146">
        <f t="shared" si="71"/>
        <v>140000000</v>
      </c>
      <c r="T85" s="146">
        <f t="shared" si="71"/>
        <v>90000000</v>
      </c>
      <c r="U85" s="146">
        <f t="shared" si="71"/>
        <v>130000000</v>
      </c>
      <c r="V85" s="146">
        <f t="shared" si="71"/>
        <v>90000000</v>
      </c>
      <c r="W85" s="146">
        <f t="shared" si="71"/>
        <v>70000000</v>
      </c>
      <c r="X85" s="146">
        <f t="shared" si="32"/>
        <v>97000000</v>
      </c>
      <c r="Y85" s="9" t="s">
        <v>108</v>
      </c>
    </row>
    <row r="86" spans="1:25" x14ac:dyDescent="0.25">
      <c r="A86" s="9" t="s">
        <v>109</v>
      </c>
      <c r="B86" s="5">
        <v>5</v>
      </c>
      <c r="C86" s="5">
        <v>15</v>
      </c>
      <c r="D86" s="5">
        <v>10</v>
      </c>
      <c r="E86" s="5">
        <v>12</v>
      </c>
      <c r="F86" s="5">
        <v>17</v>
      </c>
      <c r="G86" s="5">
        <v>17</v>
      </c>
      <c r="H86" s="5">
        <v>18</v>
      </c>
      <c r="I86" s="5">
        <v>15</v>
      </c>
      <c r="J86" s="5">
        <v>9</v>
      </c>
      <c r="K86" s="5">
        <v>13</v>
      </c>
      <c r="L86" s="5">
        <v>11</v>
      </c>
      <c r="N86" s="146">
        <f>(C86/0.01)*10^($B$86)</f>
        <v>150000000</v>
      </c>
      <c r="O86" s="146">
        <f t="shared" ref="O86:W86" si="72">(D86/0.01)*10^($B$86)</f>
        <v>100000000</v>
      </c>
      <c r="P86" s="146">
        <f t="shared" si="72"/>
        <v>120000000</v>
      </c>
      <c r="Q86" s="146">
        <f t="shared" si="72"/>
        <v>170000000</v>
      </c>
      <c r="R86" s="146">
        <f t="shared" si="72"/>
        <v>170000000</v>
      </c>
      <c r="S86" s="146">
        <f t="shared" si="72"/>
        <v>180000000</v>
      </c>
      <c r="T86" s="146">
        <f t="shared" si="72"/>
        <v>150000000</v>
      </c>
      <c r="U86" s="146">
        <f t="shared" si="72"/>
        <v>90000000</v>
      </c>
      <c r="V86" s="146">
        <f t="shared" si="72"/>
        <v>130000000</v>
      </c>
      <c r="W86" s="146">
        <f t="shared" si="72"/>
        <v>110000000</v>
      </c>
      <c r="X86" s="146">
        <f t="shared" si="32"/>
        <v>137000000</v>
      </c>
      <c r="Y86" s="9" t="s">
        <v>109</v>
      </c>
    </row>
    <row r="87" spans="1:25" x14ac:dyDescent="0.25">
      <c r="A87" s="9" t="s">
        <v>110</v>
      </c>
      <c r="B87" s="5">
        <v>5</v>
      </c>
      <c r="C87" s="5">
        <v>17</v>
      </c>
      <c r="D87" s="5">
        <v>11</v>
      </c>
      <c r="E87" s="5">
        <v>9</v>
      </c>
      <c r="F87" s="5">
        <v>11</v>
      </c>
      <c r="G87" s="5">
        <v>16</v>
      </c>
      <c r="H87" s="5">
        <v>12</v>
      </c>
      <c r="I87" s="5">
        <v>14</v>
      </c>
      <c r="J87" s="5">
        <v>12</v>
      </c>
      <c r="K87" s="5">
        <v>8</v>
      </c>
      <c r="L87" s="5">
        <v>13</v>
      </c>
      <c r="N87" s="146">
        <f>(C87/0.01)*10^($B$87)</f>
        <v>170000000</v>
      </c>
      <c r="O87" s="146">
        <f t="shared" ref="O87:W87" si="73">(D87/0.01)*10^($B$87)</f>
        <v>110000000</v>
      </c>
      <c r="P87" s="146">
        <f t="shared" si="73"/>
        <v>90000000</v>
      </c>
      <c r="Q87" s="146">
        <f t="shared" si="73"/>
        <v>110000000</v>
      </c>
      <c r="R87" s="146">
        <f t="shared" si="73"/>
        <v>160000000</v>
      </c>
      <c r="S87" s="146">
        <f t="shared" si="73"/>
        <v>120000000</v>
      </c>
      <c r="T87" s="146">
        <f t="shared" si="73"/>
        <v>140000000</v>
      </c>
      <c r="U87" s="146">
        <f t="shared" si="73"/>
        <v>120000000</v>
      </c>
      <c r="V87" s="146">
        <f t="shared" si="73"/>
        <v>80000000</v>
      </c>
      <c r="W87" s="146">
        <f t="shared" si="73"/>
        <v>130000000</v>
      </c>
      <c r="X87" s="146">
        <f t="shared" si="32"/>
        <v>123000000</v>
      </c>
      <c r="Y87" s="9" t="s">
        <v>110</v>
      </c>
    </row>
    <row r="88" spans="1:25" x14ac:dyDescent="0.25">
      <c r="A88" s="9" t="s">
        <v>111</v>
      </c>
      <c r="B88" s="5">
        <v>5</v>
      </c>
      <c r="C88" s="5">
        <v>7</v>
      </c>
      <c r="D88" s="5">
        <v>17</v>
      </c>
      <c r="E88" s="5">
        <v>8</v>
      </c>
      <c r="F88" s="5">
        <v>7</v>
      </c>
      <c r="G88" s="5">
        <v>11</v>
      </c>
      <c r="H88" s="5">
        <v>11</v>
      </c>
      <c r="I88" s="5">
        <v>15</v>
      </c>
      <c r="J88" s="5">
        <v>14</v>
      </c>
      <c r="K88" s="5">
        <v>17</v>
      </c>
      <c r="L88" s="5">
        <v>10</v>
      </c>
      <c r="N88" s="146">
        <f>(C88/0.01)*10^($B$88)</f>
        <v>70000000</v>
      </c>
      <c r="O88" s="146">
        <f t="shared" ref="O88:W88" si="74">(D88/0.01)*10^($B$88)</f>
        <v>170000000</v>
      </c>
      <c r="P88" s="146">
        <f t="shared" si="74"/>
        <v>80000000</v>
      </c>
      <c r="Q88" s="146">
        <f t="shared" si="74"/>
        <v>70000000</v>
      </c>
      <c r="R88" s="146">
        <f t="shared" si="74"/>
        <v>110000000</v>
      </c>
      <c r="S88" s="146">
        <f t="shared" si="74"/>
        <v>110000000</v>
      </c>
      <c r="T88" s="146">
        <f t="shared" si="74"/>
        <v>150000000</v>
      </c>
      <c r="U88" s="146">
        <f t="shared" si="74"/>
        <v>140000000</v>
      </c>
      <c r="V88" s="146">
        <f t="shared" si="74"/>
        <v>170000000</v>
      </c>
      <c r="W88" s="146">
        <f t="shared" si="74"/>
        <v>100000000</v>
      </c>
      <c r="X88" s="146">
        <f t="shared" si="32"/>
        <v>117000000</v>
      </c>
      <c r="Y88" s="9" t="s">
        <v>111</v>
      </c>
    </row>
    <row r="89" spans="1:25" x14ac:dyDescent="0.25">
      <c r="A89" s="9" t="s">
        <v>112</v>
      </c>
      <c r="B89" s="5">
        <v>5</v>
      </c>
      <c r="C89" s="5">
        <v>24</v>
      </c>
      <c r="D89" s="5">
        <v>12</v>
      </c>
      <c r="E89" s="5">
        <v>12</v>
      </c>
      <c r="F89" s="5">
        <v>7</v>
      </c>
      <c r="G89" s="5">
        <v>16</v>
      </c>
      <c r="H89" s="5">
        <v>6</v>
      </c>
      <c r="I89" s="5">
        <v>7</v>
      </c>
      <c r="J89" s="5">
        <v>10</v>
      </c>
      <c r="K89" s="5">
        <v>13</v>
      </c>
      <c r="L89" s="5">
        <v>7</v>
      </c>
      <c r="N89" s="146">
        <f>(C89/0.01)*10^($B$89)</f>
        <v>240000000</v>
      </c>
      <c r="O89" s="146">
        <f t="shared" ref="O89:W89" si="75">(D89/0.01)*10^($B$89)</f>
        <v>120000000</v>
      </c>
      <c r="P89" s="146">
        <f t="shared" si="75"/>
        <v>120000000</v>
      </c>
      <c r="Q89" s="146">
        <f t="shared" si="75"/>
        <v>70000000</v>
      </c>
      <c r="R89" s="146">
        <f t="shared" si="75"/>
        <v>160000000</v>
      </c>
      <c r="S89" s="146">
        <f t="shared" si="75"/>
        <v>60000000</v>
      </c>
      <c r="T89" s="146">
        <f t="shared" si="75"/>
        <v>70000000</v>
      </c>
      <c r="U89" s="146">
        <f t="shared" si="75"/>
        <v>100000000</v>
      </c>
      <c r="V89" s="146">
        <f t="shared" si="75"/>
        <v>130000000</v>
      </c>
      <c r="W89" s="146">
        <f t="shared" si="75"/>
        <v>70000000</v>
      </c>
      <c r="X89" s="146">
        <f t="shared" si="32"/>
        <v>114000000</v>
      </c>
      <c r="Y89" s="9" t="s">
        <v>112</v>
      </c>
    </row>
  </sheetData>
  <mergeCells count="8">
    <mergeCell ref="AL4:AP4"/>
    <mergeCell ref="AQ4:AU4"/>
    <mergeCell ref="D4:I4"/>
    <mergeCell ref="J4:O4"/>
    <mergeCell ref="P4:U4"/>
    <mergeCell ref="V4:AA4"/>
    <mergeCell ref="AB4:AF4"/>
    <mergeCell ref="AG4:AK4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F0B2C-0B85-4D62-9135-3C6E24F93AE8}">
  <dimension ref="A1:AX81"/>
  <sheetViews>
    <sheetView zoomScaleNormal="100" workbookViewId="0"/>
  </sheetViews>
  <sheetFormatPr defaultColWidth="8.7109375" defaultRowHeight="15" x14ac:dyDescent="0.25"/>
  <cols>
    <col min="1" max="1" width="8.7109375" style="5"/>
    <col min="2" max="2" width="13.85546875" style="5" customWidth="1"/>
    <col min="3" max="13" width="9.140625" style="5" customWidth="1"/>
    <col min="14" max="15" width="10" style="5" customWidth="1"/>
    <col min="16" max="24" width="9.140625" style="5" customWidth="1"/>
    <col min="25" max="25" width="10" style="5" bestFit="1" customWidth="1"/>
    <col min="26" max="26" width="8.7109375" style="5"/>
    <col min="27" max="27" width="11" style="5" bestFit="1" customWidth="1"/>
    <col min="28" max="28" width="11" style="5" customWidth="1"/>
    <col min="29" max="29" width="10" style="5" bestFit="1" customWidth="1"/>
    <col min="30" max="30" width="8.7109375" style="5"/>
    <col min="31" max="31" width="9" style="5" bestFit="1" customWidth="1"/>
    <col min="32" max="32" width="8.85546875" style="5" bestFit="1" customWidth="1"/>
    <col min="33" max="33" width="8.7109375" style="5"/>
    <col min="34" max="34" width="12.140625" style="5" customWidth="1"/>
    <col min="35" max="35" width="8.7109375" style="5"/>
    <col min="36" max="37" width="12.140625" style="5" customWidth="1"/>
    <col min="38" max="38" width="8.7109375" style="5"/>
    <col min="39" max="39" width="10" style="5" bestFit="1" customWidth="1"/>
    <col min="40" max="41" width="8.7109375" style="5"/>
    <col min="42" max="42" width="10" style="5" customWidth="1"/>
    <col min="43" max="16384" width="8.7109375" style="5"/>
  </cols>
  <sheetData>
    <row r="1" spans="1:47" x14ac:dyDescent="0.25">
      <c r="A1" s="8" t="s">
        <v>114</v>
      </c>
      <c r="D1" s="5">
        <v>20160507</v>
      </c>
    </row>
    <row r="2" spans="1:47" x14ac:dyDescent="0.25">
      <c r="A2" s="9" t="s">
        <v>82</v>
      </c>
    </row>
    <row r="3" spans="1:47" x14ac:dyDescent="0.25">
      <c r="A3" s="9" t="s">
        <v>39</v>
      </c>
    </row>
    <row r="4" spans="1:47" x14ac:dyDescent="0.25">
      <c r="D4" s="382" t="s">
        <v>12</v>
      </c>
      <c r="E4" s="383"/>
      <c r="F4" s="383"/>
      <c r="G4" s="383"/>
      <c r="H4" s="383"/>
      <c r="I4" s="384"/>
      <c r="J4" s="382" t="s">
        <v>5</v>
      </c>
      <c r="K4" s="383"/>
      <c r="L4" s="383"/>
      <c r="M4" s="383"/>
      <c r="N4" s="383"/>
      <c r="O4" s="384"/>
      <c r="P4" s="382" t="s">
        <v>13</v>
      </c>
      <c r="Q4" s="383"/>
      <c r="R4" s="383"/>
      <c r="S4" s="383"/>
      <c r="T4" s="383"/>
      <c r="U4" s="384"/>
      <c r="V4" s="382" t="s">
        <v>69</v>
      </c>
      <c r="W4" s="385"/>
      <c r="X4" s="385"/>
      <c r="Y4" s="385"/>
      <c r="Z4" s="385"/>
      <c r="AA4" s="384"/>
      <c r="AB4" s="382" t="s">
        <v>83</v>
      </c>
      <c r="AC4" s="383"/>
      <c r="AD4" s="383"/>
      <c r="AE4" s="383"/>
      <c r="AF4" s="384"/>
      <c r="AG4" s="382" t="s">
        <v>84</v>
      </c>
      <c r="AH4" s="383"/>
      <c r="AI4" s="383"/>
      <c r="AJ4" s="383"/>
      <c r="AK4" s="384"/>
      <c r="AL4" s="382" t="s">
        <v>85</v>
      </c>
      <c r="AM4" s="383"/>
      <c r="AN4" s="383"/>
      <c r="AO4" s="383"/>
      <c r="AP4" s="384"/>
      <c r="AQ4" s="382" t="s">
        <v>86</v>
      </c>
      <c r="AR4" s="383"/>
      <c r="AS4" s="383"/>
      <c r="AT4" s="383"/>
      <c r="AU4" s="384"/>
    </row>
    <row r="5" spans="1:47" x14ac:dyDescent="0.25">
      <c r="B5" s="9" t="s">
        <v>15</v>
      </c>
      <c r="C5" s="11" t="s">
        <v>16</v>
      </c>
      <c r="D5" s="12">
        <v>1</v>
      </c>
      <c r="E5" s="13">
        <v>2</v>
      </c>
      <c r="F5" s="13">
        <v>3</v>
      </c>
      <c r="G5" s="13" t="s">
        <v>4</v>
      </c>
      <c r="H5" s="14" t="s">
        <v>17</v>
      </c>
      <c r="I5" s="15" t="s">
        <v>18</v>
      </c>
      <c r="J5" s="12">
        <v>1</v>
      </c>
      <c r="K5" s="13">
        <v>2</v>
      </c>
      <c r="L5" s="13">
        <v>3</v>
      </c>
      <c r="M5" s="13" t="s">
        <v>4</v>
      </c>
      <c r="N5" s="14" t="s">
        <v>17</v>
      </c>
      <c r="O5" s="15" t="s">
        <v>18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5" t="s">
        <v>18</v>
      </c>
      <c r="V5" s="12">
        <v>1</v>
      </c>
      <c r="W5" s="13">
        <v>2</v>
      </c>
      <c r="X5" s="13">
        <v>3</v>
      </c>
      <c r="Y5" s="13" t="s">
        <v>4</v>
      </c>
      <c r="Z5" s="14" t="s">
        <v>17</v>
      </c>
      <c r="AA5" s="15" t="s">
        <v>18</v>
      </c>
      <c r="AB5" s="12">
        <v>1</v>
      </c>
      <c r="AC5" s="13">
        <v>2</v>
      </c>
      <c r="AD5" s="13">
        <v>3</v>
      </c>
      <c r="AE5" s="14" t="s">
        <v>17</v>
      </c>
      <c r="AF5" s="15" t="s">
        <v>18</v>
      </c>
      <c r="AG5" s="12">
        <v>1</v>
      </c>
      <c r="AH5" s="13">
        <v>2</v>
      </c>
      <c r="AI5" s="13">
        <v>3</v>
      </c>
      <c r="AJ5" s="14" t="s">
        <v>17</v>
      </c>
      <c r="AK5" s="15" t="s">
        <v>18</v>
      </c>
      <c r="AL5" s="12">
        <v>1</v>
      </c>
      <c r="AM5" s="13">
        <v>2</v>
      </c>
      <c r="AN5" s="13">
        <v>3</v>
      </c>
      <c r="AO5" s="14" t="s">
        <v>17</v>
      </c>
      <c r="AP5" s="15" t="s">
        <v>18</v>
      </c>
      <c r="AQ5" s="12">
        <v>1</v>
      </c>
      <c r="AR5" s="13">
        <v>2</v>
      </c>
      <c r="AS5" s="13">
        <v>3</v>
      </c>
      <c r="AT5" s="14" t="s">
        <v>17</v>
      </c>
      <c r="AU5" s="15" t="s">
        <v>18</v>
      </c>
    </row>
    <row r="6" spans="1:47" x14ac:dyDescent="0.25">
      <c r="A6" s="5" t="s">
        <v>19</v>
      </c>
      <c r="B6" s="17">
        <v>42497.413194444445</v>
      </c>
      <c r="C6" s="18">
        <f>(B6-$B$6)*24</f>
        <v>0</v>
      </c>
      <c r="D6" s="132">
        <v>4.1000000000000002E-2</v>
      </c>
      <c r="E6" s="57">
        <v>4.1000000000000002E-2</v>
      </c>
      <c r="F6" s="57">
        <v>4.2000000000000003E-2</v>
      </c>
      <c r="G6" s="20">
        <v>1E-3</v>
      </c>
      <c r="H6" s="21">
        <f t="shared" ref="H6:H13" si="0">AVERAGE(D6:F6)</f>
        <v>4.1333333333333333E-2</v>
      </c>
      <c r="I6" s="22">
        <f t="shared" ref="I6:I13" si="1">STDEV(D6:F6)</f>
        <v>5.7735026918962634E-4</v>
      </c>
      <c r="J6" s="23">
        <v>6.48</v>
      </c>
      <c r="K6" s="24">
        <v>6.48</v>
      </c>
      <c r="L6" s="24">
        <v>6.48</v>
      </c>
      <c r="M6" s="24">
        <v>6.51</v>
      </c>
      <c r="N6" s="25">
        <f t="shared" ref="N6:N13" si="2">AVERAGE(J6:L6)</f>
        <v>6.48</v>
      </c>
      <c r="O6" s="26">
        <f t="shared" ref="O6:O13" si="3">STDEV(J6:L6)</f>
        <v>0</v>
      </c>
      <c r="P6" s="23">
        <v>28.59601139308473</v>
      </c>
      <c r="Q6" s="24">
        <v>28.653621949508938</v>
      </c>
      <c r="R6" s="24">
        <v>28.392574386653028</v>
      </c>
      <c r="S6" s="24">
        <v>28.775628292017373</v>
      </c>
      <c r="T6" s="25">
        <f>AVERAGE(P6:R6)</f>
        <v>28.547402576415564</v>
      </c>
      <c r="U6" s="26">
        <f>STDEV(P6:R6)</f>
        <v>0.1371443411582666</v>
      </c>
      <c r="Z6" s="81"/>
      <c r="AA6" s="81"/>
      <c r="AB6" s="133">
        <f>Y64-Y43</f>
        <v>13000000</v>
      </c>
      <c r="AC6" s="134">
        <f>Y65-Y44</f>
        <v>-9000000</v>
      </c>
      <c r="AD6" s="134">
        <f>Y66-Y45</f>
        <v>8000000</v>
      </c>
      <c r="AE6" s="135">
        <f>AVERAGE(AB6:AD6)</f>
        <v>4000000</v>
      </c>
      <c r="AF6" s="136">
        <f>STDEV(AB6:AD6)</f>
        <v>11532562.594670797</v>
      </c>
      <c r="AG6" s="133">
        <f>Y43</f>
        <v>23000000</v>
      </c>
      <c r="AH6" s="134">
        <f>Y44</f>
        <v>43000000</v>
      </c>
      <c r="AI6" s="134">
        <f>Y45</f>
        <v>31000000</v>
      </c>
      <c r="AJ6" s="135">
        <f>AVERAGE(AG6:AI6)</f>
        <v>32333333.333333332</v>
      </c>
      <c r="AK6" s="136">
        <f>STDEV(AG6:AI6)</f>
        <v>10066445.91369433</v>
      </c>
      <c r="AL6" s="23">
        <f>AB6/(AB6+AG6)</f>
        <v>0.3611111111111111</v>
      </c>
      <c r="AM6" s="24">
        <f t="shared" ref="AM6:AN11" si="4">AC6/(AC6+AH6)</f>
        <v>-0.26470588235294118</v>
      </c>
      <c r="AN6" s="24">
        <f t="shared" si="4"/>
        <v>0.20512820512820512</v>
      </c>
      <c r="AO6" s="25">
        <f>AVERAGE(AL6:AN6)</f>
        <v>0.10051114462879168</v>
      </c>
      <c r="AP6" s="26">
        <f>STDEV(AL6:AN6)</f>
        <v>0.32576106940171634</v>
      </c>
      <c r="AQ6" s="23">
        <f>AG6/(AB6+AG6)</f>
        <v>0.63888888888888884</v>
      </c>
      <c r="AR6" s="24">
        <f t="shared" ref="AR6:AS11" si="5">AH6/(AC6+AH6)</f>
        <v>1.2647058823529411</v>
      </c>
      <c r="AS6" s="24">
        <f t="shared" si="5"/>
        <v>0.79487179487179482</v>
      </c>
      <c r="AT6" s="25">
        <f>AVERAGE(AQ6:AS6)</f>
        <v>0.89948885537120826</v>
      </c>
      <c r="AU6" s="26">
        <f>STDEV(AQ6:AS6)</f>
        <v>0.32576106940171634</v>
      </c>
    </row>
    <row r="7" spans="1:47" x14ac:dyDescent="0.25">
      <c r="A7" s="5" t="s">
        <v>20</v>
      </c>
      <c r="B7" s="17">
        <v>42497.527083333334</v>
      </c>
      <c r="C7" s="28">
        <f t="shared" ref="C7:C13" si="6">(B7-$B$6)*24</f>
        <v>2.7333333333372138</v>
      </c>
      <c r="D7" s="29">
        <v>0.08</v>
      </c>
      <c r="E7" s="30">
        <v>0.08</v>
      </c>
      <c r="F7" s="30">
        <v>8.1000000000000003E-2</v>
      </c>
      <c r="G7" s="30">
        <v>1E-3</v>
      </c>
      <c r="H7" s="31">
        <f t="shared" si="0"/>
        <v>8.0333333333333326E-2</v>
      </c>
      <c r="I7" s="32">
        <f t="shared" si="1"/>
        <v>5.7735026918962634E-4</v>
      </c>
      <c r="J7" s="33">
        <v>6.23</v>
      </c>
      <c r="K7" s="34">
        <v>6.21</v>
      </c>
      <c r="L7" s="34">
        <v>6.21</v>
      </c>
      <c r="M7" s="34">
        <v>6.5</v>
      </c>
      <c r="N7" s="35">
        <f t="shared" si="2"/>
        <v>6.2166666666666677</v>
      </c>
      <c r="O7" s="36">
        <f t="shared" si="3"/>
        <v>1.1547005383792781E-2</v>
      </c>
      <c r="P7" s="115">
        <v>29.830372738433518</v>
      </c>
      <c r="Q7" s="115">
        <v>29.952238501058247</v>
      </c>
      <c r="R7" s="115">
        <v>30.254032890766915</v>
      </c>
      <c r="S7" s="121">
        <v>31.294482642817506</v>
      </c>
      <c r="T7" s="35">
        <f t="shared" ref="T7:T10" si="7">AVERAGE(P7:R7)</f>
        <v>30.012214710086226</v>
      </c>
      <c r="U7" s="36">
        <f t="shared" ref="U7:U10" si="8">STDEV(P7:R7)</f>
        <v>0.21810511320419632</v>
      </c>
      <c r="V7" s="115">
        <v>0.53025578347959579</v>
      </c>
      <c r="W7" s="115">
        <v>0.5843872149171897</v>
      </c>
      <c r="X7" s="115">
        <v>0.57455299396798898</v>
      </c>
      <c r="Y7" s="143" t="s">
        <v>21</v>
      </c>
      <c r="Z7" s="116">
        <f>AVERAGE(V7:X7)</f>
        <v>0.56306533078825816</v>
      </c>
      <c r="AA7" s="116">
        <f>STDEV(V7:X7)</f>
        <v>2.8836223250781993E-2</v>
      </c>
      <c r="AB7" s="139">
        <f>Y67-Y46</f>
        <v>13818181.81818182</v>
      </c>
      <c r="AC7" s="140">
        <f>Y68-Y47</f>
        <v>17000000</v>
      </c>
      <c r="AD7" s="140">
        <f>Y69-Y48</f>
        <v>-3000000</v>
      </c>
      <c r="AE7" s="141">
        <f t="shared" ref="AE7:AE11" si="9">AVERAGE(AB7:AD7)</f>
        <v>9272727.2727272734</v>
      </c>
      <c r="AF7" s="142">
        <f t="shared" ref="AF7:AF11" si="10">STDEV(AB7:AD7)</f>
        <v>10746900.379578991</v>
      </c>
      <c r="AG7" s="139">
        <f>Y46</f>
        <v>58181818.18181818</v>
      </c>
      <c r="AH7" s="140">
        <f>Y47</f>
        <v>44000000</v>
      </c>
      <c r="AI7" s="140">
        <f>Y48</f>
        <v>56000000</v>
      </c>
      <c r="AJ7" s="141">
        <f t="shared" ref="AJ7:AJ11" si="11">AVERAGE(AG7:AI7)</f>
        <v>52727272.727272727</v>
      </c>
      <c r="AK7" s="142">
        <f t="shared" ref="AK7:AK11" si="12">STDEV(AG7:AI7)</f>
        <v>7636363.6363635799</v>
      </c>
      <c r="AL7" s="33">
        <f t="shared" ref="AL7:AL11" si="13">AB7/(AB7+AG7)</f>
        <v>0.19191919191919193</v>
      </c>
      <c r="AM7" s="34">
        <f t="shared" si="4"/>
        <v>0.27868852459016391</v>
      </c>
      <c r="AN7" s="34">
        <f t="shared" si="4"/>
        <v>-5.6603773584905662E-2</v>
      </c>
      <c r="AO7" s="35">
        <f t="shared" ref="AO7:AO11" si="14">AVERAGE(AL7:AN7)</f>
        <v>0.13800131430815007</v>
      </c>
      <c r="AP7" s="36">
        <f t="shared" ref="AP7:AP11" si="15">STDEV(AL7:AN7)</f>
        <v>0.17402753933915002</v>
      </c>
      <c r="AQ7" s="33">
        <f t="shared" ref="AQ7:AQ11" si="16">AG7/(AB7+AG7)</f>
        <v>0.80808080808080807</v>
      </c>
      <c r="AR7" s="34">
        <f t="shared" si="5"/>
        <v>0.72131147540983609</v>
      </c>
      <c r="AS7" s="34">
        <f t="shared" si="5"/>
        <v>1.0566037735849056</v>
      </c>
      <c r="AT7" s="35">
        <f t="shared" ref="AT7:AT11" si="17">AVERAGE(AQ7:AS7)</f>
        <v>0.8619986856918499</v>
      </c>
      <c r="AU7" s="36">
        <f t="shared" ref="AU7:AU11" si="18">STDEV(AQ7:AS7)</f>
        <v>0.17402753933914977</v>
      </c>
    </row>
    <row r="8" spans="1:47" x14ac:dyDescent="0.25">
      <c r="A8" s="5" t="s">
        <v>22</v>
      </c>
      <c r="B8" s="17">
        <v>42497.643750000003</v>
      </c>
      <c r="C8" s="28">
        <f t="shared" si="6"/>
        <v>5.53333333338378</v>
      </c>
      <c r="D8" s="29">
        <v>0.156</v>
      </c>
      <c r="E8" s="30">
        <v>0.156</v>
      </c>
      <c r="F8" s="30">
        <v>0.158</v>
      </c>
      <c r="G8" s="30">
        <v>1E-3</v>
      </c>
      <c r="H8" s="31">
        <f t="shared" si="0"/>
        <v>0.15666666666666665</v>
      </c>
      <c r="I8" s="32">
        <f t="shared" si="1"/>
        <v>1.1547005383792527E-3</v>
      </c>
      <c r="J8" s="33">
        <v>5.62</v>
      </c>
      <c r="K8" s="34">
        <v>5.48</v>
      </c>
      <c r="L8" s="34">
        <v>5.46</v>
      </c>
      <c r="M8" s="34">
        <v>6.49</v>
      </c>
      <c r="N8" s="35">
        <f t="shared" si="2"/>
        <v>5.5200000000000005</v>
      </c>
      <c r="O8" s="36">
        <f t="shared" si="3"/>
        <v>8.7177978870813452E-2</v>
      </c>
      <c r="P8" s="33"/>
      <c r="Q8" s="34"/>
      <c r="R8" s="34"/>
      <c r="S8" s="34"/>
      <c r="T8" s="35"/>
      <c r="U8" s="36"/>
      <c r="V8" s="115"/>
      <c r="W8" s="115"/>
      <c r="X8" s="115"/>
      <c r="Y8" s="143"/>
      <c r="Z8" s="116"/>
      <c r="AA8" s="116"/>
      <c r="AB8" s="139">
        <f>Y70-Y49</f>
        <v>24000000</v>
      </c>
      <c r="AC8" s="140">
        <f>Y71-Y50</f>
        <v>26000000</v>
      </c>
      <c r="AD8" s="140">
        <f>Y72-Y51</f>
        <v>31000000</v>
      </c>
      <c r="AE8" s="141">
        <f t="shared" si="9"/>
        <v>27000000</v>
      </c>
      <c r="AF8" s="142">
        <f t="shared" si="10"/>
        <v>3605551.2754639895</v>
      </c>
      <c r="AG8" s="139">
        <f>Y49</f>
        <v>157000000</v>
      </c>
      <c r="AH8" s="140">
        <f>Y50</f>
        <v>133000000</v>
      </c>
      <c r="AI8" s="140">
        <f>Y51</f>
        <v>148000000</v>
      </c>
      <c r="AJ8" s="141">
        <f t="shared" si="11"/>
        <v>146000000</v>
      </c>
      <c r="AK8" s="142">
        <f t="shared" si="12"/>
        <v>12124355.652982142</v>
      </c>
      <c r="AL8" s="33">
        <f t="shared" si="13"/>
        <v>0.13259668508287292</v>
      </c>
      <c r="AM8" s="34">
        <f t="shared" si="4"/>
        <v>0.16352201257861634</v>
      </c>
      <c r="AN8" s="34">
        <f t="shared" si="4"/>
        <v>0.17318435754189945</v>
      </c>
      <c r="AO8" s="35">
        <f t="shared" si="14"/>
        <v>0.15643435173446288</v>
      </c>
      <c r="AP8" s="36">
        <f t="shared" si="15"/>
        <v>2.1201792166975649E-2</v>
      </c>
      <c r="AQ8" s="33">
        <f t="shared" si="16"/>
        <v>0.86740331491712708</v>
      </c>
      <c r="AR8" s="34">
        <f t="shared" si="5"/>
        <v>0.83647798742138368</v>
      </c>
      <c r="AS8" s="34">
        <f t="shared" si="5"/>
        <v>0.82681564245810057</v>
      </c>
      <c r="AT8" s="35">
        <f t="shared" si="17"/>
        <v>0.84356564826553715</v>
      </c>
      <c r="AU8" s="36">
        <f t="shared" si="18"/>
        <v>2.1201792166975271E-2</v>
      </c>
    </row>
    <row r="9" spans="1:47" x14ac:dyDescent="0.25">
      <c r="A9" s="5" t="s">
        <v>23</v>
      </c>
      <c r="B9" s="17">
        <v>42497.765277777777</v>
      </c>
      <c r="C9" s="28">
        <f t="shared" si="6"/>
        <v>8.4499999999534339</v>
      </c>
      <c r="D9" s="29">
        <f>0.162*2</f>
        <v>0.32400000000000001</v>
      </c>
      <c r="E9" s="30">
        <v>0.27200000000000002</v>
      </c>
      <c r="F9" s="30">
        <v>0.27600000000000002</v>
      </c>
      <c r="G9" s="30">
        <v>3.0000000000000001E-3</v>
      </c>
      <c r="H9" s="31">
        <f t="shared" si="0"/>
        <v>0.29066666666666668</v>
      </c>
      <c r="I9" s="32">
        <f t="shared" si="1"/>
        <v>2.8936712552280936E-2</v>
      </c>
      <c r="J9" s="33">
        <v>4.53</v>
      </c>
      <c r="K9" s="34">
        <v>4.46</v>
      </c>
      <c r="L9" s="34">
        <v>4.45</v>
      </c>
      <c r="M9" s="34">
        <v>6.5</v>
      </c>
      <c r="N9" s="35">
        <f t="shared" si="2"/>
        <v>4.4800000000000004</v>
      </c>
      <c r="O9" s="36">
        <f t="shared" si="3"/>
        <v>4.3588989435406823E-2</v>
      </c>
      <c r="P9" s="33"/>
      <c r="Q9" s="34"/>
      <c r="R9" s="34"/>
      <c r="S9" s="34"/>
      <c r="T9" s="35"/>
      <c r="U9" s="36"/>
      <c r="V9" s="115"/>
      <c r="W9" s="115"/>
      <c r="X9" s="115"/>
      <c r="Y9" s="143"/>
      <c r="Z9" s="116"/>
      <c r="AA9" s="116"/>
      <c r="AB9" s="139">
        <f>Y73-Y52</f>
        <v>-160000000</v>
      </c>
      <c r="AC9" s="140">
        <f>Y74-Y53</f>
        <v>-80000000</v>
      </c>
      <c r="AD9" s="140">
        <f>Y75-Y54</f>
        <v>-10000000</v>
      </c>
      <c r="AE9" s="141">
        <f t="shared" si="9"/>
        <v>-83333333.333333328</v>
      </c>
      <c r="AF9" s="142">
        <f t="shared" si="10"/>
        <v>75055534.994651347</v>
      </c>
      <c r="AG9" s="139">
        <f>Y52</f>
        <v>500000000</v>
      </c>
      <c r="AH9" s="140">
        <f>Y53</f>
        <v>390000000</v>
      </c>
      <c r="AI9" s="140">
        <f>Y54</f>
        <v>380000000</v>
      </c>
      <c r="AJ9" s="141">
        <f t="shared" si="11"/>
        <v>423333333.33333331</v>
      </c>
      <c r="AK9" s="142">
        <f t="shared" si="12"/>
        <v>66583281.184794009</v>
      </c>
      <c r="AL9" s="33">
        <f t="shared" si="13"/>
        <v>-0.47058823529411764</v>
      </c>
      <c r="AM9" s="34">
        <f t="shared" si="4"/>
        <v>-0.25806451612903225</v>
      </c>
      <c r="AN9" s="34">
        <f t="shared" si="4"/>
        <v>-2.7027027027027029E-2</v>
      </c>
      <c r="AO9" s="35">
        <f t="shared" si="14"/>
        <v>-0.25189325948339231</v>
      </c>
      <c r="AP9" s="36">
        <f t="shared" si="15"/>
        <v>0.22184499019874232</v>
      </c>
      <c r="AQ9" s="33">
        <f t="shared" si="16"/>
        <v>1.4705882352941178</v>
      </c>
      <c r="AR9" s="34">
        <f t="shared" si="5"/>
        <v>1.2580645161290323</v>
      </c>
      <c r="AS9" s="34">
        <f t="shared" si="5"/>
        <v>1.027027027027027</v>
      </c>
      <c r="AT9" s="35">
        <f t="shared" si="17"/>
        <v>1.2518932594833923</v>
      </c>
      <c r="AU9" s="36">
        <f t="shared" si="18"/>
        <v>0.22184499019874257</v>
      </c>
    </row>
    <row r="10" spans="1:47" x14ac:dyDescent="0.25">
      <c r="A10" s="5" t="s">
        <v>24</v>
      </c>
      <c r="B10" s="17">
        <v>42497.881944444445</v>
      </c>
      <c r="C10" s="28">
        <f t="shared" si="6"/>
        <v>11.25</v>
      </c>
      <c r="D10" s="29">
        <f>0.25*2</f>
        <v>0.5</v>
      </c>
      <c r="E10" s="30">
        <f>0.243*2</f>
        <v>0.48599999999999999</v>
      </c>
      <c r="F10" s="30">
        <f>0.246*2</f>
        <v>0.49199999999999999</v>
      </c>
      <c r="G10" s="30">
        <v>0</v>
      </c>
      <c r="H10" s="31">
        <f t="shared" si="0"/>
        <v>0.49266666666666664</v>
      </c>
      <c r="I10" s="32">
        <f t="shared" si="1"/>
        <v>7.0237691685684986E-3</v>
      </c>
      <c r="J10" s="33">
        <v>4.1500000000000004</v>
      </c>
      <c r="K10" s="34">
        <v>4.1500000000000004</v>
      </c>
      <c r="L10" s="34">
        <v>4.13</v>
      </c>
      <c r="M10" s="34">
        <v>6.48</v>
      </c>
      <c r="N10" s="35">
        <f t="shared" si="2"/>
        <v>4.1433333333333335</v>
      </c>
      <c r="O10" s="36">
        <f t="shared" si="3"/>
        <v>1.1547005383792781E-2</v>
      </c>
      <c r="P10" s="121">
        <v>25.922487918853442</v>
      </c>
      <c r="Q10" s="115">
        <v>26.53262662612179</v>
      </c>
      <c r="R10" s="115">
        <v>26.755026848148972</v>
      </c>
      <c r="S10" s="115">
        <v>30.188215470580108</v>
      </c>
      <c r="T10" s="35">
        <f t="shared" si="7"/>
        <v>26.403380464374735</v>
      </c>
      <c r="U10" s="36">
        <f t="shared" si="8"/>
        <v>0.43105532700907045</v>
      </c>
      <c r="V10" s="121">
        <v>0.10504780284080738</v>
      </c>
      <c r="W10" s="115">
        <v>0.17278414546207826</v>
      </c>
      <c r="X10" s="115">
        <v>0.1567596030400582</v>
      </c>
      <c r="Y10" s="143" t="s">
        <v>21</v>
      </c>
      <c r="Z10" s="116">
        <f t="shared" ref="Z10" si="19">AVERAGE(V10:X10)</f>
        <v>0.14486385044764796</v>
      </c>
      <c r="AA10" s="116">
        <f t="shared" ref="AA10" si="20">STDEV(V10:X10)</f>
        <v>3.5400349224709929E-2</v>
      </c>
      <c r="AB10" s="139">
        <f>Y76-Y55</f>
        <v>-100000000</v>
      </c>
      <c r="AC10" s="140">
        <f>Y77-Y56</f>
        <v>-50000000</v>
      </c>
      <c r="AD10" s="140">
        <f>Y78-Y57</f>
        <v>0</v>
      </c>
      <c r="AE10" s="141">
        <f t="shared" si="9"/>
        <v>-50000000</v>
      </c>
      <c r="AF10" s="142">
        <f t="shared" si="10"/>
        <v>50000000</v>
      </c>
      <c r="AG10" s="139">
        <f>Y55</f>
        <v>540000000</v>
      </c>
      <c r="AH10" s="140">
        <f>Y56</f>
        <v>370000000</v>
      </c>
      <c r="AI10" s="140">
        <f>Y57</f>
        <v>400000000</v>
      </c>
      <c r="AJ10" s="141">
        <f t="shared" si="11"/>
        <v>436666666.66666669</v>
      </c>
      <c r="AK10" s="142">
        <f t="shared" si="12"/>
        <v>90737717.258774728</v>
      </c>
      <c r="AL10" s="33">
        <f t="shared" si="13"/>
        <v>-0.22727272727272727</v>
      </c>
      <c r="AM10" s="34">
        <f t="shared" si="4"/>
        <v>-0.15625</v>
      </c>
      <c r="AN10" s="34">
        <f t="shared" si="4"/>
        <v>0</v>
      </c>
      <c r="AO10" s="35">
        <f t="shared" si="14"/>
        <v>-0.12784090909090909</v>
      </c>
      <c r="AP10" s="36">
        <f t="shared" si="15"/>
        <v>0.11626921550955183</v>
      </c>
      <c r="AQ10" s="33">
        <f t="shared" si="16"/>
        <v>1.2272727272727273</v>
      </c>
      <c r="AR10" s="34">
        <f t="shared" si="5"/>
        <v>1.15625</v>
      </c>
      <c r="AS10" s="34">
        <f t="shared" si="5"/>
        <v>1</v>
      </c>
      <c r="AT10" s="35">
        <f t="shared" si="17"/>
        <v>1.1278409090909092</v>
      </c>
      <c r="AU10" s="36">
        <f t="shared" si="18"/>
        <v>0.11626921550955185</v>
      </c>
    </row>
    <row r="11" spans="1:47" x14ac:dyDescent="0.25">
      <c r="A11" s="5" t="s">
        <v>40</v>
      </c>
      <c r="B11" s="17">
        <v>42497.999305555553</v>
      </c>
      <c r="C11" s="18">
        <f t="shared" si="6"/>
        <v>14.066666666592937</v>
      </c>
      <c r="D11" s="19">
        <f>0.176*3</f>
        <v>0.52800000000000002</v>
      </c>
      <c r="E11" s="20">
        <f>0.179*3</f>
        <v>0.53699999999999992</v>
      </c>
      <c r="F11" s="20">
        <f>0.184*3</f>
        <v>0.55200000000000005</v>
      </c>
      <c r="G11" s="20">
        <v>1E-3</v>
      </c>
      <c r="H11" s="21">
        <f t="shared" si="0"/>
        <v>0.53900000000000003</v>
      </c>
      <c r="I11" s="22">
        <f t="shared" si="1"/>
        <v>1.2124355652982161E-2</v>
      </c>
      <c r="J11" s="23">
        <v>4.0599999999999996</v>
      </c>
      <c r="K11" s="24">
        <v>4.03</v>
      </c>
      <c r="L11" s="24">
        <v>4</v>
      </c>
      <c r="M11" s="24">
        <v>6.48</v>
      </c>
      <c r="N11" s="25">
        <f t="shared" si="2"/>
        <v>4.03</v>
      </c>
      <c r="O11" s="26">
        <f t="shared" si="3"/>
        <v>2.9999999999999805E-2</v>
      </c>
      <c r="P11" s="23">
        <v>24.478384316902929</v>
      </c>
      <c r="Q11" s="24">
        <v>24.385919827745269</v>
      </c>
      <c r="R11" s="24">
        <v>24.484019376059223</v>
      </c>
      <c r="S11" s="24">
        <v>28.651043014955562</v>
      </c>
      <c r="T11" s="25">
        <f>AVERAGE(P11:R11)</f>
        <v>24.449441173569141</v>
      </c>
      <c r="U11" s="26">
        <f>STDEV(P11:R11)</f>
        <v>5.5083205284193575E-2</v>
      </c>
      <c r="Z11" s="81"/>
      <c r="AA11" s="81"/>
      <c r="AB11" s="133">
        <f>AW79-AW58</f>
        <v>10000000</v>
      </c>
      <c r="AC11" s="134">
        <f>AW80-AW59</f>
        <v>5000000</v>
      </c>
      <c r="AD11" s="134">
        <f>AW81-AW60</f>
        <v>19000000</v>
      </c>
      <c r="AE11" s="135">
        <f t="shared" si="9"/>
        <v>11333333.333333334</v>
      </c>
      <c r="AF11" s="136">
        <f t="shared" si="10"/>
        <v>7094598.8845975883</v>
      </c>
      <c r="AG11" s="133">
        <f>AW58</f>
        <v>320000000</v>
      </c>
      <c r="AH11" s="134">
        <f>AW59</f>
        <v>245000000</v>
      </c>
      <c r="AI11" s="134">
        <f>AW60</f>
        <v>248000000</v>
      </c>
      <c r="AJ11" s="135">
        <f t="shared" si="11"/>
        <v>271000000</v>
      </c>
      <c r="AK11" s="136">
        <f t="shared" si="12"/>
        <v>42461747.491124287</v>
      </c>
      <c r="AL11" s="23">
        <f t="shared" si="13"/>
        <v>3.0303030303030304E-2</v>
      </c>
      <c r="AM11" s="24">
        <f t="shared" si="4"/>
        <v>0.02</v>
      </c>
      <c r="AN11" s="24">
        <f t="shared" si="4"/>
        <v>7.116104868913857E-2</v>
      </c>
      <c r="AO11" s="25">
        <f t="shared" si="14"/>
        <v>4.0488026330722959E-2</v>
      </c>
      <c r="AP11" s="26">
        <f t="shared" si="15"/>
        <v>2.7058526083402774E-2</v>
      </c>
      <c r="AQ11" s="23">
        <f t="shared" si="16"/>
        <v>0.96969696969696972</v>
      </c>
      <c r="AR11" s="24">
        <f t="shared" si="5"/>
        <v>0.98</v>
      </c>
      <c r="AS11" s="24">
        <f t="shared" si="5"/>
        <v>0.92883895131086147</v>
      </c>
      <c r="AT11" s="25">
        <f t="shared" si="17"/>
        <v>0.9595119736692771</v>
      </c>
      <c r="AU11" s="26">
        <f t="shared" si="18"/>
        <v>2.7058526083402749E-2</v>
      </c>
    </row>
    <row r="12" spans="1:47" x14ac:dyDescent="0.25">
      <c r="A12" s="5" t="s">
        <v>46</v>
      </c>
      <c r="B12" s="17">
        <v>42498.293749999997</v>
      </c>
      <c r="C12" s="122">
        <f t="shared" si="6"/>
        <v>21.133333333244082</v>
      </c>
      <c r="D12" s="19">
        <f>0.272*2</f>
        <v>0.54400000000000004</v>
      </c>
      <c r="E12" s="20">
        <f>0.195*3</f>
        <v>0.58499999999999996</v>
      </c>
      <c r="F12" s="20">
        <f>0.194*3</f>
        <v>0.58200000000000007</v>
      </c>
      <c r="G12" s="20">
        <v>1E-3</v>
      </c>
      <c r="H12" s="21">
        <f t="shared" si="0"/>
        <v>0.57033333333333336</v>
      </c>
      <c r="I12" s="22">
        <f t="shared" si="1"/>
        <v>2.285461295522925E-2</v>
      </c>
      <c r="J12" s="23">
        <v>4.03</v>
      </c>
      <c r="K12" s="24">
        <v>3.99</v>
      </c>
      <c r="L12" s="24">
        <v>3.96</v>
      </c>
      <c r="M12" s="24">
        <v>6.48</v>
      </c>
      <c r="N12" s="25">
        <f t="shared" si="2"/>
        <v>3.9933333333333336</v>
      </c>
      <c r="O12" s="26">
        <f t="shared" si="3"/>
        <v>3.5118845842842597E-2</v>
      </c>
      <c r="P12" s="23">
        <v>23.710469230576194</v>
      </c>
      <c r="Q12" s="24">
        <v>23.697832657352638</v>
      </c>
      <c r="R12" s="24">
        <v>23.872506547449937</v>
      </c>
      <c r="S12" s="24">
        <v>29.143721579207401</v>
      </c>
      <c r="T12" s="25">
        <f>AVERAGE(P12:R12)</f>
        <v>23.760269478459588</v>
      </c>
      <c r="U12" s="26">
        <f>STDEV(P12:R12)</f>
        <v>9.7405289832568034E-2</v>
      </c>
      <c r="AB12" s="84"/>
      <c r="AC12" s="49"/>
      <c r="AD12" s="49"/>
      <c r="AE12" s="49"/>
      <c r="AF12" s="59"/>
      <c r="AG12" s="84"/>
      <c r="AH12" s="49"/>
      <c r="AI12" s="49"/>
      <c r="AJ12" s="49"/>
      <c r="AK12" s="59"/>
      <c r="AL12" s="84"/>
      <c r="AM12" s="49"/>
      <c r="AN12" s="49"/>
      <c r="AO12" s="49"/>
      <c r="AP12" s="59"/>
      <c r="AQ12" s="84"/>
      <c r="AR12" s="49"/>
      <c r="AS12" s="49"/>
      <c r="AT12" s="85"/>
      <c r="AU12" s="86"/>
    </row>
    <row r="13" spans="1:47" x14ac:dyDescent="0.25">
      <c r="A13" s="5" t="s">
        <v>65</v>
      </c>
      <c r="B13" s="17">
        <v>42498.576388888891</v>
      </c>
      <c r="C13" s="39">
        <f t="shared" si="6"/>
        <v>27.916666666686069</v>
      </c>
      <c r="D13" s="40">
        <f>0.275*2</f>
        <v>0.55000000000000004</v>
      </c>
      <c r="E13" s="41">
        <f>0.195*3</f>
        <v>0.58499999999999996</v>
      </c>
      <c r="F13" s="41">
        <f>0.193*3</f>
        <v>0.57899999999999996</v>
      </c>
      <c r="G13" s="41">
        <v>0</v>
      </c>
      <c r="H13" s="42">
        <f t="shared" si="0"/>
        <v>0.57133333333333336</v>
      </c>
      <c r="I13" s="43">
        <f t="shared" si="1"/>
        <v>1.8717193521821895E-2</v>
      </c>
      <c r="J13" s="44">
        <v>4.0199999999999996</v>
      </c>
      <c r="K13" s="45">
        <v>3.96</v>
      </c>
      <c r="L13" s="45">
        <v>3.94</v>
      </c>
      <c r="M13" s="45">
        <v>6.46</v>
      </c>
      <c r="N13" s="46">
        <f t="shared" si="2"/>
        <v>3.9733333333333332</v>
      </c>
      <c r="O13" s="47">
        <f t="shared" si="3"/>
        <v>4.1633319989322445E-2</v>
      </c>
      <c r="P13" s="44"/>
      <c r="Q13" s="45"/>
      <c r="R13" s="45"/>
      <c r="S13" s="45"/>
      <c r="T13" s="46"/>
      <c r="U13" s="47"/>
      <c r="V13" s="64"/>
      <c r="W13" s="62"/>
      <c r="X13" s="62"/>
      <c r="Y13" s="62"/>
      <c r="Z13" s="62"/>
      <c r="AA13" s="63"/>
      <c r="AB13" s="64"/>
      <c r="AC13" s="62"/>
      <c r="AD13" s="62"/>
      <c r="AE13" s="62"/>
      <c r="AF13" s="63"/>
      <c r="AG13" s="64"/>
      <c r="AH13" s="62"/>
      <c r="AI13" s="62"/>
      <c r="AJ13" s="62"/>
      <c r="AK13" s="63"/>
      <c r="AL13" s="64"/>
      <c r="AM13" s="62"/>
      <c r="AN13" s="62"/>
      <c r="AO13" s="62"/>
      <c r="AP13" s="63"/>
      <c r="AQ13" s="64"/>
      <c r="AR13" s="62"/>
      <c r="AS13" s="62"/>
      <c r="AT13" s="62"/>
      <c r="AU13" s="63"/>
    </row>
    <row r="14" spans="1:47" ht="18.75" x14ac:dyDescent="0.35">
      <c r="B14" s="17"/>
      <c r="C14" s="48" t="s">
        <v>25</v>
      </c>
      <c r="D14" s="24">
        <f>LN(LOGEST(D7:D10,$C$7:$C$10))</f>
        <v>0.21889337477956741</v>
      </c>
      <c r="E14" s="24">
        <f t="shared" ref="E14:F14" si="21">LN(LOGEST(E7:E10,$C$7:$C$10))</f>
        <v>0.20961265419211678</v>
      </c>
      <c r="F14" s="24">
        <f t="shared" si="21"/>
        <v>0.20966356902545752</v>
      </c>
      <c r="G14" s="20"/>
      <c r="H14" s="25">
        <f>AVERAGE(D14:F14)</f>
        <v>0.2127231993323806</v>
      </c>
      <c r="I14" s="26">
        <f>STDEV(D14:F14)</f>
        <v>5.3435893243085264E-3</v>
      </c>
      <c r="J14" s="24"/>
      <c r="K14" s="24"/>
      <c r="L14" s="24"/>
      <c r="M14" s="127"/>
      <c r="N14" s="25"/>
      <c r="O14" s="123" t="s">
        <v>87</v>
      </c>
      <c r="P14" s="55">
        <f>(P7-P10)</f>
        <v>3.9078848195800759</v>
      </c>
      <c r="Q14" s="55">
        <f t="shared" ref="Q14:R14" si="22">(Q7-Q10)</f>
        <v>3.4196118749364572</v>
      </c>
      <c r="R14" s="55">
        <f t="shared" si="22"/>
        <v>3.4990060426179426</v>
      </c>
      <c r="S14" s="55"/>
      <c r="T14" s="111">
        <f>AVERAGE(P14:R14)</f>
        <v>3.6088342457114919</v>
      </c>
      <c r="U14" s="51">
        <f>STDEV(P14:R14)</f>
        <v>0.26201010049959145</v>
      </c>
      <c r="V14" s="55">
        <f>V10</f>
        <v>0.10504780284080738</v>
      </c>
      <c r="W14" s="55">
        <f t="shared" ref="W14:X14" si="23">W10</f>
        <v>0.17278414546207826</v>
      </c>
      <c r="X14" s="55">
        <f t="shared" si="23"/>
        <v>0.1567596030400582</v>
      </c>
      <c r="AB14" s="84"/>
      <c r="AC14" s="49"/>
      <c r="AD14" s="49"/>
      <c r="AE14" s="49"/>
      <c r="AF14" s="59"/>
      <c r="AG14" s="84"/>
      <c r="AH14" s="49"/>
      <c r="AI14" s="49"/>
      <c r="AJ14" s="49"/>
      <c r="AK14" s="59"/>
      <c r="AL14" s="84"/>
      <c r="AM14" s="49"/>
      <c r="AN14" s="49"/>
      <c r="AO14" s="49"/>
      <c r="AP14" s="59"/>
      <c r="AQ14" s="84"/>
      <c r="AR14" s="49"/>
      <c r="AS14" s="49"/>
      <c r="AT14" s="49"/>
      <c r="AU14" s="59"/>
    </row>
    <row r="15" spans="1:47" ht="18" x14ac:dyDescent="0.35">
      <c r="A15" s="52" t="s">
        <v>27</v>
      </c>
      <c r="B15" s="53"/>
      <c r="C15" s="54" t="s">
        <v>28</v>
      </c>
      <c r="D15" s="55">
        <f>D13*0.46</f>
        <v>0.25300000000000006</v>
      </c>
      <c r="E15" s="55">
        <f t="shared" ref="E15:F15" si="24">E13*0.46</f>
        <v>0.26910000000000001</v>
      </c>
      <c r="F15" s="55">
        <f t="shared" si="24"/>
        <v>0.26633999999999997</v>
      </c>
      <c r="G15" s="55"/>
      <c r="H15" s="25">
        <f>AVERAGE(D15:F15)</f>
        <v>0.26281333333333334</v>
      </c>
      <c r="I15" s="26">
        <f>STDEV(D15:F15)</f>
        <v>8.6099090200380569E-3</v>
      </c>
      <c r="J15" s="24"/>
      <c r="K15" s="24"/>
      <c r="L15" s="24"/>
      <c r="M15" s="127"/>
      <c r="N15" s="25"/>
      <c r="O15" s="54" t="s">
        <v>29</v>
      </c>
      <c r="P15" s="55">
        <f>(D10-D7)*0.46</f>
        <v>0.19320000000000001</v>
      </c>
      <c r="Q15" s="55">
        <f t="shared" ref="Q15:R15" si="25">(E10-E7)*0.46</f>
        <v>0.18675999999999998</v>
      </c>
      <c r="R15" s="55">
        <f t="shared" si="25"/>
        <v>0.18906000000000001</v>
      </c>
      <c r="S15" s="55"/>
      <c r="T15" s="111">
        <f>AVERAGE(P15:R15)</f>
        <v>0.18967333333333333</v>
      </c>
      <c r="U15" s="26">
        <f>STDEV(P15:R15)</f>
        <v>3.263515486914904E-3</v>
      </c>
      <c r="AB15" s="84"/>
      <c r="AC15" s="49"/>
      <c r="AD15" s="49"/>
      <c r="AE15" s="49"/>
      <c r="AF15" s="59"/>
      <c r="AG15" s="84"/>
      <c r="AH15" s="49"/>
      <c r="AI15" s="49"/>
      <c r="AJ15" s="49"/>
      <c r="AK15" s="59"/>
      <c r="AL15" s="84"/>
      <c r="AM15" s="49"/>
      <c r="AN15" s="49"/>
      <c r="AO15" s="49"/>
      <c r="AP15" s="59"/>
      <c r="AQ15" s="84"/>
      <c r="AR15" s="49"/>
      <c r="AS15" s="49"/>
      <c r="AT15" s="49"/>
      <c r="AU15" s="59"/>
    </row>
    <row r="16" spans="1:47" ht="18" x14ac:dyDescent="0.35">
      <c r="B16" s="17"/>
      <c r="C16" s="56"/>
      <c r="D16" s="55"/>
      <c r="E16" s="55"/>
      <c r="F16" s="55"/>
      <c r="H16" s="20"/>
      <c r="I16" s="59"/>
      <c r="M16" s="127"/>
      <c r="O16" s="54" t="s">
        <v>88</v>
      </c>
      <c r="P16" s="24">
        <f>P15/(P14/1000*180.16)</f>
        <v>0.27441446104012074</v>
      </c>
      <c r="Q16" s="24">
        <f t="shared" ref="Q16:R16" si="26">Q15/(Q14/1000*180.16)</f>
        <v>0.30314378968484562</v>
      </c>
      <c r="R16" s="24">
        <f t="shared" si="26"/>
        <v>0.29991389556861781</v>
      </c>
      <c r="S16" s="24"/>
      <c r="T16" s="25">
        <f>AVERAGE(P16:R16)</f>
        <v>0.2924907154311947</v>
      </c>
      <c r="U16" s="26">
        <f>STDEV(P16:R16)</f>
        <v>1.5737575531466937E-2</v>
      </c>
      <c r="AB16" s="84"/>
      <c r="AC16" s="49"/>
      <c r="AD16" s="49"/>
      <c r="AE16" s="49"/>
      <c r="AF16" s="59"/>
      <c r="AG16" s="84"/>
      <c r="AH16" s="49"/>
      <c r="AI16" s="49"/>
      <c r="AJ16" s="49"/>
      <c r="AK16" s="59"/>
      <c r="AL16" s="84"/>
      <c r="AM16" s="49"/>
      <c r="AN16" s="49"/>
      <c r="AO16" s="49"/>
      <c r="AP16" s="59"/>
      <c r="AQ16" s="84"/>
      <c r="AR16" s="49"/>
      <c r="AS16" s="49"/>
      <c r="AT16" s="49"/>
      <c r="AU16" s="59"/>
    </row>
    <row r="17" spans="1:47" ht="18.75" x14ac:dyDescent="0.35">
      <c r="B17" s="17"/>
      <c r="C17" s="56"/>
      <c r="D17" s="55"/>
      <c r="E17" s="55"/>
      <c r="F17" s="55"/>
      <c r="H17" s="20"/>
      <c r="I17" s="59"/>
      <c r="M17" s="127"/>
      <c r="O17" s="54" t="s">
        <v>32</v>
      </c>
      <c r="P17" s="24">
        <f>D14*(P14)</f>
        <v>0.8554100964077237</v>
      </c>
      <c r="Q17" s="24">
        <f t="shared" ref="Q17:R17" si="27">E14*(Q14)</f>
        <v>0.71679392141231169</v>
      </c>
      <c r="R17" s="24">
        <f t="shared" si="27"/>
        <v>0.73361409493691998</v>
      </c>
      <c r="S17" s="24"/>
      <c r="T17" s="25">
        <f>AVERAGE(P17:R17)</f>
        <v>0.76860603758565171</v>
      </c>
      <c r="U17" s="26">
        <f>STDEV(P17:R17)</f>
        <v>7.5643492980816088E-2</v>
      </c>
      <c r="AB17" s="84"/>
      <c r="AC17" s="49"/>
      <c r="AD17" s="49"/>
      <c r="AE17" s="49"/>
      <c r="AF17" s="59"/>
      <c r="AG17" s="84"/>
      <c r="AH17" s="49"/>
      <c r="AI17" s="49"/>
      <c r="AJ17" s="49"/>
      <c r="AK17" s="59"/>
      <c r="AL17" s="84"/>
      <c r="AM17" s="49"/>
      <c r="AN17" s="49"/>
      <c r="AO17" s="49"/>
      <c r="AP17" s="59"/>
      <c r="AQ17" s="84"/>
      <c r="AR17" s="49"/>
      <c r="AS17" s="49"/>
      <c r="AT17" s="49"/>
      <c r="AU17" s="59"/>
    </row>
    <row r="18" spans="1:47" ht="18.75" x14ac:dyDescent="0.35">
      <c r="A18" s="6"/>
      <c r="B18" s="148"/>
      <c r="C18" s="149"/>
      <c r="D18" s="67"/>
      <c r="E18" s="67"/>
      <c r="F18" s="67"/>
      <c r="G18" s="150"/>
      <c r="H18" s="151"/>
      <c r="I18" s="152"/>
      <c r="J18" s="62"/>
      <c r="K18" s="62"/>
      <c r="L18" s="62"/>
      <c r="M18" s="11"/>
      <c r="N18" s="62"/>
      <c r="O18" s="124" t="s">
        <v>33</v>
      </c>
      <c r="P18" s="45">
        <f>D14*(P14/P15)</f>
        <v>4.4275884907232079</v>
      </c>
      <c r="Q18" s="45">
        <f>E14*(Q14/Q15)</f>
        <v>3.8380484119314189</v>
      </c>
      <c r="R18" s="45">
        <f>F14*(R14/R15)</f>
        <v>3.8803242089120915</v>
      </c>
      <c r="S18" s="45"/>
      <c r="T18" s="46">
        <f>AVERAGE(P18:R18)</f>
        <v>4.0486537038555728</v>
      </c>
      <c r="U18" s="47">
        <f>STDEV(P18:R18)</f>
        <v>0.3288472141837343</v>
      </c>
      <c r="V18" s="64"/>
      <c r="W18" s="62"/>
      <c r="X18" s="62"/>
      <c r="Y18" s="62"/>
      <c r="Z18" s="62"/>
      <c r="AA18" s="63"/>
      <c r="AB18" s="64"/>
      <c r="AC18" s="62"/>
      <c r="AD18" s="62"/>
      <c r="AE18" s="62"/>
      <c r="AF18" s="63"/>
      <c r="AG18" s="64"/>
      <c r="AH18" s="62"/>
      <c r="AI18" s="62"/>
      <c r="AJ18" s="62"/>
      <c r="AK18" s="63"/>
      <c r="AL18" s="64"/>
      <c r="AM18" s="62"/>
      <c r="AN18" s="62"/>
      <c r="AO18" s="62"/>
      <c r="AP18" s="63"/>
      <c r="AQ18" s="64"/>
      <c r="AR18" s="62"/>
      <c r="AS18" s="62"/>
      <c r="AT18" s="62"/>
      <c r="AU18" s="63"/>
    </row>
    <row r="19" spans="1:47" x14ac:dyDescent="0.25">
      <c r="A19" s="6"/>
      <c r="B19" s="148"/>
      <c r="C19" s="153"/>
      <c r="D19" s="94"/>
      <c r="E19" s="94"/>
      <c r="F19" s="94"/>
      <c r="G19" s="7"/>
      <c r="H19" s="57"/>
      <c r="I19" s="69" t="s">
        <v>34</v>
      </c>
      <c r="J19" s="55">
        <f>P15/(J7-J10)</f>
        <v>9.2884615384615385E-2</v>
      </c>
      <c r="K19" s="55">
        <f>Q15/(K7-K10)</f>
        <v>9.0660194174757291E-2</v>
      </c>
      <c r="L19" s="55">
        <f>R15/(L7-L10)</f>
        <v>9.0894230769230769E-2</v>
      </c>
      <c r="M19" s="49"/>
      <c r="N19" s="111">
        <f>AVERAGE(J19:L19)</f>
        <v>9.1479680109534486E-2</v>
      </c>
      <c r="O19" s="26">
        <f>STDEV(J19:L19)</f>
        <v>1.2223238634924772E-3</v>
      </c>
      <c r="P19" s="24"/>
      <c r="Q19" s="24"/>
      <c r="R19" s="24"/>
      <c r="S19" s="24"/>
      <c r="T19" s="24"/>
      <c r="U19" s="24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</row>
    <row r="20" spans="1:47" x14ac:dyDescent="0.25">
      <c r="A20" s="6"/>
      <c r="B20" s="148"/>
      <c r="C20" s="153"/>
      <c r="D20" s="94"/>
      <c r="E20" s="94"/>
      <c r="F20" s="94"/>
      <c r="G20" s="7"/>
      <c r="H20" s="57"/>
      <c r="I20" s="57"/>
      <c r="J20" s="49"/>
      <c r="K20" s="49"/>
      <c r="L20" s="49"/>
      <c r="M20" s="49"/>
      <c r="N20" s="49"/>
      <c r="O20" s="49"/>
      <c r="P20" s="24"/>
      <c r="Q20" s="24"/>
      <c r="R20" s="24"/>
      <c r="S20" s="24"/>
      <c r="T20" s="24"/>
      <c r="U20" s="24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</row>
    <row r="21" spans="1:47" x14ac:dyDescent="0.25">
      <c r="A21" s="6"/>
      <c r="B21" s="148"/>
      <c r="C21" s="153"/>
      <c r="D21" s="94"/>
      <c r="E21" s="94"/>
      <c r="F21" s="94"/>
      <c r="G21" s="7"/>
      <c r="H21" s="57"/>
      <c r="I21" s="57"/>
      <c r="J21" s="49"/>
      <c r="K21" s="49"/>
      <c r="L21" s="49"/>
      <c r="M21" s="49"/>
      <c r="N21" s="49"/>
      <c r="O21" s="9" t="s">
        <v>35</v>
      </c>
      <c r="P21" s="24">
        <f>P14/1000*6</f>
        <v>2.3447308917480456E-2</v>
      </c>
      <c r="Q21" s="24">
        <f t="shared" ref="Q21:R21" si="28">Q14/1000*6</f>
        <v>2.0517671249618744E-2</v>
      </c>
      <c r="R21" s="24">
        <f t="shared" si="28"/>
        <v>2.0994036255707654E-2</v>
      </c>
      <c r="S21" s="24"/>
      <c r="T21" s="24"/>
      <c r="U21" s="24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</row>
    <row r="22" spans="1:47" x14ac:dyDescent="0.25">
      <c r="A22" s="6"/>
      <c r="B22" s="148"/>
      <c r="C22" s="153"/>
      <c r="D22" s="94"/>
      <c r="E22" s="94"/>
      <c r="F22" s="94"/>
      <c r="G22" s="7"/>
      <c r="H22" s="57"/>
      <c r="I22" s="57"/>
      <c r="J22" s="49"/>
      <c r="K22" s="49"/>
      <c r="L22" s="49"/>
      <c r="M22" s="49"/>
      <c r="N22" s="49"/>
      <c r="O22" s="9" t="s">
        <v>36</v>
      </c>
      <c r="P22" s="24">
        <f>P15*0.5/12.01</f>
        <v>8.0432972522897599E-3</v>
      </c>
      <c r="Q22" s="24">
        <f t="shared" ref="Q22:R22" si="29">Q15*0.5/12.01</f>
        <v>7.7751873438800991E-3</v>
      </c>
      <c r="R22" s="24">
        <f t="shared" si="29"/>
        <v>7.870940882597835E-3</v>
      </c>
      <c r="T22" s="79" t="s">
        <v>17</v>
      </c>
      <c r="U22" s="51" t="s">
        <v>18</v>
      </c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</row>
    <row r="23" spans="1:47" x14ac:dyDescent="0.25">
      <c r="A23" s="6"/>
      <c r="B23" s="148"/>
      <c r="C23" s="153"/>
      <c r="D23" s="94"/>
      <c r="E23" s="94"/>
      <c r="F23" s="94"/>
      <c r="G23" s="7"/>
      <c r="H23" s="57"/>
      <c r="I23" s="57"/>
      <c r="J23" s="49"/>
      <c r="K23" s="49"/>
      <c r="L23" s="49"/>
      <c r="M23" s="49"/>
      <c r="N23" s="49"/>
      <c r="O23" s="9" t="s">
        <v>37</v>
      </c>
      <c r="P23" s="24">
        <f>(P21-P22)/P21</f>
        <v>0.65696288300729833</v>
      </c>
      <c r="Q23" s="24">
        <f t="shared" ref="Q23:R23" si="30">(Q21-Q22)/Q21</f>
        <v>0.62104922877031787</v>
      </c>
      <c r="R23" s="24">
        <f t="shared" si="30"/>
        <v>0.62508682052704556</v>
      </c>
      <c r="T23" s="103">
        <f>AVERAGE(P23:R23)*100</f>
        <v>63.43663107682206</v>
      </c>
      <c r="U23" s="80">
        <f>STDEV(P23:R23)</f>
        <v>1.9673061391542315E-2</v>
      </c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</row>
    <row r="24" spans="1:47" x14ac:dyDescent="0.25">
      <c r="A24" s="6"/>
      <c r="B24" s="148"/>
      <c r="C24" s="153"/>
      <c r="D24" s="94"/>
      <c r="E24" s="94"/>
      <c r="F24" s="94"/>
      <c r="G24" s="7"/>
      <c r="H24" s="57"/>
      <c r="I24" s="57"/>
      <c r="J24" s="49"/>
      <c r="K24" s="49"/>
      <c r="L24" s="49"/>
      <c r="M24" s="49"/>
      <c r="N24" s="49"/>
      <c r="O24" s="49"/>
      <c r="P24" s="24"/>
      <c r="Q24" s="24"/>
      <c r="R24" s="24"/>
      <c r="U24" s="24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</row>
    <row r="25" spans="1:47" x14ac:dyDescent="0.25">
      <c r="A25" s="6"/>
      <c r="B25" s="148"/>
      <c r="C25" s="153"/>
      <c r="D25" s="94"/>
      <c r="E25" s="94"/>
      <c r="F25" s="94"/>
      <c r="G25" s="7"/>
      <c r="H25" s="57"/>
      <c r="I25" s="57"/>
      <c r="J25" s="49"/>
      <c r="K25" s="49"/>
      <c r="L25" s="49"/>
      <c r="M25" s="49"/>
      <c r="N25" s="49"/>
      <c r="O25" s="49"/>
      <c r="P25" s="24"/>
      <c r="Q25" s="24"/>
      <c r="R25" s="24"/>
      <c r="S25" s="24"/>
      <c r="T25" s="24"/>
      <c r="U25" s="24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</row>
    <row r="26" spans="1:47" x14ac:dyDescent="0.25">
      <c r="A26" s="6"/>
      <c r="B26" s="148"/>
      <c r="C26" s="153"/>
      <c r="D26" s="94"/>
      <c r="E26" s="94"/>
      <c r="F26" s="94"/>
      <c r="G26" s="7"/>
      <c r="H26" s="57"/>
      <c r="I26" s="57"/>
      <c r="J26" s="49"/>
      <c r="K26" s="49"/>
      <c r="L26" s="49"/>
      <c r="M26" s="49"/>
      <c r="N26" s="49"/>
      <c r="O26" s="49"/>
      <c r="P26" s="24"/>
      <c r="Q26" s="24"/>
      <c r="R26" s="24"/>
      <c r="S26" s="24"/>
      <c r="T26" s="24"/>
      <c r="U26" s="24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</row>
    <row r="27" spans="1:47" x14ac:dyDescent="0.25">
      <c r="A27" s="6"/>
      <c r="B27" s="148"/>
      <c r="C27" s="153"/>
      <c r="D27" s="94"/>
      <c r="E27" s="94"/>
      <c r="F27" s="94"/>
      <c r="G27" s="7"/>
      <c r="H27" s="57"/>
      <c r="I27" s="57"/>
      <c r="J27" s="49"/>
      <c r="K27" s="49"/>
      <c r="L27" s="49"/>
      <c r="M27" s="49"/>
      <c r="N27" s="49"/>
      <c r="O27" s="49"/>
      <c r="P27" s="24"/>
      <c r="Q27" s="24"/>
      <c r="R27" s="24"/>
      <c r="S27" s="24"/>
      <c r="T27" s="24"/>
      <c r="U27" s="24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</row>
    <row r="28" spans="1:47" x14ac:dyDescent="0.25">
      <c r="A28" s="6"/>
      <c r="B28" s="148"/>
      <c r="C28" s="153"/>
      <c r="D28" s="94"/>
      <c r="E28" s="94"/>
      <c r="F28" s="94"/>
      <c r="G28" s="7"/>
      <c r="H28" s="57"/>
      <c r="I28" s="57"/>
      <c r="J28" s="49"/>
      <c r="K28" s="49"/>
      <c r="L28" s="49"/>
      <c r="M28" s="49"/>
      <c r="N28" s="49"/>
      <c r="O28" s="49"/>
      <c r="P28" s="24"/>
      <c r="Q28" s="24"/>
      <c r="R28" s="24"/>
      <c r="S28" s="24"/>
      <c r="T28" s="24"/>
      <c r="U28" s="24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</row>
    <row r="29" spans="1:47" x14ac:dyDescent="0.25">
      <c r="A29" s="6"/>
      <c r="B29" s="148"/>
      <c r="C29" s="153"/>
      <c r="D29" s="94"/>
      <c r="E29" s="94"/>
      <c r="F29" s="94"/>
      <c r="G29" s="7"/>
      <c r="H29" s="57"/>
      <c r="I29" s="57"/>
      <c r="J29" s="49"/>
      <c r="K29" s="49"/>
      <c r="L29" s="49"/>
      <c r="M29" s="49"/>
      <c r="N29" s="49"/>
      <c r="O29" s="49"/>
      <c r="P29" s="24"/>
      <c r="Q29" s="24"/>
      <c r="R29" s="24"/>
      <c r="S29" s="24"/>
      <c r="T29" s="24"/>
      <c r="U29" s="24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</row>
    <row r="30" spans="1:47" x14ac:dyDescent="0.25">
      <c r="B30" s="17"/>
      <c r="C30" s="68"/>
      <c r="D30" s="55"/>
      <c r="E30" s="55"/>
      <c r="F30" s="55"/>
    </row>
    <row r="31" spans="1:47" x14ac:dyDescent="0.25">
      <c r="B31" s="17"/>
      <c r="C31" s="68"/>
      <c r="D31" s="55"/>
      <c r="E31" s="55"/>
      <c r="F31" s="55"/>
    </row>
    <row r="32" spans="1:47" x14ac:dyDescent="0.25">
      <c r="A32" s="9"/>
      <c r="C32" s="73"/>
      <c r="D32" s="1"/>
      <c r="E32" s="74"/>
      <c r="F32" s="73"/>
      <c r="G32" s="1"/>
      <c r="H32" s="74"/>
      <c r="I32" s="73"/>
      <c r="J32" s="1"/>
      <c r="K32" s="74"/>
    </row>
    <row r="33" spans="1:50" x14ac:dyDescent="0.25">
      <c r="E33" s="55"/>
      <c r="H33" s="55"/>
      <c r="K33" s="55"/>
    </row>
    <row r="36" spans="1:50" x14ac:dyDescent="0.25">
      <c r="O36" s="75"/>
      <c r="P36" s="76"/>
      <c r="Q36" s="76"/>
      <c r="R36" s="76"/>
    </row>
    <row r="37" spans="1:50" x14ac:dyDescent="0.25">
      <c r="O37" s="75"/>
      <c r="P37" s="76"/>
      <c r="R37" s="76"/>
    </row>
    <row r="38" spans="1:50" x14ac:dyDescent="0.25">
      <c r="O38" s="75"/>
      <c r="P38" s="77"/>
      <c r="Q38" s="77"/>
      <c r="R38" s="77"/>
    </row>
    <row r="39" spans="1:50" x14ac:dyDescent="0.25">
      <c r="O39" s="75"/>
      <c r="P39" s="76"/>
    </row>
    <row r="41" spans="1:50" x14ac:dyDescent="0.25">
      <c r="A41" s="145" t="s">
        <v>89</v>
      </c>
    </row>
    <row r="42" spans="1:50" x14ac:dyDescent="0.25">
      <c r="A42" s="73"/>
      <c r="B42" s="73" t="s">
        <v>90</v>
      </c>
      <c r="C42" s="73">
        <v>1</v>
      </c>
      <c r="D42" s="73">
        <v>2</v>
      </c>
      <c r="E42" s="73">
        <v>3</v>
      </c>
      <c r="F42" s="73">
        <v>4</v>
      </c>
      <c r="G42" s="73">
        <v>5</v>
      </c>
      <c r="H42" s="73">
        <v>6</v>
      </c>
      <c r="I42" s="73">
        <v>7</v>
      </c>
      <c r="J42" s="73">
        <v>8</v>
      </c>
      <c r="K42" s="73">
        <v>9</v>
      </c>
      <c r="L42" s="73">
        <v>10</v>
      </c>
      <c r="M42" s="73"/>
      <c r="N42" s="73">
        <v>1</v>
      </c>
      <c r="O42" s="73">
        <v>2</v>
      </c>
      <c r="P42" s="73">
        <v>3</v>
      </c>
      <c r="Q42" s="73">
        <v>4</v>
      </c>
      <c r="R42" s="73">
        <v>5</v>
      </c>
      <c r="S42" s="73">
        <v>6</v>
      </c>
      <c r="T42" s="73">
        <v>7</v>
      </c>
      <c r="U42" s="73">
        <v>8</v>
      </c>
      <c r="V42" s="73">
        <v>9</v>
      </c>
      <c r="W42" s="73">
        <v>10</v>
      </c>
      <c r="X42" s="73"/>
      <c r="Y42" s="73" t="s">
        <v>91</v>
      </c>
      <c r="Z42" s="73"/>
      <c r="AA42" s="73" t="s">
        <v>90</v>
      </c>
      <c r="AB42" s="73">
        <v>1</v>
      </c>
      <c r="AC42" s="73">
        <v>2</v>
      </c>
      <c r="AD42" s="73">
        <v>3</v>
      </c>
      <c r="AE42" s="73">
        <v>4</v>
      </c>
      <c r="AF42" s="73">
        <v>5</v>
      </c>
      <c r="AG42" s="73">
        <v>6</v>
      </c>
      <c r="AH42" s="73">
        <v>7</v>
      </c>
      <c r="AI42" s="73">
        <v>8</v>
      </c>
      <c r="AJ42" s="73">
        <v>9</v>
      </c>
      <c r="AK42" s="73">
        <v>10</v>
      </c>
      <c r="AL42" s="73"/>
      <c r="AM42" s="73">
        <v>1</v>
      </c>
      <c r="AN42" s="73">
        <v>2</v>
      </c>
      <c r="AO42" s="73">
        <v>3</v>
      </c>
      <c r="AP42" s="73">
        <v>4</v>
      </c>
      <c r="AQ42" s="73">
        <v>5</v>
      </c>
      <c r="AR42" s="73">
        <v>6</v>
      </c>
      <c r="AS42" s="73">
        <v>7</v>
      </c>
      <c r="AT42" s="73">
        <v>8</v>
      </c>
      <c r="AU42" s="73">
        <v>9</v>
      </c>
      <c r="AV42" s="73">
        <v>10</v>
      </c>
      <c r="AW42" s="73" t="s">
        <v>91</v>
      </c>
    </row>
    <row r="43" spans="1:50" x14ac:dyDescent="0.25">
      <c r="A43" s="9" t="s">
        <v>92</v>
      </c>
      <c r="B43" s="5">
        <v>5</v>
      </c>
      <c r="C43" s="5">
        <v>6</v>
      </c>
      <c r="D43" s="5">
        <v>2</v>
      </c>
      <c r="E43" s="5">
        <v>2</v>
      </c>
      <c r="F43" s="5">
        <v>2</v>
      </c>
      <c r="G43" s="5">
        <v>0</v>
      </c>
      <c r="H43" s="5">
        <v>3</v>
      </c>
      <c r="I43" s="5">
        <v>2</v>
      </c>
      <c r="J43" s="5">
        <v>2</v>
      </c>
      <c r="K43" s="5">
        <v>1</v>
      </c>
      <c r="L43" s="5">
        <v>3</v>
      </c>
      <c r="N43" s="146">
        <f>(C43/0.01)*10^($B$43)</f>
        <v>60000000</v>
      </c>
      <c r="O43" s="146">
        <f t="shared" ref="O43:W43" si="31">(D43/0.01)*10^($B$43)</f>
        <v>20000000</v>
      </c>
      <c r="P43" s="146">
        <f t="shared" si="31"/>
        <v>20000000</v>
      </c>
      <c r="Q43" s="146">
        <f t="shared" si="31"/>
        <v>20000000</v>
      </c>
      <c r="R43" s="146">
        <f t="shared" si="31"/>
        <v>0</v>
      </c>
      <c r="S43" s="146">
        <f t="shared" si="31"/>
        <v>30000000</v>
      </c>
      <c r="T43" s="146">
        <f t="shared" si="31"/>
        <v>20000000</v>
      </c>
      <c r="U43" s="146">
        <f t="shared" si="31"/>
        <v>20000000</v>
      </c>
      <c r="V43" s="146">
        <f t="shared" si="31"/>
        <v>10000000</v>
      </c>
      <c r="W43" s="146">
        <f t="shared" si="31"/>
        <v>30000000</v>
      </c>
      <c r="X43" s="146"/>
      <c r="Y43" s="154">
        <f>AVERAGE(N43:W43)</f>
        <v>23000000</v>
      </c>
      <c r="Z43" s="9" t="s">
        <v>92</v>
      </c>
      <c r="AA43" s="5">
        <v>4</v>
      </c>
      <c r="AB43" s="5">
        <v>29</v>
      </c>
      <c r="AC43" s="5">
        <v>26</v>
      </c>
      <c r="AD43" s="5">
        <v>29</v>
      </c>
      <c r="AE43" s="5">
        <v>29</v>
      </c>
      <c r="AF43" s="5">
        <v>31</v>
      </c>
      <c r="AG43" s="5">
        <v>41</v>
      </c>
      <c r="AH43" s="5">
        <v>25</v>
      </c>
      <c r="AI43" s="5">
        <v>34</v>
      </c>
      <c r="AJ43" s="5">
        <v>33</v>
      </c>
      <c r="AK43" s="5">
        <v>24</v>
      </c>
      <c r="AM43" s="146">
        <f>(AB43/0.01)*10^($AA$43)</f>
        <v>29000000</v>
      </c>
      <c r="AN43" s="146">
        <f t="shared" ref="AN43:AV43" si="32">(AC43/0.01)*10^($AA$43)</f>
        <v>26000000</v>
      </c>
      <c r="AO43" s="146">
        <f t="shared" si="32"/>
        <v>29000000</v>
      </c>
      <c r="AP43" s="146">
        <f t="shared" si="32"/>
        <v>29000000</v>
      </c>
      <c r="AQ43" s="146">
        <f t="shared" si="32"/>
        <v>31000000</v>
      </c>
      <c r="AR43" s="146">
        <f t="shared" si="32"/>
        <v>41000000</v>
      </c>
      <c r="AS43" s="146">
        <f t="shared" si="32"/>
        <v>25000000</v>
      </c>
      <c r="AT43" s="146">
        <f t="shared" si="32"/>
        <v>34000000</v>
      </c>
      <c r="AU43" s="146">
        <f t="shared" si="32"/>
        <v>33000000</v>
      </c>
      <c r="AV43" s="146">
        <f t="shared" si="32"/>
        <v>24000000</v>
      </c>
      <c r="AW43" s="146">
        <f>AVERAGE(AM43:AV43)</f>
        <v>30100000</v>
      </c>
      <c r="AX43" s="9" t="s">
        <v>92</v>
      </c>
    </row>
    <row r="44" spans="1:50" x14ac:dyDescent="0.25">
      <c r="A44" s="9" t="s">
        <v>93</v>
      </c>
      <c r="B44" s="5">
        <v>5</v>
      </c>
      <c r="C44" s="5">
        <v>4</v>
      </c>
      <c r="D44" s="5">
        <v>4</v>
      </c>
      <c r="E44" s="5">
        <v>4</v>
      </c>
      <c r="F44" s="5">
        <v>4</v>
      </c>
      <c r="G44" s="5">
        <v>3</v>
      </c>
      <c r="H44" s="5">
        <v>10</v>
      </c>
      <c r="I44" s="5">
        <v>2</v>
      </c>
      <c r="J44" s="5">
        <v>5</v>
      </c>
      <c r="K44" s="5">
        <v>3</v>
      </c>
      <c r="L44" s="5">
        <v>4</v>
      </c>
      <c r="N44" s="146">
        <f>(C44/0.01)*10^($B$44)</f>
        <v>40000000</v>
      </c>
      <c r="O44" s="146">
        <f t="shared" ref="O44:W44" si="33">(D44/0.01)*10^($B$44)</f>
        <v>40000000</v>
      </c>
      <c r="P44" s="146">
        <f t="shared" si="33"/>
        <v>40000000</v>
      </c>
      <c r="Q44" s="146">
        <f t="shared" si="33"/>
        <v>40000000</v>
      </c>
      <c r="R44" s="146">
        <f t="shared" si="33"/>
        <v>30000000</v>
      </c>
      <c r="S44" s="146">
        <f t="shared" si="33"/>
        <v>100000000</v>
      </c>
      <c r="T44" s="146">
        <f t="shared" si="33"/>
        <v>20000000</v>
      </c>
      <c r="U44" s="146">
        <f t="shared" si="33"/>
        <v>50000000</v>
      </c>
      <c r="V44" s="146">
        <f t="shared" si="33"/>
        <v>30000000</v>
      </c>
      <c r="W44" s="146">
        <f t="shared" si="33"/>
        <v>40000000</v>
      </c>
      <c r="X44" s="146"/>
      <c r="Y44" s="154">
        <f t="shared" ref="Y44:Y60" si="34">AVERAGE(N44:W44)</f>
        <v>43000000</v>
      </c>
      <c r="Z44" s="9" t="s">
        <v>93</v>
      </c>
      <c r="AA44" s="5">
        <v>4</v>
      </c>
      <c r="AB44" s="5">
        <v>32</v>
      </c>
      <c r="AC44" s="5">
        <v>35</v>
      </c>
      <c r="AD44" s="5">
        <v>29</v>
      </c>
      <c r="AE44" s="5">
        <v>25</v>
      </c>
      <c r="AF44" s="5">
        <v>32</v>
      </c>
      <c r="AG44" s="5">
        <v>32</v>
      </c>
      <c r="AH44" s="5">
        <v>30</v>
      </c>
      <c r="AI44" s="5">
        <v>28</v>
      </c>
      <c r="AJ44" s="5">
        <v>26</v>
      </c>
      <c r="AK44" s="5">
        <v>31</v>
      </c>
      <c r="AM44" s="146">
        <f>(AB44/0.01)*10^($AA$44)</f>
        <v>32000000</v>
      </c>
      <c r="AN44" s="146">
        <f t="shared" ref="AN44:AV44" si="35">(AC44/0.01)*10^($AA$44)</f>
        <v>35000000</v>
      </c>
      <c r="AO44" s="146">
        <f t="shared" si="35"/>
        <v>29000000</v>
      </c>
      <c r="AP44" s="146">
        <f t="shared" si="35"/>
        <v>25000000</v>
      </c>
      <c r="AQ44" s="146">
        <f t="shared" si="35"/>
        <v>32000000</v>
      </c>
      <c r="AR44" s="146">
        <f t="shared" si="35"/>
        <v>32000000</v>
      </c>
      <c r="AS44" s="146">
        <f t="shared" si="35"/>
        <v>30000000</v>
      </c>
      <c r="AT44" s="146">
        <f t="shared" si="35"/>
        <v>28000000</v>
      </c>
      <c r="AU44" s="146">
        <f t="shared" si="35"/>
        <v>26000000</v>
      </c>
      <c r="AV44" s="146">
        <f t="shared" si="35"/>
        <v>31000000</v>
      </c>
      <c r="AW44" s="146">
        <f t="shared" ref="AW44:AW60" si="36">AVERAGE(AM44:AV44)</f>
        <v>30000000</v>
      </c>
      <c r="AX44" s="9" t="s">
        <v>93</v>
      </c>
    </row>
    <row r="45" spans="1:50" x14ac:dyDescent="0.25">
      <c r="A45" s="9" t="s">
        <v>94</v>
      </c>
      <c r="B45" s="5">
        <v>5</v>
      </c>
      <c r="C45" s="5">
        <v>2</v>
      </c>
      <c r="D45" s="5">
        <v>3</v>
      </c>
      <c r="E45" s="5">
        <v>7</v>
      </c>
      <c r="F45" s="5">
        <v>4</v>
      </c>
      <c r="G45" s="5">
        <v>3</v>
      </c>
      <c r="H45" s="5">
        <v>2</v>
      </c>
      <c r="I45" s="5">
        <v>3</v>
      </c>
      <c r="J45" s="5">
        <v>3</v>
      </c>
      <c r="K45" s="5">
        <v>3</v>
      </c>
      <c r="L45" s="5">
        <v>1</v>
      </c>
      <c r="N45" s="146">
        <f>(C45/0.01)*10^($B$45)</f>
        <v>20000000</v>
      </c>
      <c r="O45" s="146">
        <f t="shared" ref="O45:W45" si="37">(D45/0.01)*10^($B$45)</f>
        <v>30000000</v>
      </c>
      <c r="P45" s="146">
        <f t="shared" si="37"/>
        <v>70000000</v>
      </c>
      <c r="Q45" s="146">
        <f t="shared" si="37"/>
        <v>40000000</v>
      </c>
      <c r="R45" s="146">
        <f t="shared" si="37"/>
        <v>30000000</v>
      </c>
      <c r="S45" s="146">
        <f t="shared" si="37"/>
        <v>20000000</v>
      </c>
      <c r="T45" s="146">
        <f t="shared" si="37"/>
        <v>30000000</v>
      </c>
      <c r="U45" s="146">
        <f t="shared" si="37"/>
        <v>30000000</v>
      </c>
      <c r="V45" s="146">
        <f t="shared" si="37"/>
        <v>30000000</v>
      </c>
      <c r="W45" s="146">
        <f t="shared" si="37"/>
        <v>10000000</v>
      </c>
      <c r="X45" s="146"/>
      <c r="Y45" s="154">
        <f t="shared" si="34"/>
        <v>31000000</v>
      </c>
      <c r="Z45" s="9" t="s">
        <v>94</v>
      </c>
      <c r="AA45" s="5">
        <v>4</v>
      </c>
      <c r="AB45" s="5">
        <v>28</v>
      </c>
      <c r="AC45" s="5">
        <v>27</v>
      </c>
      <c r="AD45" s="5">
        <v>40</v>
      </c>
      <c r="AE45" s="5">
        <v>36</v>
      </c>
      <c r="AF45" s="5">
        <v>42</v>
      </c>
      <c r="AG45" s="5">
        <v>41</v>
      </c>
      <c r="AH45" s="5">
        <v>24</v>
      </c>
      <c r="AI45" s="5">
        <v>31</v>
      </c>
      <c r="AJ45" s="5">
        <v>28</v>
      </c>
      <c r="AK45" s="5">
        <v>29</v>
      </c>
      <c r="AM45" s="146">
        <f>(AB45/0.01)*10^($AA$45)</f>
        <v>28000000</v>
      </c>
      <c r="AN45" s="146">
        <f t="shared" ref="AN45:AV45" si="38">(AC45/0.01)*10^($AA$45)</f>
        <v>27000000</v>
      </c>
      <c r="AO45" s="146">
        <f t="shared" si="38"/>
        <v>40000000</v>
      </c>
      <c r="AP45" s="146">
        <f t="shared" si="38"/>
        <v>36000000</v>
      </c>
      <c r="AQ45" s="146">
        <f t="shared" si="38"/>
        <v>42000000</v>
      </c>
      <c r="AR45" s="146">
        <f t="shared" si="38"/>
        <v>41000000</v>
      </c>
      <c r="AS45" s="146">
        <f t="shared" si="38"/>
        <v>24000000</v>
      </c>
      <c r="AT45" s="146">
        <f t="shared" si="38"/>
        <v>31000000</v>
      </c>
      <c r="AU45" s="146">
        <f t="shared" si="38"/>
        <v>28000000</v>
      </c>
      <c r="AV45" s="146">
        <f t="shared" si="38"/>
        <v>29000000</v>
      </c>
      <c r="AW45" s="146">
        <f t="shared" si="36"/>
        <v>32600000</v>
      </c>
      <c r="AX45" s="9" t="s">
        <v>94</v>
      </c>
    </row>
    <row r="46" spans="1:50" x14ac:dyDescent="0.25">
      <c r="A46" s="9" t="s">
        <v>95</v>
      </c>
      <c r="B46" s="5">
        <v>5</v>
      </c>
      <c r="C46" s="5">
        <v>7</v>
      </c>
      <c r="D46" s="5">
        <v>5</v>
      </c>
      <c r="E46" s="5">
        <v>2</v>
      </c>
      <c r="F46" s="5">
        <v>6</v>
      </c>
      <c r="G46" s="5">
        <v>4</v>
      </c>
      <c r="H46" s="5">
        <v>4</v>
      </c>
      <c r="I46" s="5">
        <v>7</v>
      </c>
      <c r="J46" s="5">
        <v>3</v>
      </c>
      <c r="K46" s="5">
        <v>10</v>
      </c>
      <c r="L46" s="5">
        <v>7</v>
      </c>
      <c r="M46" s="5">
        <v>9</v>
      </c>
      <c r="N46" s="146">
        <f>(C46/0.01)*10^($B$46)</f>
        <v>70000000</v>
      </c>
      <c r="O46" s="146">
        <f t="shared" ref="O46:W46" si="39">(D46/0.01)*10^($B$46)</f>
        <v>50000000</v>
      </c>
      <c r="P46" s="146">
        <f t="shared" si="39"/>
        <v>20000000</v>
      </c>
      <c r="Q46" s="146">
        <f t="shared" si="39"/>
        <v>60000000</v>
      </c>
      <c r="R46" s="146">
        <f t="shared" si="39"/>
        <v>40000000</v>
      </c>
      <c r="S46" s="146">
        <f t="shared" si="39"/>
        <v>40000000</v>
      </c>
      <c r="T46" s="146">
        <f t="shared" si="39"/>
        <v>70000000</v>
      </c>
      <c r="U46" s="146">
        <f t="shared" si="39"/>
        <v>30000000</v>
      </c>
      <c r="V46" s="146">
        <f t="shared" si="39"/>
        <v>100000000</v>
      </c>
      <c r="W46" s="146">
        <f t="shared" si="39"/>
        <v>70000000</v>
      </c>
      <c r="X46" s="146">
        <f>(M46/0.01)*10^($B$46)</f>
        <v>90000000</v>
      </c>
      <c r="Y46" s="146">
        <f>AVERAGE(N46:X46)</f>
        <v>58181818.18181818</v>
      </c>
      <c r="Z46" s="9" t="s">
        <v>95</v>
      </c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46"/>
      <c r="AX46" s="9" t="s">
        <v>95</v>
      </c>
    </row>
    <row r="47" spans="1:50" x14ac:dyDescent="0.25">
      <c r="A47" s="9" t="s">
        <v>96</v>
      </c>
      <c r="B47" s="5">
        <v>5</v>
      </c>
      <c r="C47" s="5">
        <v>7</v>
      </c>
      <c r="D47" s="5">
        <v>6</v>
      </c>
      <c r="E47" s="5">
        <v>7</v>
      </c>
      <c r="F47" s="5">
        <v>0</v>
      </c>
      <c r="G47" s="5">
        <v>3</v>
      </c>
      <c r="H47" s="5">
        <v>3</v>
      </c>
      <c r="I47" s="5">
        <v>4</v>
      </c>
      <c r="J47" s="5">
        <v>4</v>
      </c>
      <c r="K47" s="5">
        <v>5</v>
      </c>
      <c r="L47" s="5">
        <v>5</v>
      </c>
      <c r="N47" s="146">
        <f>(C47/0.01)*10^($B$47)</f>
        <v>70000000</v>
      </c>
      <c r="O47" s="146">
        <f t="shared" ref="O47:W47" si="40">(D47/0.01)*10^($B$47)</f>
        <v>60000000</v>
      </c>
      <c r="P47" s="146">
        <f t="shared" si="40"/>
        <v>70000000</v>
      </c>
      <c r="Q47" s="146">
        <f t="shared" si="40"/>
        <v>0</v>
      </c>
      <c r="R47" s="146">
        <f t="shared" si="40"/>
        <v>30000000</v>
      </c>
      <c r="S47" s="146">
        <f t="shared" si="40"/>
        <v>30000000</v>
      </c>
      <c r="T47" s="146">
        <f t="shared" si="40"/>
        <v>40000000</v>
      </c>
      <c r="U47" s="146">
        <f t="shared" si="40"/>
        <v>40000000</v>
      </c>
      <c r="V47" s="146">
        <f t="shared" si="40"/>
        <v>50000000</v>
      </c>
      <c r="W47" s="146">
        <f t="shared" si="40"/>
        <v>50000000</v>
      </c>
      <c r="X47" s="146"/>
      <c r="Y47" s="146">
        <f t="shared" si="34"/>
        <v>44000000</v>
      </c>
      <c r="Z47" s="9" t="s">
        <v>96</v>
      </c>
      <c r="AM47" s="146"/>
      <c r="AN47" s="146"/>
      <c r="AO47" s="146"/>
      <c r="AP47" s="146"/>
      <c r="AQ47" s="146"/>
      <c r="AR47" s="146"/>
      <c r="AS47" s="146"/>
      <c r="AT47" s="146"/>
      <c r="AU47" s="146"/>
      <c r="AV47" s="146"/>
      <c r="AW47" s="146"/>
      <c r="AX47" s="9" t="s">
        <v>96</v>
      </c>
    </row>
    <row r="48" spans="1:50" x14ac:dyDescent="0.25">
      <c r="A48" s="9" t="s">
        <v>97</v>
      </c>
      <c r="B48" s="5">
        <v>5</v>
      </c>
      <c r="C48" s="5">
        <v>8</v>
      </c>
      <c r="D48" s="5">
        <v>6</v>
      </c>
      <c r="E48" s="5">
        <v>7</v>
      </c>
      <c r="F48" s="5">
        <v>4</v>
      </c>
      <c r="G48" s="5">
        <v>5</v>
      </c>
      <c r="H48" s="5">
        <v>4</v>
      </c>
      <c r="I48" s="5">
        <v>6</v>
      </c>
      <c r="J48" s="5">
        <v>7</v>
      </c>
      <c r="K48" s="5">
        <v>5</v>
      </c>
      <c r="L48" s="5">
        <v>4</v>
      </c>
      <c r="N48" s="146">
        <f>(C48/0.01)*10^($B$48)</f>
        <v>80000000</v>
      </c>
      <c r="O48" s="146">
        <f t="shared" ref="O48:W48" si="41">(D48/0.01)*10^($B$48)</f>
        <v>60000000</v>
      </c>
      <c r="P48" s="146">
        <f t="shared" si="41"/>
        <v>70000000</v>
      </c>
      <c r="Q48" s="146">
        <f t="shared" si="41"/>
        <v>40000000</v>
      </c>
      <c r="R48" s="146">
        <f t="shared" si="41"/>
        <v>50000000</v>
      </c>
      <c r="S48" s="146">
        <f t="shared" si="41"/>
        <v>40000000</v>
      </c>
      <c r="T48" s="146">
        <f t="shared" si="41"/>
        <v>60000000</v>
      </c>
      <c r="U48" s="146">
        <f t="shared" si="41"/>
        <v>70000000</v>
      </c>
      <c r="V48" s="146">
        <f t="shared" si="41"/>
        <v>50000000</v>
      </c>
      <c r="W48" s="146">
        <f t="shared" si="41"/>
        <v>40000000</v>
      </c>
      <c r="X48" s="146"/>
      <c r="Y48" s="146">
        <f t="shared" si="34"/>
        <v>56000000</v>
      </c>
      <c r="Z48" s="9" t="s">
        <v>97</v>
      </c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6"/>
      <c r="AX48" s="9" t="s">
        <v>97</v>
      </c>
    </row>
    <row r="49" spans="1:50" x14ac:dyDescent="0.25">
      <c r="A49" s="9" t="s">
        <v>98</v>
      </c>
      <c r="B49" s="5">
        <v>5</v>
      </c>
      <c r="C49" s="5">
        <v>20</v>
      </c>
      <c r="D49" s="5">
        <v>17</v>
      </c>
      <c r="E49" s="5">
        <v>13</v>
      </c>
      <c r="F49" s="5">
        <v>16</v>
      </c>
      <c r="G49" s="5">
        <v>19</v>
      </c>
      <c r="H49" s="5">
        <v>12</v>
      </c>
      <c r="I49" s="5">
        <v>13</v>
      </c>
      <c r="J49" s="5">
        <v>23</v>
      </c>
      <c r="K49" s="5">
        <v>13</v>
      </c>
      <c r="L49" s="5">
        <v>11</v>
      </c>
      <c r="N49" s="146">
        <f>(C49/0.01)*10^($B$49)</f>
        <v>200000000</v>
      </c>
      <c r="O49" s="146">
        <f t="shared" ref="O49:W49" si="42">(D49/0.01)*10^($B$49)</f>
        <v>170000000</v>
      </c>
      <c r="P49" s="146">
        <f t="shared" si="42"/>
        <v>130000000</v>
      </c>
      <c r="Q49" s="146">
        <f t="shared" si="42"/>
        <v>160000000</v>
      </c>
      <c r="R49" s="146">
        <f t="shared" si="42"/>
        <v>190000000</v>
      </c>
      <c r="S49" s="146">
        <f t="shared" si="42"/>
        <v>120000000</v>
      </c>
      <c r="T49" s="146">
        <f t="shared" si="42"/>
        <v>130000000</v>
      </c>
      <c r="U49" s="146">
        <f t="shared" si="42"/>
        <v>230000000</v>
      </c>
      <c r="V49" s="146">
        <f t="shared" si="42"/>
        <v>130000000</v>
      </c>
      <c r="W49" s="146">
        <f t="shared" si="42"/>
        <v>110000000</v>
      </c>
      <c r="X49" s="146"/>
      <c r="Y49" s="146">
        <f t="shared" si="34"/>
        <v>157000000</v>
      </c>
      <c r="Z49" s="9" t="s">
        <v>98</v>
      </c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  <c r="AX49" s="9" t="s">
        <v>98</v>
      </c>
    </row>
    <row r="50" spans="1:50" x14ac:dyDescent="0.25">
      <c r="A50" s="9" t="s">
        <v>99</v>
      </c>
      <c r="B50" s="5">
        <v>5</v>
      </c>
      <c r="C50" s="5">
        <v>14</v>
      </c>
      <c r="D50" s="5">
        <v>12</v>
      </c>
      <c r="E50" s="5">
        <v>19</v>
      </c>
      <c r="F50" s="5">
        <v>19</v>
      </c>
      <c r="G50" s="5">
        <v>5</v>
      </c>
      <c r="H50" s="5">
        <v>12</v>
      </c>
      <c r="I50" s="5">
        <v>20</v>
      </c>
      <c r="J50" s="5">
        <v>15</v>
      </c>
      <c r="K50" s="5">
        <v>8</v>
      </c>
      <c r="L50" s="5">
        <v>9</v>
      </c>
      <c r="N50" s="146">
        <f>(C50/0.01)*10^($B$50)</f>
        <v>140000000</v>
      </c>
      <c r="O50" s="146">
        <f t="shared" ref="O50:W50" si="43">(D50/0.01)*10^($B$50)</f>
        <v>120000000</v>
      </c>
      <c r="P50" s="146">
        <f t="shared" si="43"/>
        <v>190000000</v>
      </c>
      <c r="Q50" s="146">
        <f t="shared" si="43"/>
        <v>190000000</v>
      </c>
      <c r="R50" s="146">
        <f t="shared" si="43"/>
        <v>50000000</v>
      </c>
      <c r="S50" s="146">
        <f t="shared" si="43"/>
        <v>120000000</v>
      </c>
      <c r="T50" s="146">
        <f t="shared" si="43"/>
        <v>200000000</v>
      </c>
      <c r="U50" s="146">
        <f t="shared" si="43"/>
        <v>150000000</v>
      </c>
      <c r="V50" s="146">
        <f t="shared" si="43"/>
        <v>80000000</v>
      </c>
      <c r="W50" s="146">
        <f t="shared" si="43"/>
        <v>90000000</v>
      </c>
      <c r="X50" s="146"/>
      <c r="Y50" s="146">
        <f t="shared" si="34"/>
        <v>133000000</v>
      </c>
      <c r="Z50" s="9" t="s">
        <v>99</v>
      </c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  <c r="AX50" s="9" t="s">
        <v>99</v>
      </c>
    </row>
    <row r="51" spans="1:50" x14ac:dyDescent="0.25">
      <c r="A51" s="9" t="s">
        <v>100</v>
      </c>
      <c r="B51" s="5">
        <v>5</v>
      </c>
      <c r="C51" s="5">
        <v>6</v>
      </c>
      <c r="D51" s="5">
        <v>14</v>
      </c>
      <c r="E51" s="5">
        <v>15</v>
      </c>
      <c r="F51" s="5">
        <v>15</v>
      </c>
      <c r="G51" s="5">
        <v>14</v>
      </c>
      <c r="H51" s="5">
        <v>14</v>
      </c>
      <c r="I51" s="5">
        <v>21</v>
      </c>
      <c r="J51" s="5">
        <v>20</v>
      </c>
      <c r="K51" s="5">
        <v>15</v>
      </c>
      <c r="L51" s="5">
        <v>14</v>
      </c>
      <c r="N51" s="146">
        <f>(C51/0.01)*10^($B$51)</f>
        <v>60000000</v>
      </c>
      <c r="O51" s="146">
        <f t="shared" ref="O51:W51" si="44">(D51/0.01)*10^($B$51)</f>
        <v>140000000</v>
      </c>
      <c r="P51" s="146">
        <f t="shared" si="44"/>
        <v>150000000</v>
      </c>
      <c r="Q51" s="146">
        <f t="shared" si="44"/>
        <v>150000000</v>
      </c>
      <c r="R51" s="146">
        <f t="shared" si="44"/>
        <v>140000000</v>
      </c>
      <c r="S51" s="146">
        <f t="shared" si="44"/>
        <v>140000000</v>
      </c>
      <c r="T51" s="146">
        <f t="shared" si="44"/>
        <v>210000000</v>
      </c>
      <c r="U51" s="146">
        <f t="shared" si="44"/>
        <v>200000000</v>
      </c>
      <c r="V51" s="146">
        <f t="shared" si="44"/>
        <v>150000000</v>
      </c>
      <c r="W51" s="146">
        <f t="shared" si="44"/>
        <v>140000000</v>
      </c>
      <c r="X51" s="146"/>
      <c r="Y51" s="146">
        <f t="shared" si="34"/>
        <v>148000000</v>
      </c>
      <c r="Z51" s="9" t="s">
        <v>100</v>
      </c>
      <c r="AM51" s="146"/>
      <c r="AN51" s="146"/>
      <c r="AO51" s="146"/>
      <c r="AP51" s="146"/>
      <c r="AQ51" s="146"/>
      <c r="AR51" s="146"/>
      <c r="AS51" s="146"/>
      <c r="AT51" s="146"/>
      <c r="AU51" s="146"/>
      <c r="AV51" s="146"/>
      <c r="AW51" s="146"/>
      <c r="AX51" s="9" t="s">
        <v>100</v>
      </c>
    </row>
    <row r="52" spans="1:50" x14ac:dyDescent="0.25">
      <c r="A52" s="9" t="s">
        <v>101</v>
      </c>
      <c r="B52" s="5">
        <v>6</v>
      </c>
      <c r="C52" s="5">
        <v>8</v>
      </c>
      <c r="D52" s="5">
        <v>6</v>
      </c>
      <c r="E52" s="5">
        <v>6</v>
      </c>
      <c r="F52" s="5">
        <v>3</v>
      </c>
      <c r="G52" s="5">
        <v>7</v>
      </c>
      <c r="H52" s="5">
        <v>4</v>
      </c>
      <c r="I52" s="5">
        <v>3</v>
      </c>
      <c r="J52" s="5">
        <v>2</v>
      </c>
      <c r="K52" s="5">
        <v>7</v>
      </c>
      <c r="L52" s="5">
        <v>4</v>
      </c>
      <c r="N52" s="146">
        <f>(C52/0.01)*10^($B$52)</f>
        <v>800000000</v>
      </c>
      <c r="O52" s="146">
        <f t="shared" ref="O52:W52" si="45">(D52/0.01)*10^($B$52)</f>
        <v>600000000</v>
      </c>
      <c r="P52" s="146">
        <f t="shared" si="45"/>
        <v>600000000</v>
      </c>
      <c r="Q52" s="146">
        <f t="shared" si="45"/>
        <v>300000000</v>
      </c>
      <c r="R52" s="146">
        <f t="shared" si="45"/>
        <v>700000000</v>
      </c>
      <c r="S52" s="146">
        <f t="shared" si="45"/>
        <v>400000000</v>
      </c>
      <c r="T52" s="146">
        <f t="shared" si="45"/>
        <v>300000000</v>
      </c>
      <c r="U52" s="146">
        <f t="shared" si="45"/>
        <v>200000000</v>
      </c>
      <c r="V52" s="146">
        <f t="shared" si="45"/>
        <v>700000000</v>
      </c>
      <c r="W52" s="146">
        <f t="shared" si="45"/>
        <v>400000000</v>
      </c>
      <c r="X52" s="146"/>
      <c r="Y52" s="154">
        <f t="shared" si="34"/>
        <v>500000000</v>
      </c>
      <c r="Z52" s="9" t="s">
        <v>101</v>
      </c>
      <c r="AA52" s="5">
        <v>5</v>
      </c>
      <c r="AB52" s="5">
        <v>30</v>
      </c>
      <c r="AC52" s="5">
        <v>41</v>
      </c>
      <c r="AD52" s="5">
        <v>28</v>
      </c>
      <c r="AE52" s="5">
        <v>39</v>
      </c>
      <c r="AF52" s="5">
        <v>34</v>
      </c>
      <c r="AG52" s="5">
        <v>33</v>
      </c>
      <c r="AH52" s="5">
        <v>30</v>
      </c>
      <c r="AI52" s="5">
        <v>30</v>
      </c>
      <c r="AJ52" s="5">
        <v>24</v>
      </c>
      <c r="AK52" s="5">
        <v>24</v>
      </c>
      <c r="AM52" s="146">
        <f>(AB52/0.01)*10^($AA$52)</f>
        <v>300000000</v>
      </c>
      <c r="AN52" s="146">
        <f t="shared" ref="AN52:AV52" si="46">(AC52/0.01)*10^($AA$52)</f>
        <v>410000000</v>
      </c>
      <c r="AO52" s="146">
        <f t="shared" si="46"/>
        <v>280000000</v>
      </c>
      <c r="AP52" s="146">
        <f t="shared" si="46"/>
        <v>390000000</v>
      </c>
      <c r="AQ52" s="146">
        <f t="shared" si="46"/>
        <v>340000000</v>
      </c>
      <c r="AR52" s="146">
        <f t="shared" si="46"/>
        <v>330000000</v>
      </c>
      <c r="AS52" s="146">
        <f t="shared" si="46"/>
        <v>300000000</v>
      </c>
      <c r="AT52" s="146">
        <f t="shared" si="46"/>
        <v>300000000</v>
      </c>
      <c r="AU52" s="146">
        <f t="shared" si="46"/>
        <v>240000000</v>
      </c>
      <c r="AV52" s="146">
        <f t="shared" si="46"/>
        <v>240000000</v>
      </c>
      <c r="AW52" s="146">
        <f t="shared" si="36"/>
        <v>313000000</v>
      </c>
      <c r="AX52" s="9" t="s">
        <v>101</v>
      </c>
    </row>
    <row r="53" spans="1:50" x14ac:dyDescent="0.25">
      <c r="A53" s="9" t="s">
        <v>102</v>
      </c>
      <c r="B53" s="5">
        <v>6</v>
      </c>
      <c r="C53" s="5">
        <v>7</v>
      </c>
      <c r="D53" s="5">
        <v>2</v>
      </c>
      <c r="E53" s="5">
        <v>4</v>
      </c>
      <c r="F53" s="5">
        <v>1</v>
      </c>
      <c r="G53" s="5">
        <v>2</v>
      </c>
      <c r="H53" s="5">
        <v>3</v>
      </c>
      <c r="I53" s="5">
        <v>3</v>
      </c>
      <c r="J53" s="5">
        <v>2</v>
      </c>
      <c r="K53" s="5">
        <v>9</v>
      </c>
      <c r="L53" s="5">
        <v>6</v>
      </c>
      <c r="N53" s="146">
        <f>(C53/0.01)*10^($B$53)</f>
        <v>700000000</v>
      </c>
      <c r="O53" s="146">
        <f t="shared" ref="O53:W53" si="47">(D53/0.01)*10^($B$53)</f>
        <v>200000000</v>
      </c>
      <c r="P53" s="146">
        <f t="shared" si="47"/>
        <v>400000000</v>
      </c>
      <c r="Q53" s="146">
        <f t="shared" si="47"/>
        <v>100000000</v>
      </c>
      <c r="R53" s="146">
        <f t="shared" si="47"/>
        <v>200000000</v>
      </c>
      <c r="S53" s="146">
        <f t="shared" si="47"/>
        <v>300000000</v>
      </c>
      <c r="T53" s="146">
        <f t="shared" si="47"/>
        <v>300000000</v>
      </c>
      <c r="U53" s="146">
        <f t="shared" si="47"/>
        <v>200000000</v>
      </c>
      <c r="V53" s="146">
        <f t="shared" si="47"/>
        <v>900000000</v>
      </c>
      <c r="W53" s="146">
        <f t="shared" si="47"/>
        <v>600000000</v>
      </c>
      <c r="X53" s="146"/>
      <c r="Y53" s="154">
        <f t="shared" si="34"/>
        <v>390000000</v>
      </c>
      <c r="Z53" s="9" t="s">
        <v>102</v>
      </c>
      <c r="AA53" s="5">
        <v>5</v>
      </c>
      <c r="AB53" s="5">
        <v>36</v>
      </c>
      <c r="AC53" s="5">
        <v>25</v>
      </c>
      <c r="AD53" s="5">
        <v>38</v>
      </c>
      <c r="AE53" s="5">
        <v>22</v>
      </c>
      <c r="AF53" s="5">
        <v>28</v>
      </c>
      <c r="AG53" s="5">
        <v>25</v>
      </c>
      <c r="AH53" s="5">
        <v>37</v>
      </c>
      <c r="AI53" s="5">
        <v>29</v>
      </c>
      <c r="AJ53" s="5">
        <v>33</v>
      </c>
      <c r="AK53" s="5">
        <v>28</v>
      </c>
      <c r="AM53" s="146">
        <f>(AB53/0.01)*10^($AA$53)</f>
        <v>360000000</v>
      </c>
      <c r="AN53" s="146">
        <f t="shared" ref="AN53:AV53" si="48">(AC53/0.01)*10^($AA$53)</f>
        <v>250000000</v>
      </c>
      <c r="AO53" s="146">
        <f t="shared" si="48"/>
        <v>380000000</v>
      </c>
      <c r="AP53" s="146">
        <f t="shared" si="48"/>
        <v>220000000</v>
      </c>
      <c r="AQ53" s="146">
        <f t="shared" si="48"/>
        <v>280000000</v>
      </c>
      <c r="AR53" s="146">
        <f t="shared" si="48"/>
        <v>250000000</v>
      </c>
      <c r="AS53" s="146">
        <f t="shared" si="48"/>
        <v>370000000</v>
      </c>
      <c r="AT53" s="146">
        <f t="shared" si="48"/>
        <v>290000000</v>
      </c>
      <c r="AU53" s="146">
        <f t="shared" si="48"/>
        <v>330000000</v>
      </c>
      <c r="AV53" s="146">
        <f t="shared" si="48"/>
        <v>280000000</v>
      </c>
      <c r="AW53" s="146">
        <f t="shared" si="36"/>
        <v>301000000</v>
      </c>
      <c r="AX53" s="9" t="s">
        <v>102</v>
      </c>
    </row>
    <row r="54" spans="1:50" x14ac:dyDescent="0.25">
      <c r="A54" s="9" t="s">
        <v>103</v>
      </c>
      <c r="B54" s="5">
        <v>6</v>
      </c>
      <c r="C54" s="5">
        <v>5</v>
      </c>
      <c r="D54" s="5">
        <v>2</v>
      </c>
      <c r="E54" s="5">
        <v>2</v>
      </c>
      <c r="F54" s="5">
        <v>2</v>
      </c>
      <c r="G54" s="5">
        <v>7</v>
      </c>
      <c r="H54" s="5">
        <v>4</v>
      </c>
      <c r="I54" s="5">
        <v>4</v>
      </c>
      <c r="J54" s="5">
        <v>4</v>
      </c>
      <c r="K54" s="5">
        <v>4</v>
      </c>
      <c r="L54" s="5">
        <v>4</v>
      </c>
      <c r="N54" s="146">
        <f>(C54/0.01)*10^($B$54)</f>
        <v>500000000</v>
      </c>
      <c r="O54" s="146">
        <f t="shared" ref="O54:W54" si="49">(D54/0.01)*10^($B$54)</f>
        <v>200000000</v>
      </c>
      <c r="P54" s="146">
        <f t="shared" si="49"/>
        <v>200000000</v>
      </c>
      <c r="Q54" s="146">
        <f t="shared" si="49"/>
        <v>200000000</v>
      </c>
      <c r="R54" s="146">
        <f t="shared" si="49"/>
        <v>700000000</v>
      </c>
      <c r="S54" s="146">
        <f t="shared" si="49"/>
        <v>400000000</v>
      </c>
      <c r="T54" s="146">
        <f t="shared" si="49"/>
        <v>400000000</v>
      </c>
      <c r="U54" s="146">
        <f t="shared" si="49"/>
        <v>400000000</v>
      </c>
      <c r="V54" s="146">
        <f t="shared" si="49"/>
        <v>400000000</v>
      </c>
      <c r="W54" s="146">
        <f t="shared" si="49"/>
        <v>400000000</v>
      </c>
      <c r="X54" s="146"/>
      <c r="Y54" s="154">
        <f t="shared" si="34"/>
        <v>380000000</v>
      </c>
      <c r="Z54" s="9" t="s">
        <v>103</v>
      </c>
      <c r="AA54" s="5">
        <v>5</v>
      </c>
      <c r="AB54" s="5">
        <v>34</v>
      </c>
      <c r="AC54" s="5">
        <v>26</v>
      </c>
      <c r="AD54" s="5">
        <v>25</v>
      </c>
      <c r="AE54" s="5">
        <v>26</v>
      </c>
      <c r="AF54" s="5">
        <v>34</v>
      </c>
      <c r="AG54" s="5">
        <v>25</v>
      </c>
      <c r="AH54" s="5">
        <v>24</v>
      </c>
      <c r="AI54" s="5">
        <v>33</v>
      </c>
      <c r="AJ54" s="5">
        <v>26</v>
      </c>
      <c r="AK54" s="5">
        <v>20</v>
      </c>
      <c r="AM54" s="146">
        <f>(AB54/0.01)*10^($AA$54)</f>
        <v>340000000</v>
      </c>
      <c r="AN54" s="146">
        <f t="shared" ref="AN54:AV54" si="50">(AC54/0.01)*10^($AA$54)</f>
        <v>260000000</v>
      </c>
      <c r="AO54" s="146">
        <f t="shared" si="50"/>
        <v>250000000</v>
      </c>
      <c r="AP54" s="146">
        <f t="shared" si="50"/>
        <v>260000000</v>
      </c>
      <c r="AQ54" s="146">
        <f t="shared" si="50"/>
        <v>340000000</v>
      </c>
      <c r="AR54" s="146">
        <f t="shared" si="50"/>
        <v>250000000</v>
      </c>
      <c r="AS54" s="146">
        <f t="shared" si="50"/>
        <v>240000000</v>
      </c>
      <c r="AT54" s="146">
        <f t="shared" si="50"/>
        <v>330000000</v>
      </c>
      <c r="AU54" s="146">
        <f t="shared" si="50"/>
        <v>260000000</v>
      </c>
      <c r="AV54" s="146">
        <f t="shared" si="50"/>
        <v>200000000</v>
      </c>
      <c r="AW54" s="146">
        <f t="shared" si="36"/>
        <v>273000000</v>
      </c>
      <c r="AX54" s="9" t="s">
        <v>103</v>
      </c>
    </row>
    <row r="55" spans="1:50" x14ac:dyDescent="0.25">
      <c r="A55" s="9" t="s">
        <v>104</v>
      </c>
      <c r="B55" s="5">
        <v>6</v>
      </c>
      <c r="C55" s="5">
        <v>7</v>
      </c>
      <c r="D55" s="5">
        <v>3</v>
      </c>
      <c r="E55" s="5">
        <v>7</v>
      </c>
      <c r="F55" s="5">
        <v>8</v>
      </c>
      <c r="G55" s="5">
        <v>7</v>
      </c>
      <c r="H55" s="5">
        <v>6</v>
      </c>
      <c r="I55" s="5">
        <v>2</v>
      </c>
      <c r="J55" s="5">
        <v>3</v>
      </c>
      <c r="K55" s="5">
        <v>3</v>
      </c>
      <c r="L55" s="5">
        <v>8</v>
      </c>
      <c r="N55" s="146">
        <f>(C55/0.01)*10^($B$55)</f>
        <v>700000000</v>
      </c>
      <c r="O55" s="146">
        <f t="shared" ref="O55:W55" si="51">(D55/0.01)*10^($B$55)</f>
        <v>300000000</v>
      </c>
      <c r="P55" s="146">
        <f t="shared" si="51"/>
        <v>700000000</v>
      </c>
      <c r="Q55" s="146">
        <f t="shared" si="51"/>
        <v>800000000</v>
      </c>
      <c r="R55" s="146">
        <f t="shared" si="51"/>
        <v>700000000</v>
      </c>
      <c r="S55" s="146">
        <f t="shared" si="51"/>
        <v>600000000</v>
      </c>
      <c r="T55" s="146">
        <f t="shared" si="51"/>
        <v>200000000</v>
      </c>
      <c r="U55" s="146">
        <f t="shared" si="51"/>
        <v>300000000</v>
      </c>
      <c r="V55" s="146">
        <f t="shared" si="51"/>
        <v>300000000</v>
      </c>
      <c r="W55" s="146">
        <f t="shared" si="51"/>
        <v>800000000</v>
      </c>
      <c r="X55" s="146"/>
      <c r="Y55" s="154">
        <f t="shared" si="34"/>
        <v>540000000</v>
      </c>
      <c r="Z55" s="9" t="s">
        <v>104</v>
      </c>
      <c r="AA55" s="5">
        <v>5</v>
      </c>
      <c r="AB55" s="5">
        <v>32</v>
      </c>
      <c r="AC55" s="5">
        <v>32</v>
      </c>
      <c r="AD55" s="5">
        <v>38</v>
      </c>
      <c r="AE55" s="5">
        <v>37</v>
      </c>
      <c r="AF55" s="5">
        <v>39</v>
      </c>
      <c r="AG55" s="5">
        <v>35</v>
      </c>
      <c r="AH55" s="5">
        <v>34</v>
      </c>
      <c r="AI55" s="5">
        <v>39</v>
      </c>
      <c r="AJ55" s="5">
        <v>25</v>
      </c>
      <c r="AK55" s="5">
        <v>30</v>
      </c>
      <c r="AM55" s="146">
        <f>(AB55/0.01)*10^($AA$55)</f>
        <v>320000000</v>
      </c>
      <c r="AN55" s="146">
        <f t="shared" ref="AN55:AV55" si="52">(AC55/0.01)*10^($AA$55)</f>
        <v>320000000</v>
      </c>
      <c r="AO55" s="146">
        <f t="shared" si="52"/>
        <v>380000000</v>
      </c>
      <c r="AP55" s="146">
        <f t="shared" si="52"/>
        <v>370000000</v>
      </c>
      <c r="AQ55" s="146">
        <f t="shared" si="52"/>
        <v>390000000</v>
      </c>
      <c r="AR55" s="146">
        <f t="shared" si="52"/>
        <v>350000000</v>
      </c>
      <c r="AS55" s="146">
        <f t="shared" si="52"/>
        <v>340000000</v>
      </c>
      <c r="AT55" s="146">
        <f t="shared" si="52"/>
        <v>390000000</v>
      </c>
      <c r="AU55" s="146">
        <f t="shared" si="52"/>
        <v>250000000</v>
      </c>
      <c r="AV55" s="146">
        <f t="shared" si="52"/>
        <v>300000000</v>
      </c>
      <c r="AW55" s="146">
        <f t="shared" si="36"/>
        <v>341000000</v>
      </c>
      <c r="AX55" s="9" t="s">
        <v>104</v>
      </c>
    </row>
    <row r="56" spans="1:50" x14ac:dyDescent="0.25">
      <c r="A56" s="9" t="s">
        <v>105</v>
      </c>
      <c r="B56" s="5">
        <v>6</v>
      </c>
      <c r="C56" s="5">
        <v>2</v>
      </c>
      <c r="D56" s="5">
        <v>8</v>
      </c>
      <c r="E56" s="5">
        <v>4</v>
      </c>
      <c r="F56" s="5">
        <v>2</v>
      </c>
      <c r="G56" s="5">
        <v>2</v>
      </c>
      <c r="H56" s="5">
        <v>3</v>
      </c>
      <c r="I56" s="5">
        <v>2</v>
      </c>
      <c r="J56" s="5">
        <v>5</v>
      </c>
      <c r="K56" s="5">
        <v>4</v>
      </c>
      <c r="L56" s="5">
        <v>5</v>
      </c>
      <c r="N56" s="146">
        <f>(C56/0.01)*10^($B$56)</f>
        <v>200000000</v>
      </c>
      <c r="O56" s="146">
        <f t="shared" ref="O56:W56" si="53">(D56/0.01)*10^($B$56)</f>
        <v>800000000</v>
      </c>
      <c r="P56" s="146">
        <f t="shared" si="53"/>
        <v>400000000</v>
      </c>
      <c r="Q56" s="146">
        <f t="shared" si="53"/>
        <v>200000000</v>
      </c>
      <c r="R56" s="146">
        <f t="shared" si="53"/>
        <v>200000000</v>
      </c>
      <c r="S56" s="146">
        <f t="shared" si="53"/>
        <v>300000000</v>
      </c>
      <c r="T56" s="146">
        <f t="shared" si="53"/>
        <v>200000000</v>
      </c>
      <c r="U56" s="146">
        <f t="shared" si="53"/>
        <v>500000000</v>
      </c>
      <c r="V56" s="146">
        <f t="shared" si="53"/>
        <v>400000000</v>
      </c>
      <c r="W56" s="146">
        <f t="shared" si="53"/>
        <v>500000000</v>
      </c>
      <c r="X56" s="146"/>
      <c r="Y56" s="154">
        <f t="shared" si="34"/>
        <v>370000000</v>
      </c>
      <c r="Z56" s="9" t="s">
        <v>105</v>
      </c>
      <c r="AA56" s="5">
        <v>5</v>
      </c>
      <c r="AB56" s="5">
        <v>36</v>
      </c>
      <c r="AC56" s="5">
        <v>23</v>
      </c>
      <c r="AD56" s="5">
        <v>24</v>
      </c>
      <c r="AE56" s="5">
        <v>27</v>
      </c>
      <c r="AF56" s="5">
        <v>31</v>
      </c>
      <c r="AG56" s="5">
        <v>24</v>
      </c>
      <c r="AH56" s="5">
        <v>25</v>
      </c>
      <c r="AI56" s="5">
        <v>31</v>
      </c>
      <c r="AJ56" s="5">
        <v>29</v>
      </c>
      <c r="AK56" s="5">
        <v>23</v>
      </c>
      <c r="AM56" s="146">
        <f>(AB56/0.01)*10^($AA$56)</f>
        <v>360000000</v>
      </c>
      <c r="AN56" s="146">
        <f t="shared" ref="AN56:AV56" si="54">(AC56/0.01)*10^($AA$56)</f>
        <v>230000000</v>
      </c>
      <c r="AO56" s="146">
        <f t="shared" si="54"/>
        <v>240000000</v>
      </c>
      <c r="AP56" s="146">
        <f t="shared" si="54"/>
        <v>270000000</v>
      </c>
      <c r="AQ56" s="146">
        <f t="shared" si="54"/>
        <v>310000000</v>
      </c>
      <c r="AR56" s="146">
        <f t="shared" si="54"/>
        <v>240000000</v>
      </c>
      <c r="AS56" s="146">
        <f t="shared" si="54"/>
        <v>250000000</v>
      </c>
      <c r="AT56" s="146">
        <f t="shared" si="54"/>
        <v>310000000</v>
      </c>
      <c r="AU56" s="146">
        <f t="shared" si="54"/>
        <v>290000000</v>
      </c>
      <c r="AV56" s="146">
        <f t="shared" si="54"/>
        <v>230000000</v>
      </c>
      <c r="AW56" s="146">
        <f t="shared" si="36"/>
        <v>273000000</v>
      </c>
      <c r="AX56" s="9" t="s">
        <v>105</v>
      </c>
    </row>
    <row r="57" spans="1:50" x14ac:dyDescent="0.25">
      <c r="A57" s="9" t="s">
        <v>106</v>
      </c>
      <c r="B57" s="5">
        <v>6</v>
      </c>
      <c r="C57" s="5">
        <v>6</v>
      </c>
      <c r="D57" s="5">
        <v>4</v>
      </c>
      <c r="E57" s="5">
        <v>1</v>
      </c>
      <c r="F57" s="5">
        <v>3</v>
      </c>
      <c r="G57" s="5">
        <v>5</v>
      </c>
      <c r="H57" s="5">
        <v>7</v>
      </c>
      <c r="I57" s="5">
        <v>7</v>
      </c>
      <c r="J57" s="5">
        <v>4</v>
      </c>
      <c r="K57" s="5">
        <v>1</v>
      </c>
      <c r="L57" s="5">
        <v>2</v>
      </c>
      <c r="N57" s="146">
        <f>(C57/0.01)*10^($B$57)</f>
        <v>600000000</v>
      </c>
      <c r="O57" s="146">
        <f t="shared" ref="O57:W57" si="55">(D57/0.01)*10^($B$57)</f>
        <v>400000000</v>
      </c>
      <c r="P57" s="146">
        <f t="shared" si="55"/>
        <v>100000000</v>
      </c>
      <c r="Q57" s="146">
        <f t="shared" si="55"/>
        <v>300000000</v>
      </c>
      <c r="R57" s="146">
        <f t="shared" si="55"/>
        <v>500000000</v>
      </c>
      <c r="S57" s="146">
        <f t="shared" si="55"/>
        <v>700000000</v>
      </c>
      <c r="T57" s="146">
        <f t="shared" si="55"/>
        <v>700000000</v>
      </c>
      <c r="U57" s="146">
        <f t="shared" si="55"/>
        <v>400000000</v>
      </c>
      <c r="V57" s="146">
        <f t="shared" si="55"/>
        <v>100000000</v>
      </c>
      <c r="W57" s="146">
        <f t="shared" si="55"/>
        <v>200000000</v>
      </c>
      <c r="X57" s="146"/>
      <c r="Y57" s="154">
        <f t="shared" si="34"/>
        <v>400000000</v>
      </c>
      <c r="Z57" s="9" t="s">
        <v>106</v>
      </c>
      <c r="AA57" s="5">
        <v>5</v>
      </c>
      <c r="AB57" s="5">
        <v>32</v>
      </c>
      <c r="AC57" s="5">
        <v>25</v>
      </c>
      <c r="AD57" s="5">
        <v>28</v>
      </c>
      <c r="AE57" s="5">
        <v>32</v>
      </c>
      <c r="AF57" s="5">
        <v>28</v>
      </c>
      <c r="AG57" s="5">
        <v>27</v>
      </c>
      <c r="AH57" s="5">
        <v>35</v>
      </c>
      <c r="AI57" s="5">
        <v>26</v>
      </c>
      <c r="AJ57" s="5">
        <v>24</v>
      </c>
      <c r="AK57" s="5">
        <v>28</v>
      </c>
      <c r="AM57" s="146">
        <f>(AB57/0.01)*10^($AA$57)</f>
        <v>320000000</v>
      </c>
      <c r="AN57" s="146">
        <f t="shared" ref="AN57:AV57" si="56">(AC57/0.01)*10^($AA$57)</f>
        <v>250000000</v>
      </c>
      <c r="AO57" s="146">
        <f t="shared" si="56"/>
        <v>280000000</v>
      </c>
      <c r="AP57" s="146">
        <f t="shared" si="56"/>
        <v>320000000</v>
      </c>
      <c r="AQ57" s="146">
        <f t="shared" si="56"/>
        <v>280000000</v>
      </c>
      <c r="AR57" s="146">
        <f t="shared" si="56"/>
        <v>270000000</v>
      </c>
      <c r="AS57" s="146">
        <f t="shared" si="56"/>
        <v>350000000</v>
      </c>
      <c r="AT57" s="146">
        <f t="shared" si="56"/>
        <v>260000000</v>
      </c>
      <c r="AU57" s="146">
        <f t="shared" si="56"/>
        <v>240000000</v>
      </c>
      <c r="AV57" s="146">
        <f t="shared" si="56"/>
        <v>280000000</v>
      </c>
      <c r="AW57" s="146">
        <f t="shared" si="36"/>
        <v>285000000</v>
      </c>
      <c r="AX57" s="9" t="s">
        <v>106</v>
      </c>
    </row>
    <row r="58" spans="1:50" x14ac:dyDescent="0.25">
      <c r="A58" s="9" t="s">
        <v>107</v>
      </c>
      <c r="B58" s="5">
        <v>6</v>
      </c>
      <c r="C58" s="5">
        <v>5</v>
      </c>
      <c r="D58" s="5">
        <v>2</v>
      </c>
      <c r="E58" s="5">
        <v>3</v>
      </c>
      <c r="F58" s="5">
        <v>4</v>
      </c>
      <c r="G58" s="5">
        <v>3</v>
      </c>
      <c r="H58" s="5">
        <v>3</v>
      </c>
      <c r="I58" s="5">
        <v>9</v>
      </c>
      <c r="J58" s="5">
        <v>5</v>
      </c>
      <c r="K58" s="5">
        <v>2</v>
      </c>
      <c r="L58" s="5">
        <v>6</v>
      </c>
      <c r="N58" s="146">
        <f>(C58/0.01)*10^($B$58)</f>
        <v>500000000</v>
      </c>
      <c r="O58" s="146">
        <f t="shared" ref="O58:W58" si="57">(D58/0.01)*10^($B$58)</f>
        <v>200000000</v>
      </c>
      <c r="P58" s="146">
        <f t="shared" si="57"/>
        <v>300000000</v>
      </c>
      <c r="Q58" s="146">
        <f t="shared" si="57"/>
        <v>400000000</v>
      </c>
      <c r="R58" s="146">
        <f t="shared" si="57"/>
        <v>300000000</v>
      </c>
      <c r="S58" s="146">
        <f t="shared" si="57"/>
        <v>300000000</v>
      </c>
      <c r="T58" s="146">
        <f t="shared" si="57"/>
        <v>900000000</v>
      </c>
      <c r="U58" s="146">
        <f t="shared" si="57"/>
        <v>500000000</v>
      </c>
      <c r="V58" s="146">
        <f t="shared" si="57"/>
        <v>200000000</v>
      </c>
      <c r="W58" s="146">
        <f t="shared" si="57"/>
        <v>600000000</v>
      </c>
      <c r="X58" s="146"/>
      <c r="Y58" s="146">
        <f t="shared" si="34"/>
        <v>420000000</v>
      </c>
      <c r="Z58" s="9" t="s">
        <v>107</v>
      </c>
      <c r="AA58" s="5">
        <v>5</v>
      </c>
      <c r="AB58" s="5">
        <v>28</v>
      </c>
      <c r="AC58" s="5">
        <v>28</v>
      </c>
      <c r="AD58" s="5">
        <v>42</v>
      </c>
      <c r="AE58" s="5">
        <v>34</v>
      </c>
      <c r="AF58" s="5">
        <v>31</v>
      </c>
      <c r="AG58" s="5">
        <v>36</v>
      </c>
      <c r="AH58" s="5">
        <v>35</v>
      </c>
      <c r="AI58" s="5">
        <v>32</v>
      </c>
      <c r="AJ58" s="5">
        <v>23</v>
      </c>
      <c r="AK58" s="5">
        <v>31</v>
      </c>
      <c r="AM58" s="146">
        <f>(AB58/0.01)*10^($AA$58)</f>
        <v>280000000</v>
      </c>
      <c r="AN58" s="146">
        <f t="shared" ref="AN58:AV58" si="58">(AC58/0.01)*10^($AA$58)</f>
        <v>280000000</v>
      </c>
      <c r="AO58" s="146">
        <f t="shared" si="58"/>
        <v>420000000</v>
      </c>
      <c r="AP58" s="146">
        <f t="shared" si="58"/>
        <v>340000000</v>
      </c>
      <c r="AQ58" s="146">
        <f t="shared" si="58"/>
        <v>310000000</v>
      </c>
      <c r="AR58" s="146">
        <f t="shared" si="58"/>
        <v>360000000</v>
      </c>
      <c r="AS58" s="146">
        <f t="shared" si="58"/>
        <v>350000000</v>
      </c>
      <c r="AT58" s="146">
        <f t="shared" si="58"/>
        <v>320000000</v>
      </c>
      <c r="AU58" s="146">
        <f t="shared" si="58"/>
        <v>230000000</v>
      </c>
      <c r="AV58" s="146">
        <f t="shared" si="58"/>
        <v>310000000</v>
      </c>
      <c r="AW58" s="154">
        <f t="shared" si="36"/>
        <v>320000000</v>
      </c>
      <c r="AX58" s="9" t="s">
        <v>107</v>
      </c>
    </row>
    <row r="59" spans="1:50" x14ac:dyDescent="0.25">
      <c r="A59" s="9" t="s">
        <v>108</v>
      </c>
      <c r="B59" s="5">
        <v>6</v>
      </c>
      <c r="C59" s="5">
        <v>2</v>
      </c>
      <c r="D59" s="5">
        <v>1</v>
      </c>
      <c r="E59" s="5">
        <v>2</v>
      </c>
      <c r="F59" s="5">
        <v>3</v>
      </c>
      <c r="G59" s="5">
        <v>2</v>
      </c>
      <c r="H59" s="5">
        <v>3</v>
      </c>
      <c r="I59" s="5">
        <v>7</v>
      </c>
      <c r="J59" s="5">
        <v>0</v>
      </c>
      <c r="K59" s="5">
        <v>2</v>
      </c>
      <c r="L59" s="5">
        <v>1</v>
      </c>
      <c r="N59" s="146">
        <f>(C59/0.01)*10^($B$59)</f>
        <v>200000000</v>
      </c>
      <c r="O59" s="146">
        <f t="shared" ref="O59:W59" si="59">(D59/0.01)*10^($B$59)</f>
        <v>100000000</v>
      </c>
      <c r="P59" s="146">
        <f t="shared" si="59"/>
        <v>200000000</v>
      </c>
      <c r="Q59" s="146">
        <f t="shared" si="59"/>
        <v>300000000</v>
      </c>
      <c r="R59" s="146">
        <f t="shared" si="59"/>
        <v>200000000</v>
      </c>
      <c r="S59" s="146">
        <f t="shared" si="59"/>
        <v>300000000</v>
      </c>
      <c r="T59" s="146">
        <f t="shared" si="59"/>
        <v>700000000</v>
      </c>
      <c r="U59" s="146">
        <f t="shared" si="59"/>
        <v>0</v>
      </c>
      <c r="V59" s="146">
        <f t="shared" si="59"/>
        <v>200000000</v>
      </c>
      <c r="W59" s="146">
        <f t="shared" si="59"/>
        <v>100000000</v>
      </c>
      <c r="X59" s="146"/>
      <c r="Y59" s="146">
        <f t="shared" si="34"/>
        <v>230000000</v>
      </c>
      <c r="Z59" s="9" t="s">
        <v>108</v>
      </c>
      <c r="AA59" s="5">
        <v>5</v>
      </c>
      <c r="AB59" s="5">
        <v>30</v>
      </c>
      <c r="AC59" s="5">
        <v>26</v>
      </c>
      <c r="AD59" s="5">
        <v>33</v>
      </c>
      <c r="AE59" s="5">
        <v>17</v>
      </c>
      <c r="AF59" s="5">
        <v>22</v>
      </c>
      <c r="AG59" s="5">
        <v>30</v>
      </c>
      <c r="AH59" s="5">
        <v>25</v>
      </c>
      <c r="AI59" s="5">
        <v>27</v>
      </c>
      <c r="AJ59" s="5">
        <v>17</v>
      </c>
      <c r="AK59" s="5">
        <v>18</v>
      </c>
      <c r="AM59" s="146">
        <f>(AB59/0.01)*10^($AA$59)</f>
        <v>300000000</v>
      </c>
      <c r="AN59" s="146">
        <f t="shared" ref="AN59:AV59" si="60">(AC59/0.01)*10^($AA$59)</f>
        <v>260000000</v>
      </c>
      <c r="AO59" s="146">
        <f t="shared" si="60"/>
        <v>330000000</v>
      </c>
      <c r="AP59" s="146">
        <f t="shared" si="60"/>
        <v>170000000</v>
      </c>
      <c r="AQ59" s="146">
        <f t="shared" si="60"/>
        <v>220000000</v>
      </c>
      <c r="AR59" s="146">
        <f t="shared" si="60"/>
        <v>300000000</v>
      </c>
      <c r="AS59" s="146">
        <f t="shared" si="60"/>
        <v>250000000</v>
      </c>
      <c r="AT59" s="146">
        <f t="shared" si="60"/>
        <v>270000000</v>
      </c>
      <c r="AU59" s="146">
        <f t="shared" si="60"/>
        <v>170000000</v>
      </c>
      <c r="AV59" s="146">
        <f t="shared" si="60"/>
        <v>180000000</v>
      </c>
      <c r="AW59" s="154">
        <f t="shared" si="36"/>
        <v>245000000</v>
      </c>
      <c r="AX59" s="9" t="s">
        <v>108</v>
      </c>
    </row>
    <row r="60" spans="1:50" x14ac:dyDescent="0.25">
      <c r="A60" s="9" t="s">
        <v>109</v>
      </c>
      <c r="B60" s="5">
        <v>6</v>
      </c>
      <c r="C60" s="5">
        <v>2</v>
      </c>
      <c r="D60" s="5">
        <v>2</v>
      </c>
      <c r="E60" s="5">
        <v>2</v>
      </c>
      <c r="F60" s="5">
        <v>6</v>
      </c>
      <c r="G60" s="5">
        <v>0</v>
      </c>
      <c r="H60" s="5">
        <v>3</v>
      </c>
      <c r="I60" s="5">
        <v>3</v>
      </c>
      <c r="J60" s="5">
        <v>7</v>
      </c>
      <c r="K60" s="5">
        <v>1</v>
      </c>
      <c r="L60" s="5">
        <v>2</v>
      </c>
      <c r="N60" s="146">
        <f>(C60/0.01)*10^($B$60)</f>
        <v>200000000</v>
      </c>
      <c r="O60" s="146">
        <f t="shared" ref="O60:W60" si="61">(D60/0.01)*10^($B$60)</f>
        <v>200000000</v>
      </c>
      <c r="P60" s="146">
        <f t="shared" si="61"/>
        <v>200000000</v>
      </c>
      <c r="Q60" s="146">
        <f t="shared" si="61"/>
        <v>600000000</v>
      </c>
      <c r="R60" s="146">
        <f t="shared" si="61"/>
        <v>0</v>
      </c>
      <c r="S60" s="146">
        <f t="shared" si="61"/>
        <v>300000000</v>
      </c>
      <c r="T60" s="146">
        <f t="shared" si="61"/>
        <v>300000000</v>
      </c>
      <c r="U60" s="146">
        <f t="shared" si="61"/>
        <v>700000000</v>
      </c>
      <c r="V60" s="146">
        <f t="shared" si="61"/>
        <v>100000000</v>
      </c>
      <c r="W60" s="146">
        <f t="shared" si="61"/>
        <v>200000000</v>
      </c>
      <c r="X60" s="146"/>
      <c r="Y60" s="146">
        <f t="shared" si="34"/>
        <v>280000000</v>
      </c>
      <c r="Z60" s="9" t="s">
        <v>109</v>
      </c>
      <c r="AA60" s="5">
        <v>5</v>
      </c>
      <c r="AB60" s="5">
        <v>20</v>
      </c>
      <c r="AC60" s="5">
        <v>26</v>
      </c>
      <c r="AD60" s="5">
        <v>27</v>
      </c>
      <c r="AE60" s="5">
        <v>17</v>
      </c>
      <c r="AF60" s="5">
        <v>27</v>
      </c>
      <c r="AG60" s="5">
        <v>26</v>
      </c>
      <c r="AH60" s="5">
        <v>31</v>
      </c>
      <c r="AI60" s="5">
        <v>15</v>
      </c>
      <c r="AJ60" s="5">
        <v>26</v>
      </c>
      <c r="AK60" s="5">
        <v>33</v>
      </c>
      <c r="AM60" s="146">
        <f>(AB60/0.01)*10^($AA$60)</f>
        <v>200000000</v>
      </c>
      <c r="AN60" s="146">
        <f t="shared" ref="AN60:AV60" si="62">(AC60/0.01)*10^($AA$60)</f>
        <v>260000000</v>
      </c>
      <c r="AO60" s="146">
        <f t="shared" si="62"/>
        <v>270000000</v>
      </c>
      <c r="AP60" s="146">
        <f t="shared" si="62"/>
        <v>170000000</v>
      </c>
      <c r="AQ60" s="146">
        <f t="shared" si="62"/>
        <v>270000000</v>
      </c>
      <c r="AR60" s="146">
        <f t="shared" si="62"/>
        <v>260000000</v>
      </c>
      <c r="AS60" s="146">
        <f t="shared" si="62"/>
        <v>310000000</v>
      </c>
      <c r="AT60" s="146">
        <f t="shared" si="62"/>
        <v>150000000</v>
      </c>
      <c r="AU60" s="146">
        <f t="shared" si="62"/>
        <v>260000000</v>
      </c>
      <c r="AV60" s="146">
        <f t="shared" si="62"/>
        <v>330000000</v>
      </c>
      <c r="AW60" s="154">
        <f t="shared" si="36"/>
        <v>248000000</v>
      </c>
      <c r="AX60" s="9" t="s">
        <v>109</v>
      </c>
    </row>
    <row r="62" spans="1:50" x14ac:dyDescent="0.25">
      <c r="A62" s="145" t="s">
        <v>113</v>
      </c>
    </row>
    <row r="63" spans="1:50" x14ac:dyDescent="0.25">
      <c r="B63" s="73" t="s">
        <v>90</v>
      </c>
      <c r="C63" s="73">
        <v>1</v>
      </c>
      <c r="D63" s="73">
        <v>2</v>
      </c>
      <c r="E63" s="73">
        <v>3</v>
      </c>
      <c r="F63" s="73">
        <v>4</v>
      </c>
      <c r="G63" s="73">
        <v>5</v>
      </c>
      <c r="H63" s="73">
        <v>6</v>
      </c>
      <c r="I63" s="73">
        <v>7</v>
      </c>
      <c r="J63" s="73">
        <v>8</v>
      </c>
      <c r="K63" s="73">
        <v>9</v>
      </c>
      <c r="L63" s="73">
        <v>10</v>
      </c>
      <c r="M63" s="73"/>
      <c r="N63" s="73">
        <v>1</v>
      </c>
      <c r="O63" s="73">
        <v>2</v>
      </c>
      <c r="P63" s="73">
        <v>3</v>
      </c>
      <c r="Q63" s="73">
        <v>4</v>
      </c>
      <c r="R63" s="73">
        <v>5</v>
      </c>
      <c r="S63" s="73">
        <v>6</v>
      </c>
      <c r="T63" s="73">
        <v>7</v>
      </c>
      <c r="U63" s="73">
        <v>8</v>
      </c>
      <c r="V63" s="73">
        <v>9</v>
      </c>
      <c r="W63" s="73">
        <v>10</v>
      </c>
      <c r="X63" s="73"/>
      <c r="Y63" s="73" t="s">
        <v>91</v>
      </c>
      <c r="Z63" s="73"/>
      <c r="AA63" s="73" t="s">
        <v>90</v>
      </c>
      <c r="AB63" s="73">
        <v>1</v>
      </c>
      <c r="AC63" s="73">
        <v>2</v>
      </c>
      <c r="AD63" s="73">
        <v>3</v>
      </c>
      <c r="AE63" s="73">
        <v>4</v>
      </c>
      <c r="AF63" s="73">
        <v>5</v>
      </c>
      <c r="AG63" s="73">
        <v>6</v>
      </c>
      <c r="AH63" s="73">
        <v>7</v>
      </c>
      <c r="AI63" s="73">
        <v>8</v>
      </c>
      <c r="AJ63" s="73">
        <v>9</v>
      </c>
      <c r="AK63" s="73">
        <v>10</v>
      </c>
      <c r="AL63" s="73"/>
      <c r="AM63" s="73">
        <v>1</v>
      </c>
      <c r="AN63" s="73">
        <v>2</v>
      </c>
      <c r="AO63" s="73">
        <v>3</v>
      </c>
      <c r="AP63" s="73">
        <v>4</v>
      </c>
      <c r="AQ63" s="73">
        <v>5</v>
      </c>
      <c r="AR63" s="73">
        <v>6</v>
      </c>
      <c r="AS63" s="73">
        <v>7</v>
      </c>
      <c r="AT63" s="73">
        <v>8</v>
      </c>
      <c r="AU63" s="73">
        <v>9</v>
      </c>
      <c r="AV63" s="73">
        <v>10</v>
      </c>
      <c r="AW63" s="73" t="s">
        <v>91</v>
      </c>
    </row>
    <row r="64" spans="1:50" x14ac:dyDescent="0.25">
      <c r="A64" s="9" t="s">
        <v>92</v>
      </c>
      <c r="B64" s="5">
        <v>5</v>
      </c>
      <c r="C64" s="5">
        <v>4</v>
      </c>
      <c r="D64" s="5">
        <v>5</v>
      </c>
      <c r="E64" s="5">
        <v>4</v>
      </c>
      <c r="F64" s="5">
        <v>2</v>
      </c>
      <c r="G64" s="5">
        <v>4</v>
      </c>
      <c r="H64" s="5">
        <v>3</v>
      </c>
      <c r="I64" s="5">
        <v>1</v>
      </c>
      <c r="J64" s="5">
        <v>3</v>
      </c>
      <c r="K64" s="5">
        <v>4</v>
      </c>
      <c r="L64" s="5">
        <v>6</v>
      </c>
      <c r="N64" s="146">
        <f>(C64/0.01)*10^($B$64)</f>
        <v>40000000</v>
      </c>
      <c r="O64" s="146">
        <f t="shared" ref="O64:W64" si="63">(D64/0.01)*10^($B$64)</f>
        <v>50000000</v>
      </c>
      <c r="P64" s="146">
        <f t="shared" si="63"/>
        <v>40000000</v>
      </c>
      <c r="Q64" s="146">
        <f t="shared" si="63"/>
        <v>20000000</v>
      </c>
      <c r="R64" s="146">
        <f t="shared" si="63"/>
        <v>40000000</v>
      </c>
      <c r="S64" s="146">
        <f t="shared" si="63"/>
        <v>30000000</v>
      </c>
      <c r="T64" s="146">
        <f t="shared" si="63"/>
        <v>10000000</v>
      </c>
      <c r="U64" s="146">
        <f t="shared" si="63"/>
        <v>30000000</v>
      </c>
      <c r="V64" s="146">
        <f t="shared" si="63"/>
        <v>40000000</v>
      </c>
      <c r="W64" s="146">
        <f t="shared" si="63"/>
        <v>60000000</v>
      </c>
      <c r="X64" s="146"/>
      <c r="Y64" s="154">
        <f>AVERAGE(N64:W64)</f>
        <v>36000000</v>
      </c>
      <c r="Z64" s="9" t="s">
        <v>92</v>
      </c>
      <c r="AA64" s="5">
        <v>4</v>
      </c>
      <c r="AB64" s="5">
        <v>26</v>
      </c>
      <c r="AC64" s="5">
        <v>29</v>
      </c>
      <c r="AD64" s="5">
        <v>42</v>
      </c>
      <c r="AE64" s="5">
        <v>41</v>
      </c>
      <c r="AF64" s="5">
        <v>29</v>
      </c>
      <c r="AG64" s="5">
        <v>34</v>
      </c>
      <c r="AH64" s="5">
        <v>50</v>
      </c>
      <c r="AI64" s="5">
        <v>27</v>
      </c>
      <c r="AJ64" s="5">
        <v>33</v>
      </c>
      <c r="AK64" s="5">
        <v>29</v>
      </c>
      <c r="AM64" s="146">
        <f>(AB64/0.01)*10^($AA$64)</f>
        <v>26000000</v>
      </c>
      <c r="AN64" s="146">
        <f t="shared" ref="AN64:AV64" si="64">(AC64/0.01)*10^($AA$64)</f>
        <v>29000000</v>
      </c>
      <c r="AO64" s="146">
        <f t="shared" si="64"/>
        <v>42000000</v>
      </c>
      <c r="AP64" s="146">
        <f t="shared" si="64"/>
        <v>41000000</v>
      </c>
      <c r="AQ64" s="146">
        <f t="shared" si="64"/>
        <v>29000000</v>
      </c>
      <c r="AR64" s="146">
        <f t="shared" si="64"/>
        <v>34000000</v>
      </c>
      <c r="AS64" s="146">
        <f t="shared" si="64"/>
        <v>50000000</v>
      </c>
      <c r="AT64" s="146">
        <f t="shared" si="64"/>
        <v>27000000</v>
      </c>
      <c r="AU64" s="146">
        <f t="shared" si="64"/>
        <v>33000000</v>
      </c>
      <c r="AV64" s="146">
        <f t="shared" si="64"/>
        <v>29000000</v>
      </c>
      <c r="AW64" s="146">
        <f>AVERAGE(AM64:AV64)</f>
        <v>34000000</v>
      </c>
      <c r="AX64" s="9" t="s">
        <v>92</v>
      </c>
    </row>
    <row r="65" spans="1:50" x14ac:dyDescent="0.25">
      <c r="A65" s="9" t="s">
        <v>93</v>
      </c>
      <c r="B65" s="5">
        <v>5</v>
      </c>
      <c r="C65" s="5">
        <v>7</v>
      </c>
      <c r="D65" s="5">
        <v>3</v>
      </c>
      <c r="E65" s="5">
        <v>8</v>
      </c>
      <c r="F65" s="5">
        <v>1</v>
      </c>
      <c r="G65" s="5">
        <v>2</v>
      </c>
      <c r="H65" s="5">
        <v>3</v>
      </c>
      <c r="I65" s="5">
        <v>1</v>
      </c>
      <c r="J65" s="5">
        <v>3</v>
      </c>
      <c r="K65" s="5">
        <v>4</v>
      </c>
      <c r="L65" s="5">
        <v>2</v>
      </c>
      <c r="N65" s="146">
        <f>(C65/0.01)*10^($B$65)</f>
        <v>70000000</v>
      </c>
      <c r="O65" s="146">
        <f t="shared" ref="O65:W65" si="65">(D65/0.01)*10^($B$65)</f>
        <v>30000000</v>
      </c>
      <c r="P65" s="146">
        <f t="shared" si="65"/>
        <v>80000000</v>
      </c>
      <c r="Q65" s="146">
        <f t="shared" si="65"/>
        <v>10000000</v>
      </c>
      <c r="R65" s="146">
        <f t="shared" si="65"/>
        <v>20000000</v>
      </c>
      <c r="S65" s="146">
        <f t="shared" si="65"/>
        <v>30000000</v>
      </c>
      <c r="T65" s="146">
        <f t="shared" si="65"/>
        <v>10000000</v>
      </c>
      <c r="U65" s="146">
        <f t="shared" si="65"/>
        <v>30000000</v>
      </c>
      <c r="V65" s="146">
        <f t="shared" si="65"/>
        <v>40000000</v>
      </c>
      <c r="W65" s="146">
        <f t="shared" si="65"/>
        <v>20000000</v>
      </c>
      <c r="X65" s="146"/>
      <c r="Y65" s="154">
        <f t="shared" ref="Y65:Y81" si="66">AVERAGE(N65:W65)</f>
        <v>34000000</v>
      </c>
      <c r="Z65" s="9" t="s">
        <v>93</v>
      </c>
      <c r="AA65" s="5">
        <v>4</v>
      </c>
      <c r="AB65" s="5">
        <v>32</v>
      </c>
      <c r="AC65" s="5">
        <v>30</v>
      </c>
      <c r="AD65" s="5">
        <v>35</v>
      </c>
      <c r="AE65" s="5">
        <v>26</v>
      </c>
      <c r="AF65" s="5">
        <v>43</v>
      </c>
      <c r="AG65" s="5">
        <v>29</v>
      </c>
      <c r="AH65" s="5">
        <v>31</v>
      </c>
      <c r="AI65" s="5">
        <v>33</v>
      </c>
      <c r="AJ65" s="5">
        <v>28</v>
      </c>
      <c r="AK65" s="5">
        <v>36</v>
      </c>
      <c r="AM65" s="146">
        <f>(AB65/0.01)*10^($AA$65)</f>
        <v>32000000</v>
      </c>
      <c r="AN65" s="146">
        <f t="shared" ref="AN65:AV65" si="67">(AC65/0.01)*10^($AA$65)</f>
        <v>30000000</v>
      </c>
      <c r="AO65" s="146">
        <f t="shared" si="67"/>
        <v>35000000</v>
      </c>
      <c r="AP65" s="146">
        <f t="shared" si="67"/>
        <v>26000000</v>
      </c>
      <c r="AQ65" s="146">
        <f t="shared" si="67"/>
        <v>43000000</v>
      </c>
      <c r="AR65" s="146">
        <f t="shared" si="67"/>
        <v>29000000</v>
      </c>
      <c r="AS65" s="146">
        <f t="shared" si="67"/>
        <v>31000000</v>
      </c>
      <c r="AT65" s="146">
        <f t="shared" si="67"/>
        <v>33000000</v>
      </c>
      <c r="AU65" s="146">
        <f t="shared" si="67"/>
        <v>28000000</v>
      </c>
      <c r="AV65" s="146">
        <f t="shared" si="67"/>
        <v>36000000</v>
      </c>
      <c r="AW65" s="146">
        <f t="shared" ref="AW65:AW81" si="68">AVERAGE(AM65:AV65)</f>
        <v>32300000</v>
      </c>
      <c r="AX65" s="9" t="s">
        <v>93</v>
      </c>
    </row>
    <row r="66" spans="1:50" x14ac:dyDescent="0.25">
      <c r="A66" s="9" t="s">
        <v>94</v>
      </c>
      <c r="B66" s="5">
        <v>5</v>
      </c>
      <c r="C66" s="5">
        <v>3</v>
      </c>
      <c r="D66" s="5">
        <v>3</v>
      </c>
      <c r="E66" s="5">
        <v>5</v>
      </c>
      <c r="F66" s="5">
        <v>3</v>
      </c>
      <c r="G66" s="5">
        <v>3</v>
      </c>
      <c r="H66" s="5">
        <v>4</v>
      </c>
      <c r="I66" s="5">
        <v>5</v>
      </c>
      <c r="J66" s="5">
        <v>3</v>
      </c>
      <c r="K66" s="5">
        <v>5</v>
      </c>
      <c r="L66" s="5">
        <v>5</v>
      </c>
      <c r="N66" s="146">
        <f>(C66/0.01)*10^($B$66)</f>
        <v>30000000</v>
      </c>
      <c r="O66" s="146">
        <f t="shared" ref="O66:W66" si="69">(D66/0.01)*10^($B$66)</f>
        <v>30000000</v>
      </c>
      <c r="P66" s="146">
        <f t="shared" si="69"/>
        <v>50000000</v>
      </c>
      <c r="Q66" s="146">
        <f t="shared" si="69"/>
        <v>30000000</v>
      </c>
      <c r="R66" s="146">
        <f t="shared" si="69"/>
        <v>30000000</v>
      </c>
      <c r="S66" s="146">
        <f t="shared" si="69"/>
        <v>40000000</v>
      </c>
      <c r="T66" s="146">
        <f t="shared" si="69"/>
        <v>50000000</v>
      </c>
      <c r="U66" s="146">
        <f t="shared" si="69"/>
        <v>30000000</v>
      </c>
      <c r="V66" s="146">
        <f t="shared" si="69"/>
        <v>50000000</v>
      </c>
      <c r="W66" s="146">
        <f t="shared" si="69"/>
        <v>50000000</v>
      </c>
      <c r="X66" s="146"/>
      <c r="Y66" s="154">
        <f t="shared" si="66"/>
        <v>39000000</v>
      </c>
      <c r="Z66" s="9" t="s">
        <v>94</v>
      </c>
      <c r="AA66" s="5">
        <v>4</v>
      </c>
      <c r="AB66" s="5">
        <v>43</v>
      </c>
      <c r="AC66" s="5">
        <v>27</v>
      </c>
      <c r="AD66" s="5">
        <v>26</v>
      </c>
      <c r="AE66" s="5">
        <v>32</v>
      </c>
      <c r="AF66" s="5">
        <v>47</v>
      </c>
      <c r="AG66" s="5">
        <v>20</v>
      </c>
      <c r="AH66" s="5">
        <v>40</v>
      </c>
      <c r="AI66" s="5">
        <v>20</v>
      </c>
      <c r="AJ66" s="5">
        <v>35</v>
      </c>
      <c r="AK66" s="5">
        <v>40</v>
      </c>
      <c r="AM66" s="146">
        <f>(AB66/0.01)*10^($AA$66)</f>
        <v>43000000</v>
      </c>
      <c r="AN66" s="146">
        <f t="shared" ref="AN66:AV66" si="70">(AC66/0.01)*10^($AA$66)</f>
        <v>27000000</v>
      </c>
      <c r="AO66" s="146">
        <f t="shared" si="70"/>
        <v>26000000</v>
      </c>
      <c r="AP66" s="146">
        <f t="shared" si="70"/>
        <v>32000000</v>
      </c>
      <c r="AQ66" s="146">
        <f t="shared" si="70"/>
        <v>47000000</v>
      </c>
      <c r="AR66" s="146">
        <f t="shared" si="70"/>
        <v>20000000</v>
      </c>
      <c r="AS66" s="146">
        <f t="shared" si="70"/>
        <v>40000000</v>
      </c>
      <c r="AT66" s="146">
        <f t="shared" si="70"/>
        <v>20000000</v>
      </c>
      <c r="AU66" s="146">
        <f t="shared" si="70"/>
        <v>35000000</v>
      </c>
      <c r="AV66" s="146">
        <f t="shared" si="70"/>
        <v>40000000</v>
      </c>
      <c r="AW66" s="146">
        <f t="shared" si="68"/>
        <v>33000000</v>
      </c>
      <c r="AX66" s="9" t="s">
        <v>94</v>
      </c>
    </row>
    <row r="67" spans="1:50" x14ac:dyDescent="0.25">
      <c r="A67" s="9" t="s">
        <v>95</v>
      </c>
      <c r="B67" s="5">
        <v>5</v>
      </c>
      <c r="C67" s="5">
        <v>8</v>
      </c>
      <c r="D67" s="5">
        <v>6</v>
      </c>
      <c r="E67" s="5">
        <v>4</v>
      </c>
      <c r="F67" s="5">
        <v>4</v>
      </c>
      <c r="G67" s="5">
        <v>8</v>
      </c>
      <c r="H67" s="5">
        <v>6</v>
      </c>
      <c r="I67" s="5">
        <v>5</v>
      </c>
      <c r="J67" s="5">
        <v>9</v>
      </c>
      <c r="K67" s="5">
        <v>14</v>
      </c>
      <c r="L67" s="5">
        <v>8</v>
      </c>
      <c r="N67" s="146">
        <f>(C67/0.01)*10^($B$67)</f>
        <v>80000000</v>
      </c>
      <c r="O67" s="146">
        <f t="shared" ref="O67:W67" si="71">(D67/0.01)*10^($B$67)</f>
        <v>60000000</v>
      </c>
      <c r="P67" s="146">
        <f t="shared" si="71"/>
        <v>40000000</v>
      </c>
      <c r="Q67" s="146">
        <f t="shared" si="71"/>
        <v>40000000</v>
      </c>
      <c r="R67" s="146">
        <f t="shared" si="71"/>
        <v>80000000</v>
      </c>
      <c r="S67" s="146">
        <f t="shared" si="71"/>
        <v>60000000</v>
      </c>
      <c r="T67" s="146">
        <f t="shared" si="71"/>
        <v>50000000</v>
      </c>
      <c r="U67" s="146">
        <f t="shared" si="71"/>
        <v>90000000</v>
      </c>
      <c r="V67" s="146">
        <f t="shared" si="71"/>
        <v>140000000</v>
      </c>
      <c r="W67" s="146">
        <f t="shared" si="71"/>
        <v>80000000</v>
      </c>
      <c r="X67" s="146"/>
      <c r="Y67" s="146">
        <f t="shared" si="66"/>
        <v>72000000</v>
      </c>
      <c r="Z67" s="9" t="s">
        <v>95</v>
      </c>
      <c r="AM67" s="146"/>
      <c r="AN67" s="146"/>
      <c r="AO67" s="146"/>
      <c r="AP67" s="146"/>
      <c r="AQ67" s="146"/>
      <c r="AR67" s="146"/>
      <c r="AS67" s="146"/>
      <c r="AT67" s="146"/>
      <c r="AU67" s="146"/>
      <c r="AV67" s="146"/>
      <c r="AW67" s="146"/>
      <c r="AX67" s="9" t="s">
        <v>95</v>
      </c>
    </row>
    <row r="68" spans="1:50" x14ac:dyDescent="0.25">
      <c r="A68" s="9" t="s">
        <v>96</v>
      </c>
      <c r="B68" s="5">
        <v>5</v>
      </c>
      <c r="C68" s="5">
        <v>5</v>
      </c>
      <c r="D68" s="5">
        <v>5</v>
      </c>
      <c r="E68" s="5">
        <v>2</v>
      </c>
      <c r="F68" s="5">
        <v>7</v>
      </c>
      <c r="G68" s="5">
        <v>7</v>
      </c>
      <c r="H68" s="5">
        <v>7</v>
      </c>
      <c r="I68" s="5">
        <v>11</v>
      </c>
      <c r="J68" s="5">
        <v>2</v>
      </c>
      <c r="K68" s="5">
        <v>4</v>
      </c>
      <c r="L68" s="5">
        <v>11</v>
      </c>
      <c r="N68" s="146">
        <f>(C68/0.01)*10^($B$68)</f>
        <v>50000000</v>
      </c>
      <c r="O68" s="146">
        <f t="shared" ref="O68:W68" si="72">(D68/0.01)*10^($B$68)</f>
        <v>50000000</v>
      </c>
      <c r="P68" s="146">
        <f t="shared" si="72"/>
        <v>20000000</v>
      </c>
      <c r="Q68" s="146">
        <f t="shared" si="72"/>
        <v>70000000</v>
      </c>
      <c r="R68" s="146">
        <f t="shared" si="72"/>
        <v>70000000</v>
      </c>
      <c r="S68" s="146">
        <f t="shared" si="72"/>
        <v>70000000</v>
      </c>
      <c r="T68" s="146">
        <f t="shared" si="72"/>
        <v>110000000</v>
      </c>
      <c r="U68" s="146">
        <f t="shared" si="72"/>
        <v>20000000</v>
      </c>
      <c r="V68" s="146">
        <f t="shared" si="72"/>
        <v>40000000</v>
      </c>
      <c r="W68" s="146">
        <f t="shared" si="72"/>
        <v>110000000</v>
      </c>
      <c r="X68" s="146"/>
      <c r="Y68" s="146">
        <f t="shared" si="66"/>
        <v>61000000</v>
      </c>
      <c r="Z68" s="9" t="s">
        <v>96</v>
      </c>
      <c r="AM68" s="146"/>
      <c r="AN68" s="146"/>
      <c r="AO68" s="146"/>
      <c r="AP68" s="146"/>
      <c r="AQ68" s="146"/>
      <c r="AR68" s="146"/>
      <c r="AS68" s="146"/>
      <c r="AT68" s="146"/>
      <c r="AU68" s="146"/>
      <c r="AV68" s="146"/>
      <c r="AW68" s="146"/>
      <c r="AX68" s="9" t="s">
        <v>96</v>
      </c>
    </row>
    <row r="69" spans="1:50" x14ac:dyDescent="0.25">
      <c r="A69" s="9" t="s">
        <v>97</v>
      </c>
      <c r="B69" s="5">
        <v>5</v>
      </c>
      <c r="C69" s="5">
        <v>6</v>
      </c>
      <c r="D69" s="5">
        <v>4</v>
      </c>
      <c r="E69" s="5">
        <v>5</v>
      </c>
      <c r="F69" s="5">
        <v>5</v>
      </c>
      <c r="G69" s="5">
        <v>4</v>
      </c>
      <c r="H69" s="5">
        <v>8</v>
      </c>
      <c r="I69" s="5">
        <v>5</v>
      </c>
      <c r="J69" s="5">
        <v>6</v>
      </c>
      <c r="K69" s="5">
        <v>2</v>
      </c>
      <c r="L69" s="5">
        <v>8</v>
      </c>
      <c r="N69" s="146">
        <f>(C69/0.01)*10^($B$69)</f>
        <v>60000000</v>
      </c>
      <c r="O69" s="146">
        <f t="shared" ref="O69:W69" si="73">(D69/0.01)*10^($B$69)</f>
        <v>40000000</v>
      </c>
      <c r="P69" s="146">
        <f t="shared" si="73"/>
        <v>50000000</v>
      </c>
      <c r="Q69" s="146">
        <f t="shared" si="73"/>
        <v>50000000</v>
      </c>
      <c r="R69" s="146">
        <f t="shared" si="73"/>
        <v>40000000</v>
      </c>
      <c r="S69" s="146">
        <f t="shared" si="73"/>
        <v>80000000</v>
      </c>
      <c r="T69" s="146">
        <f t="shared" si="73"/>
        <v>50000000</v>
      </c>
      <c r="U69" s="146">
        <f t="shared" si="73"/>
        <v>60000000</v>
      </c>
      <c r="V69" s="146">
        <f t="shared" si="73"/>
        <v>20000000</v>
      </c>
      <c r="W69" s="146">
        <f t="shared" si="73"/>
        <v>80000000</v>
      </c>
      <c r="X69" s="146"/>
      <c r="Y69" s="146">
        <f t="shared" si="66"/>
        <v>53000000</v>
      </c>
      <c r="Z69" s="9" t="s">
        <v>97</v>
      </c>
      <c r="AM69" s="146"/>
      <c r="AN69" s="146"/>
      <c r="AO69" s="146"/>
      <c r="AP69" s="146"/>
      <c r="AQ69" s="146"/>
      <c r="AR69" s="146"/>
      <c r="AS69" s="146"/>
      <c r="AT69" s="146"/>
      <c r="AU69" s="146"/>
      <c r="AV69" s="146"/>
      <c r="AW69" s="146"/>
      <c r="AX69" s="9" t="s">
        <v>97</v>
      </c>
    </row>
    <row r="70" spans="1:50" x14ac:dyDescent="0.25">
      <c r="A70" s="9" t="s">
        <v>98</v>
      </c>
      <c r="B70" s="5">
        <v>5</v>
      </c>
      <c r="C70" s="5">
        <v>19</v>
      </c>
      <c r="D70" s="5">
        <v>23</v>
      </c>
      <c r="E70" s="5">
        <v>24</v>
      </c>
      <c r="F70" s="5">
        <v>15</v>
      </c>
      <c r="G70" s="5">
        <v>19</v>
      </c>
      <c r="H70" s="5">
        <v>15</v>
      </c>
      <c r="I70" s="5">
        <v>13</v>
      </c>
      <c r="J70" s="5">
        <v>16</v>
      </c>
      <c r="K70" s="5">
        <v>21</v>
      </c>
      <c r="L70" s="5">
        <v>16</v>
      </c>
      <c r="N70" s="146">
        <f>(C70/0.01)*10^($B$70)</f>
        <v>190000000</v>
      </c>
      <c r="O70" s="146">
        <f t="shared" ref="O70:W70" si="74">(D70/0.01)*10^($B$70)</f>
        <v>230000000</v>
      </c>
      <c r="P70" s="146">
        <f t="shared" si="74"/>
        <v>240000000</v>
      </c>
      <c r="Q70" s="146">
        <f t="shared" si="74"/>
        <v>150000000</v>
      </c>
      <c r="R70" s="146">
        <f t="shared" si="74"/>
        <v>190000000</v>
      </c>
      <c r="S70" s="146">
        <f t="shared" si="74"/>
        <v>150000000</v>
      </c>
      <c r="T70" s="146">
        <f t="shared" si="74"/>
        <v>130000000</v>
      </c>
      <c r="U70" s="146">
        <f t="shared" si="74"/>
        <v>160000000</v>
      </c>
      <c r="V70" s="146">
        <f t="shared" si="74"/>
        <v>210000000</v>
      </c>
      <c r="W70" s="146">
        <f t="shared" si="74"/>
        <v>160000000</v>
      </c>
      <c r="X70" s="146"/>
      <c r="Y70" s="146">
        <f t="shared" si="66"/>
        <v>181000000</v>
      </c>
      <c r="Z70" s="9" t="s">
        <v>98</v>
      </c>
      <c r="AM70" s="146"/>
      <c r="AN70" s="146"/>
      <c r="AO70" s="146"/>
      <c r="AP70" s="146"/>
      <c r="AQ70" s="146"/>
      <c r="AR70" s="146"/>
      <c r="AS70" s="146"/>
      <c r="AT70" s="146"/>
      <c r="AU70" s="146"/>
      <c r="AV70" s="146"/>
      <c r="AW70" s="146"/>
      <c r="AX70" s="9" t="s">
        <v>98</v>
      </c>
    </row>
    <row r="71" spans="1:50" x14ac:dyDescent="0.25">
      <c r="A71" s="9" t="s">
        <v>99</v>
      </c>
      <c r="B71" s="5">
        <v>5</v>
      </c>
      <c r="C71" s="5">
        <v>21</v>
      </c>
      <c r="D71" s="5">
        <v>17</v>
      </c>
      <c r="E71" s="5">
        <v>18</v>
      </c>
      <c r="F71" s="5">
        <v>13</v>
      </c>
      <c r="G71" s="5">
        <v>17</v>
      </c>
      <c r="H71" s="5">
        <v>19</v>
      </c>
      <c r="I71" s="5">
        <v>6</v>
      </c>
      <c r="J71" s="5">
        <v>12</v>
      </c>
      <c r="K71" s="5">
        <v>15</v>
      </c>
      <c r="L71" s="5">
        <v>21</v>
      </c>
      <c r="N71" s="146">
        <f>(C71/0.01)*10^($B$71)</f>
        <v>210000000</v>
      </c>
      <c r="O71" s="146">
        <f t="shared" ref="O71:W71" si="75">(D71/0.01)*10^($B$71)</f>
        <v>170000000</v>
      </c>
      <c r="P71" s="146">
        <f t="shared" si="75"/>
        <v>180000000</v>
      </c>
      <c r="Q71" s="146">
        <f t="shared" si="75"/>
        <v>130000000</v>
      </c>
      <c r="R71" s="146">
        <f t="shared" si="75"/>
        <v>170000000</v>
      </c>
      <c r="S71" s="146">
        <f t="shared" si="75"/>
        <v>190000000</v>
      </c>
      <c r="T71" s="146">
        <f t="shared" si="75"/>
        <v>60000000</v>
      </c>
      <c r="U71" s="146">
        <f t="shared" si="75"/>
        <v>120000000</v>
      </c>
      <c r="V71" s="146">
        <f t="shared" si="75"/>
        <v>150000000</v>
      </c>
      <c r="W71" s="146">
        <f t="shared" si="75"/>
        <v>210000000</v>
      </c>
      <c r="X71" s="146"/>
      <c r="Y71" s="146">
        <f t="shared" si="66"/>
        <v>159000000</v>
      </c>
      <c r="Z71" s="9" t="s">
        <v>99</v>
      </c>
      <c r="AM71" s="146"/>
      <c r="AN71" s="146"/>
      <c r="AO71" s="146"/>
      <c r="AP71" s="146"/>
      <c r="AQ71" s="146"/>
      <c r="AR71" s="146"/>
      <c r="AS71" s="146"/>
      <c r="AT71" s="146"/>
      <c r="AU71" s="146"/>
      <c r="AV71" s="146"/>
      <c r="AW71" s="146"/>
      <c r="AX71" s="9" t="s">
        <v>99</v>
      </c>
    </row>
    <row r="72" spans="1:50" x14ac:dyDescent="0.25">
      <c r="A72" s="9" t="s">
        <v>100</v>
      </c>
      <c r="B72" s="5">
        <v>5</v>
      </c>
      <c r="C72" s="5">
        <v>23</v>
      </c>
      <c r="D72" s="5">
        <v>13</v>
      </c>
      <c r="E72" s="5">
        <v>21</v>
      </c>
      <c r="F72" s="5">
        <v>15</v>
      </c>
      <c r="G72" s="5">
        <v>15</v>
      </c>
      <c r="H72" s="5">
        <v>23</v>
      </c>
      <c r="I72" s="5">
        <v>13</v>
      </c>
      <c r="J72" s="5">
        <v>15</v>
      </c>
      <c r="K72" s="5">
        <v>18</v>
      </c>
      <c r="L72" s="5">
        <v>23</v>
      </c>
      <c r="N72" s="146">
        <f>(C72/0.01)*10^($B$72)</f>
        <v>230000000</v>
      </c>
      <c r="O72" s="146">
        <f t="shared" ref="O72:W72" si="76">(D72/0.01)*10^($B$72)</f>
        <v>130000000</v>
      </c>
      <c r="P72" s="146">
        <f t="shared" si="76"/>
        <v>210000000</v>
      </c>
      <c r="Q72" s="146">
        <f t="shared" si="76"/>
        <v>150000000</v>
      </c>
      <c r="R72" s="146">
        <f t="shared" si="76"/>
        <v>150000000</v>
      </c>
      <c r="S72" s="146">
        <f t="shared" si="76"/>
        <v>230000000</v>
      </c>
      <c r="T72" s="146">
        <f t="shared" si="76"/>
        <v>130000000</v>
      </c>
      <c r="U72" s="146">
        <f t="shared" si="76"/>
        <v>150000000</v>
      </c>
      <c r="V72" s="146">
        <f t="shared" si="76"/>
        <v>180000000</v>
      </c>
      <c r="W72" s="146">
        <f t="shared" si="76"/>
        <v>230000000</v>
      </c>
      <c r="X72" s="146"/>
      <c r="Y72" s="146">
        <f t="shared" si="66"/>
        <v>179000000</v>
      </c>
      <c r="Z72" s="9" t="s">
        <v>100</v>
      </c>
      <c r="AM72" s="146"/>
      <c r="AN72" s="146"/>
      <c r="AO72" s="146"/>
      <c r="AP72" s="146"/>
      <c r="AQ72" s="146"/>
      <c r="AR72" s="146"/>
      <c r="AS72" s="146"/>
      <c r="AT72" s="146"/>
      <c r="AU72" s="146"/>
      <c r="AV72" s="146"/>
      <c r="AW72" s="146"/>
      <c r="AX72" s="9" t="s">
        <v>100</v>
      </c>
    </row>
    <row r="73" spans="1:50" x14ac:dyDescent="0.25">
      <c r="A73" s="9" t="s">
        <v>101</v>
      </c>
      <c r="B73" s="5">
        <v>6</v>
      </c>
      <c r="C73" s="5">
        <v>3</v>
      </c>
      <c r="D73" s="5">
        <v>1</v>
      </c>
      <c r="E73" s="5">
        <v>4</v>
      </c>
      <c r="F73" s="5">
        <v>6</v>
      </c>
      <c r="G73" s="5">
        <v>4</v>
      </c>
      <c r="H73" s="5">
        <v>3</v>
      </c>
      <c r="I73" s="5">
        <v>3</v>
      </c>
      <c r="J73" s="5">
        <v>2</v>
      </c>
      <c r="K73" s="5">
        <v>4</v>
      </c>
      <c r="L73" s="5">
        <v>4</v>
      </c>
      <c r="N73" s="146">
        <f>(C73/0.01)*10^($B$73)</f>
        <v>300000000</v>
      </c>
      <c r="O73" s="146">
        <f t="shared" ref="O73:W73" si="77">(D73/0.01)*10^($B$73)</f>
        <v>100000000</v>
      </c>
      <c r="P73" s="146">
        <f t="shared" si="77"/>
        <v>400000000</v>
      </c>
      <c r="Q73" s="146">
        <f t="shared" si="77"/>
        <v>600000000</v>
      </c>
      <c r="R73" s="146">
        <f t="shared" si="77"/>
        <v>400000000</v>
      </c>
      <c r="S73" s="146">
        <f t="shared" si="77"/>
        <v>300000000</v>
      </c>
      <c r="T73" s="146">
        <f t="shared" si="77"/>
        <v>300000000</v>
      </c>
      <c r="U73" s="146">
        <f t="shared" si="77"/>
        <v>200000000</v>
      </c>
      <c r="V73" s="146">
        <f t="shared" si="77"/>
        <v>400000000</v>
      </c>
      <c r="W73" s="146">
        <f t="shared" si="77"/>
        <v>400000000</v>
      </c>
      <c r="X73" s="146"/>
      <c r="Y73" s="154">
        <f>AVERAGE(N73:W73)</f>
        <v>340000000</v>
      </c>
      <c r="Z73" s="9" t="s">
        <v>101</v>
      </c>
      <c r="AA73" s="5">
        <v>5</v>
      </c>
      <c r="AB73" s="5">
        <v>36</v>
      </c>
      <c r="AC73" s="5">
        <v>33</v>
      </c>
      <c r="AD73" s="5">
        <v>40</v>
      </c>
      <c r="AE73" s="5">
        <v>46</v>
      </c>
      <c r="AF73" s="5">
        <v>35</v>
      </c>
      <c r="AG73" s="5">
        <v>43</v>
      </c>
      <c r="AH73" s="5">
        <v>35</v>
      </c>
      <c r="AI73" s="5">
        <v>47</v>
      </c>
      <c r="AJ73" s="5">
        <v>47</v>
      </c>
      <c r="AK73" s="5">
        <v>33</v>
      </c>
      <c r="AM73" s="146">
        <f>(AB73/0.01)*10^($AA$73)</f>
        <v>360000000</v>
      </c>
      <c r="AN73" s="146">
        <f t="shared" ref="AN73:AV73" si="78">(AC73/0.01)*10^($AA$73)</f>
        <v>330000000</v>
      </c>
      <c r="AO73" s="146">
        <f t="shared" si="78"/>
        <v>400000000</v>
      </c>
      <c r="AP73" s="146">
        <f t="shared" si="78"/>
        <v>460000000</v>
      </c>
      <c r="AQ73" s="146">
        <f t="shared" si="78"/>
        <v>350000000</v>
      </c>
      <c r="AR73" s="146">
        <f t="shared" si="78"/>
        <v>430000000</v>
      </c>
      <c r="AS73" s="146">
        <f t="shared" si="78"/>
        <v>350000000</v>
      </c>
      <c r="AT73" s="146">
        <f t="shared" si="78"/>
        <v>470000000</v>
      </c>
      <c r="AU73" s="146">
        <f t="shared" si="78"/>
        <v>470000000</v>
      </c>
      <c r="AV73" s="146">
        <f t="shared" si="78"/>
        <v>330000000</v>
      </c>
      <c r="AW73" s="146">
        <f t="shared" si="68"/>
        <v>395000000</v>
      </c>
      <c r="AX73" s="9" t="s">
        <v>101</v>
      </c>
    </row>
    <row r="74" spans="1:50" x14ac:dyDescent="0.25">
      <c r="A74" s="9" t="s">
        <v>102</v>
      </c>
      <c r="B74" s="5">
        <v>6</v>
      </c>
      <c r="C74" s="5">
        <v>3</v>
      </c>
      <c r="D74" s="5">
        <v>2</v>
      </c>
      <c r="E74" s="5">
        <v>1</v>
      </c>
      <c r="F74" s="5">
        <v>2</v>
      </c>
      <c r="G74" s="5">
        <v>4</v>
      </c>
      <c r="H74" s="5">
        <v>3</v>
      </c>
      <c r="I74" s="5">
        <v>5</v>
      </c>
      <c r="J74" s="5">
        <v>1</v>
      </c>
      <c r="K74" s="5">
        <v>5</v>
      </c>
      <c r="L74" s="5">
        <v>5</v>
      </c>
      <c r="N74" s="146">
        <f>(C74/0.01)*10^($B$74)</f>
        <v>300000000</v>
      </c>
      <c r="O74" s="146">
        <f t="shared" ref="O74:W74" si="79">(D74/0.01)*10^($B$74)</f>
        <v>200000000</v>
      </c>
      <c r="P74" s="146">
        <f t="shared" si="79"/>
        <v>100000000</v>
      </c>
      <c r="Q74" s="146">
        <f t="shared" si="79"/>
        <v>200000000</v>
      </c>
      <c r="R74" s="146">
        <f t="shared" si="79"/>
        <v>400000000</v>
      </c>
      <c r="S74" s="146">
        <f t="shared" si="79"/>
        <v>300000000</v>
      </c>
      <c r="T74" s="146">
        <f t="shared" si="79"/>
        <v>500000000</v>
      </c>
      <c r="U74" s="146">
        <f t="shared" si="79"/>
        <v>100000000</v>
      </c>
      <c r="V74" s="146">
        <f t="shared" si="79"/>
        <v>500000000</v>
      </c>
      <c r="W74" s="146">
        <f t="shared" si="79"/>
        <v>500000000</v>
      </c>
      <c r="X74" s="146"/>
      <c r="Y74" s="154">
        <f t="shared" si="66"/>
        <v>310000000</v>
      </c>
      <c r="Z74" s="9" t="s">
        <v>102</v>
      </c>
      <c r="AA74" s="5">
        <v>5</v>
      </c>
      <c r="AB74" s="5">
        <v>35</v>
      </c>
      <c r="AC74" s="5">
        <v>28</v>
      </c>
      <c r="AD74" s="5">
        <v>43</v>
      </c>
      <c r="AE74" s="5">
        <v>35</v>
      </c>
      <c r="AF74" s="5">
        <v>32</v>
      </c>
      <c r="AG74" s="5">
        <v>42</v>
      </c>
      <c r="AH74" s="5">
        <v>29</v>
      </c>
      <c r="AI74" s="5">
        <v>32</v>
      </c>
      <c r="AJ74" s="5">
        <v>32</v>
      </c>
      <c r="AK74" s="5">
        <v>39</v>
      </c>
      <c r="AM74" s="146">
        <f>(AB74/0.01)*10^($AA$74)</f>
        <v>350000000</v>
      </c>
      <c r="AN74" s="146">
        <f t="shared" ref="AN74:AV74" si="80">(AC74/0.01)*10^($AA$74)</f>
        <v>280000000</v>
      </c>
      <c r="AO74" s="146">
        <f t="shared" si="80"/>
        <v>430000000</v>
      </c>
      <c r="AP74" s="146">
        <f t="shared" si="80"/>
        <v>350000000</v>
      </c>
      <c r="AQ74" s="146">
        <f t="shared" si="80"/>
        <v>320000000</v>
      </c>
      <c r="AR74" s="146">
        <f t="shared" si="80"/>
        <v>420000000</v>
      </c>
      <c r="AS74" s="146">
        <f t="shared" si="80"/>
        <v>290000000</v>
      </c>
      <c r="AT74" s="146">
        <f t="shared" si="80"/>
        <v>320000000</v>
      </c>
      <c r="AU74" s="146">
        <f t="shared" si="80"/>
        <v>320000000</v>
      </c>
      <c r="AV74" s="146">
        <f t="shared" si="80"/>
        <v>390000000</v>
      </c>
      <c r="AW74" s="146">
        <f t="shared" si="68"/>
        <v>347000000</v>
      </c>
      <c r="AX74" s="9" t="s">
        <v>102</v>
      </c>
    </row>
    <row r="75" spans="1:50" x14ac:dyDescent="0.25">
      <c r="A75" s="9" t="s">
        <v>103</v>
      </c>
      <c r="B75" s="5">
        <v>6</v>
      </c>
      <c r="C75" s="5">
        <v>2</v>
      </c>
      <c r="D75" s="5">
        <v>7</v>
      </c>
      <c r="E75" s="5">
        <v>2</v>
      </c>
      <c r="F75" s="5">
        <v>3</v>
      </c>
      <c r="G75" s="5">
        <v>6</v>
      </c>
      <c r="H75" s="5">
        <v>2</v>
      </c>
      <c r="I75" s="5">
        <v>3</v>
      </c>
      <c r="J75" s="5">
        <v>3</v>
      </c>
      <c r="K75" s="5">
        <v>4</v>
      </c>
      <c r="L75" s="5">
        <v>5</v>
      </c>
      <c r="N75" s="146">
        <f>(C75/0.01)*10^($B$75)</f>
        <v>200000000</v>
      </c>
      <c r="O75" s="146">
        <f t="shared" ref="O75:W75" si="81">(D75/0.01)*10^($B$75)</f>
        <v>700000000</v>
      </c>
      <c r="P75" s="146">
        <f t="shared" si="81"/>
        <v>200000000</v>
      </c>
      <c r="Q75" s="146">
        <f t="shared" si="81"/>
        <v>300000000</v>
      </c>
      <c r="R75" s="146">
        <f t="shared" si="81"/>
        <v>600000000</v>
      </c>
      <c r="S75" s="146">
        <f t="shared" si="81"/>
        <v>200000000</v>
      </c>
      <c r="T75" s="146">
        <f t="shared" si="81"/>
        <v>300000000</v>
      </c>
      <c r="U75" s="146">
        <f t="shared" si="81"/>
        <v>300000000</v>
      </c>
      <c r="V75" s="146">
        <f t="shared" si="81"/>
        <v>400000000</v>
      </c>
      <c r="W75" s="146">
        <f t="shared" si="81"/>
        <v>500000000</v>
      </c>
      <c r="X75" s="146"/>
      <c r="Y75" s="154">
        <f t="shared" si="66"/>
        <v>370000000</v>
      </c>
      <c r="Z75" s="9" t="s">
        <v>103</v>
      </c>
      <c r="AA75" s="5">
        <v>5</v>
      </c>
      <c r="AB75" s="5">
        <v>31</v>
      </c>
      <c r="AC75" s="5">
        <v>38</v>
      </c>
      <c r="AD75" s="5">
        <v>15</v>
      </c>
      <c r="AE75" s="5">
        <v>32</v>
      </c>
      <c r="AF75" s="5">
        <v>22</v>
      </c>
      <c r="AG75" s="5">
        <v>37</v>
      </c>
      <c r="AH75" s="5">
        <v>31</v>
      </c>
      <c r="AI75" s="5">
        <v>38</v>
      </c>
      <c r="AJ75" s="5">
        <v>27</v>
      </c>
      <c r="AK75" s="5">
        <v>30</v>
      </c>
      <c r="AM75" s="146">
        <f>(AB75/0.01)*10^($AA$75)</f>
        <v>310000000</v>
      </c>
      <c r="AN75" s="146">
        <f t="shared" ref="AN75:AV75" si="82">(AC75/0.01)*10^($AA$75)</f>
        <v>380000000</v>
      </c>
      <c r="AO75" s="146">
        <f t="shared" si="82"/>
        <v>150000000</v>
      </c>
      <c r="AP75" s="146">
        <f t="shared" si="82"/>
        <v>320000000</v>
      </c>
      <c r="AQ75" s="146">
        <f t="shared" si="82"/>
        <v>220000000</v>
      </c>
      <c r="AR75" s="146">
        <f t="shared" si="82"/>
        <v>370000000</v>
      </c>
      <c r="AS75" s="146">
        <f t="shared" si="82"/>
        <v>310000000</v>
      </c>
      <c r="AT75" s="146">
        <f t="shared" si="82"/>
        <v>380000000</v>
      </c>
      <c r="AU75" s="146">
        <f t="shared" si="82"/>
        <v>270000000</v>
      </c>
      <c r="AV75" s="146">
        <f t="shared" si="82"/>
        <v>300000000</v>
      </c>
      <c r="AW75" s="146">
        <f t="shared" si="68"/>
        <v>301000000</v>
      </c>
      <c r="AX75" s="9" t="s">
        <v>103</v>
      </c>
    </row>
    <row r="76" spans="1:50" x14ac:dyDescent="0.25">
      <c r="A76" s="9" t="s">
        <v>104</v>
      </c>
      <c r="B76" s="5">
        <v>6</v>
      </c>
      <c r="C76" s="5">
        <v>5</v>
      </c>
      <c r="D76" s="5">
        <v>3</v>
      </c>
      <c r="E76" s="5">
        <v>3</v>
      </c>
      <c r="F76" s="5">
        <v>6</v>
      </c>
      <c r="G76" s="5">
        <v>9</v>
      </c>
      <c r="H76" s="5">
        <v>3</v>
      </c>
      <c r="I76" s="5">
        <v>6</v>
      </c>
      <c r="J76" s="5">
        <v>2</v>
      </c>
      <c r="K76" s="5">
        <v>4</v>
      </c>
      <c r="L76" s="5">
        <v>3</v>
      </c>
      <c r="N76" s="146">
        <f>(C76/0.01)*10^($B$76)</f>
        <v>500000000</v>
      </c>
      <c r="O76" s="146">
        <f t="shared" ref="O76:W76" si="83">(D76/0.01)*10^($B$76)</f>
        <v>300000000</v>
      </c>
      <c r="P76" s="146">
        <f t="shared" si="83"/>
        <v>300000000</v>
      </c>
      <c r="Q76" s="146">
        <f t="shared" si="83"/>
        <v>600000000</v>
      </c>
      <c r="R76" s="146">
        <f t="shared" si="83"/>
        <v>900000000</v>
      </c>
      <c r="S76" s="146">
        <f t="shared" si="83"/>
        <v>300000000</v>
      </c>
      <c r="T76" s="146">
        <f t="shared" si="83"/>
        <v>600000000</v>
      </c>
      <c r="U76" s="146">
        <f t="shared" si="83"/>
        <v>200000000</v>
      </c>
      <c r="V76" s="146">
        <f t="shared" si="83"/>
        <v>400000000</v>
      </c>
      <c r="W76" s="146">
        <f t="shared" si="83"/>
        <v>300000000</v>
      </c>
      <c r="X76" s="146"/>
      <c r="Y76" s="154">
        <f t="shared" si="66"/>
        <v>440000000</v>
      </c>
      <c r="Z76" s="9" t="s">
        <v>104</v>
      </c>
      <c r="AA76" s="5">
        <v>5</v>
      </c>
      <c r="AB76" s="5">
        <v>39</v>
      </c>
      <c r="AC76" s="5">
        <v>37</v>
      </c>
      <c r="AD76" s="5">
        <v>36</v>
      </c>
      <c r="AE76" s="5">
        <v>40</v>
      </c>
      <c r="AF76" s="5">
        <v>47</v>
      </c>
      <c r="AG76" s="5">
        <v>33</v>
      </c>
      <c r="AH76" s="5">
        <v>41</v>
      </c>
      <c r="AI76" s="5">
        <v>27</v>
      </c>
      <c r="AJ76" s="5">
        <v>41</v>
      </c>
      <c r="AK76" s="5">
        <v>48</v>
      </c>
      <c r="AM76" s="146">
        <f>(AB76/0.01)*10^($AA$76)</f>
        <v>390000000</v>
      </c>
      <c r="AN76" s="146">
        <f t="shared" ref="AN76:AV76" si="84">(AC76/0.01)*10^($AA$76)</f>
        <v>370000000</v>
      </c>
      <c r="AO76" s="146">
        <f t="shared" si="84"/>
        <v>360000000</v>
      </c>
      <c r="AP76" s="146">
        <f t="shared" si="84"/>
        <v>400000000</v>
      </c>
      <c r="AQ76" s="146">
        <f t="shared" si="84"/>
        <v>470000000</v>
      </c>
      <c r="AR76" s="146">
        <f t="shared" si="84"/>
        <v>330000000</v>
      </c>
      <c r="AS76" s="146">
        <f t="shared" si="84"/>
        <v>410000000</v>
      </c>
      <c r="AT76" s="146">
        <f t="shared" si="84"/>
        <v>270000000</v>
      </c>
      <c r="AU76" s="146">
        <f t="shared" si="84"/>
        <v>410000000</v>
      </c>
      <c r="AV76" s="146">
        <f t="shared" si="84"/>
        <v>480000000</v>
      </c>
      <c r="AW76" s="146">
        <f t="shared" si="68"/>
        <v>389000000</v>
      </c>
      <c r="AX76" s="9" t="s">
        <v>104</v>
      </c>
    </row>
    <row r="77" spans="1:50" x14ac:dyDescent="0.25">
      <c r="A77" s="9" t="s">
        <v>105</v>
      </c>
      <c r="B77" s="5">
        <v>6</v>
      </c>
      <c r="C77" s="5">
        <v>6</v>
      </c>
      <c r="D77" s="5">
        <v>3</v>
      </c>
      <c r="E77" s="5">
        <v>2</v>
      </c>
      <c r="F77" s="5">
        <v>1</v>
      </c>
      <c r="G77" s="5">
        <v>3</v>
      </c>
      <c r="H77" s="5">
        <v>4</v>
      </c>
      <c r="I77" s="5">
        <v>3</v>
      </c>
      <c r="J77" s="5">
        <v>4</v>
      </c>
      <c r="K77" s="5">
        <v>1</v>
      </c>
      <c r="L77" s="5">
        <v>5</v>
      </c>
      <c r="N77" s="146">
        <f>(C77/0.01)*10^($B$77)</f>
        <v>600000000</v>
      </c>
      <c r="O77" s="146">
        <f t="shared" ref="O77:W77" si="85">(D77/0.01)*10^($B$77)</f>
        <v>300000000</v>
      </c>
      <c r="P77" s="146">
        <f t="shared" si="85"/>
        <v>200000000</v>
      </c>
      <c r="Q77" s="146">
        <f t="shared" si="85"/>
        <v>100000000</v>
      </c>
      <c r="R77" s="146">
        <f t="shared" si="85"/>
        <v>300000000</v>
      </c>
      <c r="S77" s="146">
        <f t="shared" si="85"/>
        <v>400000000</v>
      </c>
      <c r="T77" s="146">
        <f t="shared" si="85"/>
        <v>300000000</v>
      </c>
      <c r="U77" s="146">
        <f t="shared" si="85"/>
        <v>400000000</v>
      </c>
      <c r="V77" s="146">
        <f t="shared" si="85"/>
        <v>100000000</v>
      </c>
      <c r="W77" s="146">
        <f t="shared" si="85"/>
        <v>500000000</v>
      </c>
      <c r="X77" s="146"/>
      <c r="Y77" s="154">
        <f t="shared" si="66"/>
        <v>320000000</v>
      </c>
      <c r="Z77" s="9" t="s">
        <v>105</v>
      </c>
      <c r="AA77" s="5">
        <v>5</v>
      </c>
      <c r="AB77" s="5">
        <v>36</v>
      </c>
      <c r="AC77" s="5">
        <v>36</v>
      </c>
      <c r="AD77" s="5">
        <v>21</v>
      </c>
      <c r="AE77" s="5">
        <v>37</v>
      </c>
      <c r="AF77" s="5">
        <v>39</v>
      </c>
      <c r="AG77" s="5">
        <v>33</v>
      </c>
      <c r="AH77" s="5">
        <v>30</v>
      </c>
      <c r="AI77" s="5">
        <v>37</v>
      </c>
      <c r="AJ77" s="5">
        <v>40</v>
      </c>
      <c r="AK77" s="5">
        <v>30</v>
      </c>
      <c r="AM77" s="146">
        <f>(AB77/0.01)*10^($AA$77)</f>
        <v>360000000</v>
      </c>
      <c r="AN77" s="146">
        <f t="shared" ref="AN77:AV77" si="86">(AC77/0.01)*10^($AA$77)</f>
        <v>360000000</v>
      </c>
      <c r="AO77" s="146">
        <f t="shared" si="86"/>
        <v>210000000</v>
      </c>
      <c r="AP77" s="146">
        <f t="shared" si="86"/>
        <v>370000000</v>
      </c>
      <c r="AQ77" s="146">
        <f t="shared" si="86"/>
        <v>390000000</v>
      </c>
      <c r="AR77" s="146">
        <f t="shared" si="86"/>
        <v>330000000</v>
      </c>
      <c r="AS77" s="146">
        <f t="shared" si="86"/>
        <v>300000000</v>
      </c>
      <c r="AT77" s="146">
        <f t="shared" si="86"/>
        <v>370000000</v>
      </c>
      <c r="AU77" s="146">
        <f t="shared" si="86"/>
        <v>400000000</v>
      </c>
      <c r="AV77" s="146">
        <f t="shared" si="86"/>
        <v>300000000</v>
      </c>
      <c r="AW77" s="146">
        <f t="shared" si="68"/>
        <v>339000000</v>
      </c>
      <c r="AX77" s="9" t="s">
        <v>105</v>
      </c>
    </row>
    <row r="78" spans="1:50" x14ac:dyDescent="0.25">
      <c r="A78" s="9" t="s">
        <v>106</v>
      </c>
      <c r="B78" s="5">
        <v>6</v>
      </c>
      <c r="C78" s="5">
        <v>4</v>
      </c>
      <c r="D78" s="5">
        <v>0</v>
      </c>
      <c r="E78" s="5">
        <v>3</v>
      </c>
      <c r="F78" s="5">
        <v>7</v>
      </c>
      <c r="G78" s="5">
        <v>7</v>
      </c>
      <c r="H78" s="5">
        <v>7</v>
      </c>
      <c r="I78" s="5">
        <v>1</v>
      </c>
      <c r="J78" s="5">
        <v>4</v>
      </c>
      <c r="K78" s="5">
        <v>2</v>
      </c>
      <c r="L78" s="5">
        <v>5</v>
      </c>
      <c r="N78" s="146">
        <f>(C78/0.01)*10^($B$78)</f>
        <v>400000000</v>
      </c>
      <c r="O78" s="146">
        <f t="shared" ref="O78:W78" si="87">(D78/0.01)*10^($B$78)</f>
        <v>0</v>
      </c>
      <c r="P78" s="146">
        <f t="shared" si="87"/>
        <v>300000000</v>
      </c>
      <c r="Q78" s="146">
        <f t="shared" si="87"/>
        <v>700000000</v>
      </c>
      <c r="R78" s="146">
        <f t="shared" si="87"/>
        <v>700000000</v>
      </c>
      <c r="S78" s="146">
        <f t="shared" si="87"/>
        <v>700000000</v>
      </c>
      <c r="T78" s="146">
        <f t="shared" si="87"/>
        <v>100000000</v>
      </c>
      <c r="U78" s="146">
        <f t="shared" si="87"/>
        <v>400000000</v>
      </c>
      <c r="V78" s="146">
        <f t="shared" si="87"/>
        <v>200000000</v>
      </c>
      <c r="W78" s="146">
        <f t="shared" si="87"/>
        <v>500000000</v>
      </c>
      <c r="X78" s="146"/>
      <c r="Y78" s="154">
        <f t="shared" si="66"/>
        <v>400000000</v>
      </c>
      <c r="Z78" s="9" t="s">
        <v>106</v>
      </c>
      <c r="AA78" s="5">
        <v>5</v>
      </c>
      <c r="AB78" s="5">
        <v>25</v>
      </c>
      <c r="AC78" s="5">
        <v>32</v>
      </c>
      <c r="AD78" s="5">
        <v>33</v>
      </c>
      <c r="AE78" s="5">
        <v>34</v>
      </c>
      <c r="AF78" s="5">
        <v>35</v>
      </c>
      <c r="AG78" s="5">
        <v>24</v>
      </c>
      <c r="AH78" s="5">
        <v>27</v>
      </c>
      <c r="AI78" s="5">
        <v>26</v>
      </c>
      <c r="AJ78" s="5">
        <v>32</v>
      </c>
      <c r="AK78" s="5">
        <v>23</v>
      </c>
      <c r="AM78" s="146">
        <f>(AB78/0.01)*10^($AA$78)</f>
        <v>250000000</v>
      </c>
      <c r="AN78" s="146">
        <f t="shared" ref="AN78:AV78" si="88">(AC78/0.01)*10^($AA$78)</f>
        <v>320000000</v>
      </c>
      <c r="AO78" s="146">
        <f t="shared" si="88"/>
        <v>330000000</v>
      </c>
      <c r="AP78" s="146">
        <f t="shared" si="88"/>
        <v>340000000</v>
      </c>
      <c r="AQ78" s="146">
        <f t="shared" si="88"/>
        <v>350000000</v>
      </c>
      <c r="AR78" s="146">
        <f t="shared" si="88"/>
        <v>240000000</v>
      </c>
      <c r="AS78" s="146">
        <f t="shared" si="88"/>
        <v>270000000</v>
      </c>
      <c r="AT78" s="146">
        <f t="shared" si="88"/>
        <v>260000000</v>
      </c>
      <c r="AU78" s="146">
        <f t="shared" si="88"/>
        <v>320000000</v>
      </c>
      <c r="AV78" s="146">
        <f t="shared" si="88"/>
        <v>230000000</v>
      </c>
      <c r="AW78" s="146">
        <f t="shared" si="68"/>
        <v>291000000</v>
      </c>
      <c r="AX78" s="9" t="s">
        <v>106</v>
      </c>
    </row>
    <row r="79" spans="1:50" x14ac:dyDescent="0.25">
      <c r="A79" s="9" t="s">
        <v>107</v>
      </c>
      <c r="B79" s="5">
        <v>6</v>
      </c>
      <c r="C79" s="5">
        <v>1</v>
      </c>
      <c r="D79" s="5">
        <v>4</v>
      </c>
      <c r="E79" s="5">
        <v>1</v>
      </c>
      <c r="F79" s="5">
        <v>4</v>
      </c>
      <c r="G79" s="5">
        <v>2</v>
      </c>
      <c r="H79" s="5">
        <v>2</v>
      </c>
      <c r="I79" s="5">
        <v>3</v>
      </c>
      <c r="J79" s="5">
        <v>1</v>
      </c>
      <c r="K79" s="5">
        <v>1</v>
      </c>
      <c r="L79" s="5">
        <v>3</v>
      </c>
      <c r="N79" s="146">
        <f>(C79/0.01)*10^($B$79)</f>
        <v>100000000</v>
      </c>
      <c r="O79" s="146">
        <f t="shared" ref="O79:W79" si="89">(D79/0.01)*10^($B$79)</f>
        <v>400000000</v>
      </c>
      <c r="P79" s="146">
        <f t="shared" si="89"/>
        <v>100000000</v>
      </c>
      <c r="Q79" s="146">
        <f t="shared" si="89"/>
        <v>400000000</v>
      </c>
      <c r="R79" s="146">
        <f t="shared" si="89"/>
        <v>200000000</v>
      </c>
      <c r="S79" s="146">
        <f t="shared" si="89"/>
        <v>200000000</v>
      </c>
      <c r="T79" s="146">
        <f t="shared" si="89"/>
        <v>300000000</v>
      </c>
      <c r="U79" s="146">
        <f t="shared" si="89"/>
        <v>100000000</v>
      </c>
      <c r="V79" s="146">
        <f t="shared" si="89"/>
        <v>100000000</v>
      </c>
      <c r="W79" s="146">
        <f t="shared" si="89"/>
        <v>300000000</v>
      </c>
      <c r="X79" s="146"/>
      <c r="Y79" s="146">
        <f t="shared" si="66"/>
        <v>220000000</v>
      </c>
      <c r="Z79" s="9" t="s">
        <v>107</v>
      </c>
      <c r="AA79" s="5">
        <v>5</v>
      </c>
      <c r="AB79" s="5">
        <v>38</v>
      </c>
      <c r="AC79" s="5">
        <v>39</v>
      </c>
      <c r="AD79" s="5">
        <v>32</v>
      </c>
      <c r="AE79" s="5">
        <v>34</v>
      </c>
      <c r="AF79" s="5">
        <v>28</v>
      </c>
      <c r="AG79" s="5">
        <v>32</v>
      </c>
      <c r="AH79" s="5">
        <v>28</v>
      </c>
      <c r="AI79" s="5">
        <v>39</v>
      </c>
      <c r="AJ79" s="5">
        <v>25</v>
      </c>
      <c r="AK79" s="5">
        <v>35</v>
      </c>
      <c r="AM79" s="146">
        <f>(AB79/0.01)*10^($AA$79)</f>
        <v>380000000</v>
      </c>
      <c r="AN79" s="146">
        <f t="shared" ref="AN79:AV79" si="90">(AC79/0.01)*10^($AA$79)</f>
        <v>390000000</v>
      </c>
      <c r="AO79" s="146">
        <f t="shared" si="90"/>
        <v>320000000</v>
      </c>
      <c r="AP79" s="146">
        <f t="shared" si="90"/>
        <v>340000000</v>
      </c>
      <c r="AQ79" s="146">
        <f t="shared" si="90"/>
        <v>280000000</v>
      </c>
      <c r="AR79" s="146">
        <f t="shared" si="90"/>
        <v>320000000</v>
      </c>
      <c r="AS79" s="146">
        <f t="shared" si="90"/>
        <v>280000000</v>
      </c>
      <c r="AT79" s="146">
        <f t="shared" si="90"/>
        <v>390000000</v>
      </c>
      <c r="AU79" s="146">
        <f t="shared" si="90"/>
        <v>250000000</v>
      </c>
      <c r="AV79" s="146">
        <f t="shared" si="90"/>
        <v>350000000</v>
      </c>
      <c r="AW79" s="154">
        <f t="shared" si="68"/>
        <v>330000000</v>
      </c>
      <c r="AX79" s="9" t="s">
        <v>107</v>
      </c>
    </row>
    <row r="80" spans="1:50" x14ac:dyDescent="0.25">
      <c r="A80" s="9" t="s">
        <v>108</v>
      </c>
      <c r="B80" s="5">
        <v>6</v>
      </c>
      <c r="C80" s="5">
        <v>1</v>
      </c>
      <c r="D80" s="5">
        <v>2</v>
      </c>
      <c r="E80" s="5">
        <v>2</v>
      </c>
      <c r="F80" s="5">
        <v>5</v>
      </c>
      <c r="G80" s="5">
        <v>3</v>
      </c>
      <c r="H80" s="5">
        <v>1</v>
      </c>
      <c r="I80" s="5">
        <v>4</v>
      </c>
      <c r="J80" s="5">
        <v>1</v>
      </c>
      <c r="K80" s="5">
        <v>4</v>
      </c>
      <c r="L80" s="5">
        <v>1</v>
      </c>
      <c r="N80" s="146">
        <f>(C80/0.01)*10^($B$80)</f>
        <v>100000000</v>
      </c>
      <c r="O80" s="146">
        <f t="shared" ref="O80:W80" si="91">(D80/0.01)*10^($B$80)</f>
        <v>200000000</v>
      </c>
      <c r="P80" s="146">
        <f t="shared" si="91"/>
        <v>200000000</v>
      </c>
      <c r="Q80" s="146">
        <f t="shared" si="91"/>
        <v>500000000</v>
      </c>
      <c r="R80" s="146">
        <f t="shared" si="91"/>
        <v>300000000</v>
      </c>
      <c r="S80" s="146">
        <f t="shared" si="91"/>
        <v>100000000</v>
      </c>
      <c r="T80" s="146">
        <f t="shared" si="91"/>
        <v>400000000</v>
      </c>
      <c r="U80" s="146">
        <f t="shared" si="91"/>
        <v>100000000</v>
      </c>
      <c r="V80" s="146">
        <f t="shared" si="91"/>
        <v>400000000</v>
      </c>
      <c r="W80" s="146">
        <f t="shared" si="91"/>
        <v>100000000</v>
      </c>
      <c r="X80" s="146"/>
      <c r="Y80" s="146">
        <f t="shared" si="66"/>
        <v>240000000</v>
      </c>
      <c r="Z80" s="9" t="s">
        <v>108</v>
      </c>
      <c r="AA80" s="5">
        <v>5</v>
      </c>
      <c r="AB80" s="5">
        <v>18</v>
      </c>
      <c r="AC80" s="5">
        <v>25</v>
      </c>
      <c r="AD80" s="5">
        <v>28</v>
      </c>
      <c r="AE80" s="5">
        <v>29</v>
      </c>
      <c r="AF80" s="5">
        <v>27</v>
      </c>
      <c r="AG80" s="5">
        <v>27</v>
      </c>
      <c r="AH80" s="5">
        <v>21</v>
      </c>
      <c r="AI80" s="5">
        <v>29</v>
      </c>
      <c r="AJ80" s="5">
        <v>22</v>
      </c>
      <c r="AK80" s="5">
        <v>24</v>
      </c>
      <c r="AM80" s="146">
        <f>(AB80/0.01)*10^($AA$80)</f>
        <v>180000000</v>
      </c>
      <c r="AN80" s="146">
        <f t="shared" ref="AN80:AV80" si="92">(AC80/0.01)*10^($AA$80)</f>
        <v>250000000</v>
      </c>
      <c r="AO80" s="146">
        <f t="shared" si="92"/>
        <v>280000000</v>
      </c>
      <c r="AP80" s="146">
        <f t="shared" si="92"/>
        <v>290000000</v>
      </c>
      <c r="AQ80" s="146">
        <f t="shared" si="92"/>
        <v>270000000</v>
      </c>
      <c r="AR80" s="146">
        <f t="shared" si="92"/>
        <v>270000000</v>
      </c>
      <c r="AS80" s="146">
        <f t="shared" si="92"/>
        <v>210000000</v>
      </c>
      <c r="AT80" s="146">
        <f t="shared" si="92"/>
        <v>290000000</v>
      </c>
      <c r="AU80" s="146">
        <f t="shared" si="92"/>
        <v>220000000</v>
      </c>
      <c r="AV80" s="146">
        <f t="shared" si="92"/>
        <v>240000000</v>
      </c>
      <c r="AW80" s="154">
        <f t="shared" si="68"/>
        <v>250000000</v>
      </c>
      <c r="AX80" s="9" t="s">
        <v>108</v>
      </c>
    </row>
    <row r="81" spans="1:50" x14ac:dyDescent="0.25">
      <c r="A81" s="9" t="s">
        <v>109</v>
      </c>
      <c r="B81" s="5">
        <v>6</v>
      </c>
      <c r="C81" s="5">
        <v>1</v>
      </c>
      <c r="D81" s="5">
        <v>2</v>
      </c>
      <c r="E81" s="5">
        <v>4</v>
      </c>
      <c r="F81" s="5">
        <v>4</v>
      </c>
      <c r="G81" s="5">
        <v>5</v>
      </c>
      <c r="H81" s="5">
        <v>10</v>
      </c>
      <c r="I81" s="5">
        <v>0</v>
      </c>
      <c r="J81" s="5">
        <v>1</v>
      </c>
      <c r="K81" s="5">
        <v>4</v>
      </c>
      <c r="L81" s="5">
        <v>5</v>
      </c>
      <c r="N81" s="146">
        <f>(C81/0.01)*10^($B$81)</f>
        <v>100000000</v>
      </c>
      <c r="O81" s="146">
        <f t="shared" ref="O81:W81" si="93">(D81/0.01)*10^($B$81)</f>
        <v>200000000</v>
      </c>
      <c r="P81" s="146">
        <f t="shared" si="93"/>
        <v>400000000</v>
      </c>
      <c r="Q81" s="146">
        <f t="shared" si="93"/>
        <v>400000000</v>
      </c>
      <c r="R81" s="146">
        <f t="shared" si="93"/>
        <v>500000000</v>
      </c>
      <c r="S81" s="146">
        <f t="shared" si="93"/>
        <v>1000000000</v>
      </c>
      <c r="T81" s="146">
        <f t="shared" si="93"/>
        <v>0</v>
      </c>
      <c r="U81" s="146">
        <f t="shared" si="93"/>
        <v>100000000</v>
      </c>
      <c r="V81" s="146">
        <f t="shared" si="93"/>
        <v>400000000</v>
      </c>
      <c r="W81" s="146">
        <f t="shared" si="93"/>
        <v>500000000</v>
      </c>
      <c r="X81" s="146"/>
      <c r="Y81" s="146">
        <f t="shared" si="66"/>
        <v>360000000</v>
      </c>
      <c r="Z81" s="9" t="s">
        <v>109</v>
      </c>
      <c r="AA81" s="5">
        <v>5</v>
      </c>
      <c r="AB81" s="5">
        <v>26</v>
      </c>
      <c r="AC81" s="5">
        <v>37</v>
      </c>
      <c r="AD81" s="5">
        <v>34</v>
      </c>
      <c r="AE81" s="5">
        <v>16</v>
      </c>
      <c r="AF81" s="5">
        <v>24</v>
      </c>
      <c r="AG81" s="5">
        <v>15</v>
      </c>
      <c r="AH81" s="5">
        <v>34</v>
      </c>
      <c r="AI81" s="5">
        <v>30</v>
      </c>
      <c r="AJ81" s="5">
        <v>27</v>
      </c>
      <c r="AK81" s="5">
        <v>24</v>
      </c>
      <c r="AM81" s="146">
        <f>(AB81/0.01)*10^($AA$81)</f>
        <v>260000000</v>
      </c>
      <c r="AN81" s="146">
        <f t="shared" ref="AN81:AV81" si="94">(AC81/0.01)*10^($AA$81)</f>
        <v>370000000</v>
      </c>
      <c r="AO81" s="146">
        <f t="shared" si="94"/>
        <v>340000000</v>
      </c>
      <c r="AP81" s="146">
        <f t="shared" si="94"/>
        <v>160000000</v>
      </c>
      <c r="AQ81" s="146">
        <f t="shared" si="94"/>
        <v>240000000</v>
      </c>
      <c r="AR81" s="146">
        <f t="shared" si="94"/>
        <v>150000000</v>
      </c>
      <c r="AS81" s="146">
        <f t="shared" si="94"/>
        <v>340000000</v>
      </c>
      <c r="AT81" s="146">
        <f t="shared" si="94"/>
        <v>300000000</v>
      </c>
      <c r="AU81" s="146">
        <f t="shared" si="94"/>
        <v>270000000</v>
      </c>
      <c r="AV81" s="146">
        <f t="shared" si="94"/>
        <v>240000000</v>
      </c>
      <c r="AW81" s="154">
        <f t="shared" si="68"/>
        <v>267000000</v>
      </c>
      <c r="AX81" s="9" t="s">
        <v>109</v>
      </c>
    </row>
  </sheetData>
  <mergeCells count="8">
    <mergeCell ref="AL4:AP4"/>
    <mergeCell ref="AQ4:AU4"/>
    <mergeCell ref="D4:I4"/>
    <mergeCell ref="J4:O4"/>
    <mergeCell ref="P4:U4"/>
    <mergeCell ref="V4:AA4"/>
    <mergeCell ref="AB4:AF4"/>
    <mergeCell ref="AG4:AK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8845-B49D-48A0-B3BE-D970BF35F31E}">
  <dimension ref="A1:CF92"/>
  <sheetViews>
    <sheetView zoomScaleNormal="100" workbookViewId="0"/>
  </sheetViews>
  <sheetFormatPr defaultColWidth="9.140625" defaultRowHeight="15" x14ac:dyDescent="0.25"/>
  <cols>
    <col min="1" max="1" width="9.140625" style="155"/>
    <col min="2" max="2" width="14.85546875" style="155" customWidth="1"/>
    <col min="3" max="4" width="9.140625" style="155" customWidth="1"/>
    <col min="5" max="5" width="10" style="155" customWidth="1"/>
    <col min="6" max="14" width="9.140625" style="155" customWidth="1"/>
    <col min="15" max="15" width="11" style="155" customWidth="1"/>
    <col min="16" max="26" width="9.140625" style="155" customWidth="1"/>
    <col min="27" max="29" width="11" style="155" bestFit="1" customWidth="1"/>
    <col min="30" max="34" width="9.140625" style="155"/>
    <col min="35" max="35" width="12" style="155" customWidth="1"/>
    <col min="36" max="37" width="11" style="155" customWidth="1"/>
    <col min="38" max="16384" width="9.140625" style="155"/>
  </cols>
  <sheetData>
    <row r="1" spans="1:84" x14ac:dyDescent="0.25">
      <c r="A1" s="8" t="s">
        <v>115</v>
      </c>
      <c r="D1" s="155">
        <v>20160223</v>
      </c>
    </row>
    <row r="2" spans="1:84" x14ac:dyDescent="0.25">
      <c r="A2" s="9" t="s">
        <v>116</v>
      </c>
    </row>
    <row r="3" spans="1:84" x14ac:dyDescent="0.25">
      <c r="A3" s="9" t="s">
        <v>42</v>
      </c>
      <c r="J3" s="156"/>
    </row>
    <row r="4" spans="1:84" x14ac:dyDescent="0.25">
      <c r="D4" s="382" t="s">
        <v>12</v>
      </c>
      <c r="E4" s="383"/>
      <c r="F4" s="383"/>
      <c r="G4" s="383"/>
      <c r="H4" s="383"/>
      <c r="I4" s="384"/>
      <c r="J4" s="382" t="s">
        <v>5</v>
      </c>
      <c r="K4" s="383"/>
      <c r="L4" s="383"/>
      <c r="M4" s="383"/>
      <c r="N4" s="383"/>
      <c r="O4" s="384"/>
      <c r="P4" s="382" t="s">
        <v>13</v>
      </c>
      <c r="Q4" s="383"/>
      <c r="R4" s="383"/>
      <c r="S4" s="383"/>
      <c r="T4" s="383"/>
      <c r="U4" s="384"/>
      <c r="V4" s="382" t="s">
        <v>69</v>
      </c>
      <c r="W4" s="383"/>
      <c r="X4" s="383"/>
      <c r="Y4" s="383"/>
      <c r="Z4" s="383"/>
      <c r="AA4" s="384"/>
      <c r="AB4" s="383" t="s">
        <v>14</v>
      </c>
      <c r="AC4" s="385"/>
      <c r="AD4" s="385"/>
      <c r="AE4" s="385"/>
      <c r="AF4" s="385"/>
      <c r="AG4" s="384"/>
      <c r="AH4" s="382" t="s">
        <v>83</v>
      </c>
      <c r="AI4" s="383"/>
      <c r="AJ4" s="383"/>
      <c r="AK4" s="383"/>
      <c r="AL4" s="384"/>
      <c r="AM4" s="382" t="s">
        <v>84</v>
      </c>
      <c r="AN4" s="383"/>
      <c r="AO4" s="383"/>
      <c r="AP4" s="383"/>
      <c r="AQ4" s="384"/>
      <c r="AR4" s="382" t="s">
        <v>85</v>
      </c>
      <c r="AS4" s="383"/>
      <c r="AT4" s="383"/>
      <c r="AU4" s="383"/>
      <c r="AV4" s="384"/>
      <c r="AW4" s="382" t="s">
        <v>86</v>
      </c>
      <c r="AX4" s="383"/>
      <c r="AY4" s="383"/>
      <c r="AZ4" s="383"/>
      <c r="BA4" s="384"/>
      <c r="BB4" s="81" t="s">
        <v>76</v>
      </c>
      <c r="BC4" s="81" t="s">
        <v>77</v>
      </c>
      <c r="BQ4" s="157"/>
      <c r="CB4" s="157"/>
    </row>
    <row r="5" spans="1:84" x14ac:dyDescent="0.25">
      <c r="B5" s="9" t="s">
        <v>15</v>
      </c>
      <c r="C5" s="11" t="s">
        <v>16</v>
      </c>
      <c r="D5" s="12">
        <v>1</v>
      </c>
      <c r="E5" s="13">
        <v>2</v>
      </c>
      <c r="F5" s="13">
        <v>3</v>
      </c>
      <c r="G5" s="13" t="s">
        <v>4</v>
      </c>
      <c r="H5" s="14" t="s">
        <v>17</v>
      </c>
      <c r="I5" s="15" t="s">
        <v>18</v>
      </c>
      <c r="J5" s="12">
        <v>1</v>
      </c>
      <c r="K5" s="13">
        <v>2</v>
      </c>
      <c r="L5" s="13">
        <v>3</v>
      </c>
      <c r="M5" s="13" t="s">
        <v>4</v>
      </c>
      <c r="N5" s="14" t="s">
        <v>17</v>
      </c>
      <c r="O5" s="15" t="s">
        <v>18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5" t="s">
        <v>18</v>
      </c>
      <c r="V5" s="12">
        <v>1</v>
      </c>
      <c r="W5" s="13">
        <v>2</v>
      </c>
      <c r="X5" s="13">
        <v>3</v>
      </c>
      <c r="Y5" s="13" t="s">
        <v>4</v>
      </c>
      <c r="Z5" s="14" t="s">
        <v>17</v>
      </c>
      <c r="AA5" s="15" t="s">
        <v>18</v>
      </c>
      <c r="AB5" s="13">
        <v>1</v>
      </c>
      <c r="AC5" s="13">
        <v>2</v>
      </c>
      <c r="AD5" s="13">
        <v>3</v>
      </c>
      <c r="AE5" s="13" t="s">
        <v>4</v>
      </c>
      <c r="AF5" s="14" t="s">
        <v>17</v>
      </c>
      <c r="AG5" s="15" t="s">
        <v>18</v>
      </c>
      <c r="AH5" s="12">
        <v>1</v>
      </c>
      <c r="AI5" s="13">
        <v>2</v>
      </c>
      <c r="AJ5" s="13">
        <v>3</v>
      </c>
      <c r="AK5" s="14" t="s">
        <v>17</v>
      </c>
      <c r="AL5" s="15" t="s">
        <v>18</v>
      </c>
      <c r="AM5" s="12">
        <v>1</v>
      </c>
      <c r="AN5" s="13">
        <v>2</v>
      </c>
      <c r="AO5" s="13">
        <v>3</v>
      </c>
      <c r="AP5" s="14" t="s">
        <v>17</v>
      </c>
      <c r="AQ5" s="15" t="s">
        <v>18</v>
      </c>
      <c r="AR5" s="12">
        <v>1</v>
      </c>
      <c r="AS5" s="13">
        <v>2</v>
      </c>
      <c r="AT5" s="13">
        <v>3</v>
      </c>
      <c r="AU5" s="14" t="s">
        <v>17</v>
      </c>
      <c r="AV5" s="15" t="s">
        <v>18</v>
      </c>
      <c r="AW5" s="12">
        <v>1</v>
      </c>
      <c r="AX5" s="13">
        <v>2</v>
      </c>
      <c r="AY5" s="13">
        <v>3</v>
      </c>
      <c r="AZ5" s="14" t="s">
        <v>17</v>
      </c>
      <c r="BA5" s="15" t="s">
        <v>18</v>
      </c>
      <c r="BB5" s="81" t="s">
        <v>45</v>
      </c>
      <c r="BC5" s="82" t="s">
        <v>45</v>
      </c>
      <c r="BT5" s="157"/>
      <c r="BU5" s="157"/>
      <c r="CE5" s="157"/>
      <c r="CF5" s="157"/>
    </row>
    <row r="6" spans="1:84" x14ac:dyDescent="0.25">
      <c r="A6" s="155" t="s">
        <v>19</v>
      </c>
      <c r="B6" s="158">
        <v>42423.40625</v>
      </c>
      <c r="C6" s="159">
        <f>(B6-$B$6)*24</f>
        <v>0</v>
      </c>
      <c r="D6" s="160">
        <v>4.1000000000000002E-2</v>
      </c>
      <c r="E6" s="161">
        <v>4.1000000000000002E-2</v>
      </c>
      <c r="F6" s="161">
        <v>4.1000000000000002E-2</v>
      </c>
      <c r="G6" s="161">
        <v>1E-3</v>
      </c>
      <c r="H6" s="21">
        <f t="shared" ref="H6:H14" si="0">AVERAGE(D6:F6)</f>
        <v>4.1000000000000002E-2</v>
      </c>
      <c r="I6" s="22">
        <f t="shared" ref="I6:I14" si="1">STDEV(D6:F6)</f>
        <v>0</v>
      </c>
      <c r="J6" s="162">
        <v>7.01</v>
      </c>
      <c r="K6" s="163">
        <v>7.04</v>
      </c>
      <c r="L6" s="163">
        <v>7.03</v>
      </c>
      <c r="M6" s="163">
        <v>7.03</v>
      </c>
      <c r="N6" s="25">
        <f t="shared" ref="N6:N14" si="2">AVERAGE(J6:L6)</f>
        <v>7.0266666666666673</v>
      </c>
      <c r="O6" s="26">
        <f t="shared" ref="O6:O14" si="3">STDEV(J6:L6)</f>
        <v>1.5275252316519626E-2</v>
      </c>
      <c r="P6" s="162">
        <v>28.539480268733875</v>
      </c>
      <c r="Q6" s="163">
        <v>29.350624502923978</v>
      </c>
      <c r="R6" s="163">
        <v>29.659355077145204</v>
      </c>
      <c r="S6" s="163">
        <v>29.354528917545018</v>
      </c>
      <c r="T6" s="25">
        <f>AVERAGE(P6:R6)</f>
        <v>29.183153282934352</v>
      </c>
      <c r="U6" s="26">
        <f>STDEV(P6:R6)</f>
        <v>0.57841581390223717</v>
      </c>
      <c r="V6" s="164"/>
      <c r="W6" s="165"/>
      <c r="X6" s="165"/>
      <c r="Y6" s="165"/>
      <c r="Z6" s="85">
        <v>0</v>
      </c>
      <c r="AA6" s="86">
        <v>0</v>
      </c>
      <c r="AF6" s="81">
        <v>0</v>
      </c>
      <c r="AG6" s="81">
        <v>0</v>
      </c>
      <c r="AH6" s="166">
        <f>X75-X52</f>
        <v>31000000</v>
      </c>
      <c r="AI6" s="167">
        <f>X76-X53</f>
        <v>40000000</v>
      </c>
      <c r="AJ6" s="167">
        <f>X77-X54</f>
        <v>23000000</v>
      </c>
      <c r="AK6" s="135">
        <f>AVERAGE(AH6:AJ6)</f>
        <v>31333333.333333332</v>
      </c>
      <c r="AL6" s="136">
        <f>STDEV(AH6:AJ6)</f>
        <v>8504900.5481153782</v>
      </c>
      <c r="AM6" s="166">
        <f>X52</f>
        <v>35000000</v>
      </c>
      <c r="AN6" s="167">
        <f>X53</f>
        <v>34000000</v>
      </c>
      <c r="AO6" s="167">
        <f>X54</f>
        <v>33000000</v>
      </c>
      <c r="AP6" s="135">
        <f>AVERAGE(AM6:AO6)</f>
        <v>34000000</v>
      </c>
      <c r="AQ6" s="136">
        <f>STDEV(AM6:AO6)</f>
        <v>1000000</v>
      </c>
      <c r="AR6" s="162">
        <f>AH6/(AH6+AM6)</f>
        <v>0.46969696969696972</v>
      </c>
      <c r="AS6" s="163">
        <f t="shared" ref="AS6:AT11" si="4">AI6/(AI6+AN6)</f>
        <v>0.54054054054054057</v>
      </c>
      <c r="AT6" s="163">
        <f t="shared" si="4"/>
        <v>0.4107142857142857</v>
      </c>
      <c r="AU6" s="25">
        <f>AVERAGE(AR6:AT6)</f>
        <v>0.47365059865059872</v>
      </c>
      <c r="AV6" s="26">
        <f>STDEV(AR6:AT6)</f>
        <v>6.5003365274269198E-2</v>
      </c>
      <c r="AW6" s="162">
        <f>AM6/(AH6+AM6)</f>
        <v>0.53030303030303028</v>
      </c>
      <c r="AX6" s="163">
        <f t="shared" ref="AX6:AY11" si="5">AN6/(AI6+AN6)</f>
        <v>0.45945945945945948</v>
      </c>
      <c r="AY6" s="163">
        <f t="shared" si="5"/>
        <v>0.5892857142857143</v>
      </c>
      <c r="AZ6" s="25">
        <f>AVERAGE(AW6:AY6)</f>
        <v>0.52634940134940134</v>
      </c>
      <c r="BA6" s="26">
        <f>STDEV(AW6:AY6)</f>
        <v>6.5003365274270475E-2</v>
      </c>
      <c r="BB6" s="87">
        <f>H6*0.46</f>
        <v>1.8860000000000002E-2</v>
      </c>
      <c r="BC6" s="87">
        <f>I6*0.46</f>
        <v>0</v>
      </c>
    </row>
    <row r="7" spans="1:84" x14ac:dyDescent="0.25">
      <c r="A7" s="155" t="s">
        <v>20</v>
      </c>
      <c r="B7" s="158">
        <v>42423.520138888889</v>
      </c>
      <c r="C7" s="168">
        <f>(B7-$B$6)*24</f>
        <v>2.7333333333372138</v>
      </c>
      <c r="D7" s="169">
        <v>8.1000000000000003E-2</v>
      </c>
      <c r="E7" s="170">
        <v>7.5999999999999998E-2</v>
      </c>
      <c r="F7" s="170">
        <v>7.6999999999999999E-2</v>
      </c>
      <c r="G7" s="170">
        <v>0</v>
      </c>
      <c r="H7" s="31">
        <f t="shared" si="0"/>
        <v>7.8E-2</v>
      </c>
      <c r="I7" s="32">
        <f t="shared" si="1"/>
        <v>2.6457513110645929E-3</v>
      </c>
      <c r="J7" s="171">
        <v>6.86</v>
      </c>
      <c r="K7" s="172">
        <v>6.87</v>
      </c>
      <c r="L7" s="172">
        <v>6.86</v>
      </c>
      <c r="M7" s="172">
        <v>7.04</v>
      </c>
      <c r="N7" s="35">
        <f t="shared" si="2"/>
        <v>6.8633333333333333</v>
      </c>
      <c r="O7" s="36">
        <f t="shared" si="3"/>
        <v>5.7735026918961348E-3</v>
      </c>
      <c r="P7" s="173">
        <v>27.921178995924333</v>
      </c>
      <c r="Q7" s="173">
        <v>29.648696257785229</v>
      </c>
      <c r="R7" s="173">
        <v>29.48440955084542</v>
      </c>
      <c r="S7" s="121">
        <v>30.39063063395124</v>
      </c>
      <c r="T7" s="35">
        <f t="shared" ref="T7:T11" si="6">AVERAGE(P7:R7)</f>
        <v>29.018094934851661</v>
      </c>
      <c r="U7" s="36">
        <f t="shared" ref="U7:U11" si="7">STDEV(P7:R7)</f>
        <v>0.95350194720508974</v>
      </c>
      <c r="V7" s="162">
        <v>0.53602243040163045</v>
      </c>
      <c r="W7" s="163">
        <v>0.58469811923829229</v>
      </c>
      <c r="X7" s="163">
        <v>0.53249619937534354</v>
      </c>
      <c r="Y7" s="165" t="s">
        <v>21</v>
      </c>
      <c r="Z7" s="25">
        <f>AVERAGE(V7:X7)</f>
        <v>0.55107224967175539</v>
      </c>
      <c r="AA7" s="26">
        <f>STDEV(V7:X7)</f>
        <v>2.9174182154638025E-2</v>
      </c>
      <c r="AB7" s="174">
        <v>0.14930325735736116</v>
      </c>
      <c r="AC7" s="174">
        <v>9.9501377560582832E-2</v>
      </c>
      <c r="AD7" s="174">
        <v>0.10129195156698031</v>
      </c>
      <c r="AE7" s="155" t="s">
        <v>21</v>
      </c>
      <c r="AF7" s="111">
        <f>AVERAGE(AB7:AD7)</f>
        <v>0.11669886216164144</v>
      </c>
      <c r="AG7" s="111">
        <f>STDEV(AB7:AD7)</f>
        <v>2.8250424392867061E-2</v>
      </c>
      <c r="AH7" s="166">
        <f>X78-X55</f>
        <v>25000000</v>
      </c>
      <c r="AI7" s="167">
        <f>X79-X56</f>
        <v>41000000</v>
      </c>
      <c r="AJ7" s="167">
        <f>X80-X57</f>
        <v>41000000</v>
      </c>
      <c r="AK7" s="135">
        <f t="shared" ref="AK7:AK11" si="8">AVERAGE(AH7:AJ7)</f>
        <v>35666666.666666664</v>
      </c>
      <c r="AL7" s="136">
        <f t="shared" ref="AL7:AL11" si="9">STDEV(AH7:AJ7)</f>
        <v>9237604.3070340082</v>
      </c>
      <c r="AM7" s="166">
        <f>X55</f>
        <v>51000000</v>
      </c>
      <c r="AN7" s="167">
        <f>X56</f>
        <v>57000000</v>
      </c>
      <c r="AO7" s="167">
        <f>X57</f>
        <v>54000000</v>
      </c>
      <c r="AP7" s="135">
        <f t="shared" ref="AP7:AP11" si="10">AVERAGE(AM7:AO7)</f>
        <v>54000000</v>
      </c>
      <c r="AQ7" s="136">
        <f t="shared" ref="AQ7:AQ11" si="11">STDEV(AM7:AO7)</f>
        <v>3000000</v>
      </c>
      <c r="AR7" s="162">
        <f t="shared" ref="AR7:AR11" si="12">AH7/(AH7+AM7)</f>
        <v>0.32894736842105265</v>
      </c>
      <c r="AS7" s="163">
        <f t="shared" si="4"/>
        <v>0.41836734693877553</v>
      </c>
      <c r="AT7" s="163">
        <f t="shared" si="4"/>
        <v>0.43157894736842106</v>
      </c>
      <c r="AU7" s="25">
        <f t="shared" ref="AU7:AU11" si="13">AVERAGE(AR7:AT7)</f>
        <v>0.39296455424274973</v>
      </c>
      <c r="AV7" s="26">
        <f t="shared" ref="AV7:AV11" si="14">STDEV(AR7:AT7)</f>
        <v>5.583266657500309E-2</v>
      </c>
      <c r="AW7" s="162">
        <f t="shared" ref="AW7:AW11" si="15">AM7/(AH7+AM7)</f>
        <v>0.67105263157894735</v>
      </c>
      <c r="AX7" s="163">
        <f t="shared" si="5"/>
        <v>0.58163265306122447</v>
      </c>
      <c r="AY7" s="163">
        <f t="shared" si="5"/>
        <v>0.56842105263157894</v>
      </c>
      <c r="AZ7" s="25">
        <f t="shared" ref="AZ7:AZ11" si="16">AVERAGE(AW7:AY7)</f>
        <v>0.60703544575725032</v>
      </c>
      <c r="BA7" s="26">
        <f t="shared" ref="BA7:BA11" si="17">STDEV(AW7:AY7)</f>
        <v>5.5832666575002701E-2</v>
      </c>
      <c r="BB7" s="87">
        <f t="shared" ref="BB7:BC14" si="18">H7*0.46</f>
        <v>3.5880000000000002E-2</v>
      </c>
      <c r="BC7" s="87">
        <f t="shared" si="18"/>
        <v>1.2170456030897129E-3</v>
      </c>
    </row>
    <row r="8" spans="1:84" x14ac:dyDescent="0.25">
      <c r="A8" s="155" t="s">
        <v>22</v>
      </c>
      <c r="B8" s="158">
        <v>42423.628472222219</v>
      </c>
      <c r="C8" s="168">
        <f>(B8-$B$6)*24</f>
        <v>5.3333333332557231</v>
      </c>
      <c r="D8" s="169">
        <v>0.14299999999999999</v>
      </c>
      <c r="E8" s="170">
        <v>0.13600000000000001</v>
      </c>
      <c r="F8" s="170">
        <v>0.14199999999999999</v>
      </c>
      <c r="G8" s="170">
        <v>0</v>
      </c>
      <c r="H8" s="31">
        <f t="shared" si="0"/>
        <v>0.14033333333333334</v>
      </c>
      <c r="I8" s="32">
        <f t="shared" si="1"/>
        <v>3.7859388972001696E-3</v>
      </c>
      <c r="J8" s="171">
        <v>6.54</v>
      </c>
      <c r="K8" s="172">
        <v>6.51</v>
      </c>
      <c r="L8" s="172">
        <v>6.55</v>
      </c>
      <c r="M8" s="172">
        <v>7.05</v>
      </c>
      <c r="N8" s="35">
        <f t="shared" si="2"/>
        <v>6.5333333333333341</v>
      </c>
      <c r="O8" s="36">
        <f t="shared" si="3"/>
        <v>2.0816659994661379E-2</v>
      </c>
      <c r="P8" s="171"/>
      <c r="Q8" s="172"/>
      <c r="R8" s="172"/>
      <c r="S8" s="172"/>
      <c r="T8" s="35"/>
      <c r="U8" s="36"/>
      <c r="V8" s="164"/>
      <c r="W8" s="165"/>
      <c r="X8" s="165"/>
      <c r="Y8" s="165"/>
      <c r="Z8" s="85"/>
      <c r="AA8" s="86"/>
      <c r="AF8" s="81"/>
      <c r="AG8" s="81"/>
      <c r="AH8" s="166"/>
      <c r="AI8" s="167">
        <f>X82-X59</f>
        <v>62000000</v>
      </c>
      <c r="AJ8" s="167">
        <f>X83-X60</f>
        <v>46000000</v>
      </c>
      <c r="AK8" s="135">
        <f t="shared" si="8"/>
        <v>54000000</v>
      </c>
      <c r="AL8" s="136">
        <f t="shared" si="9"/>
        <v>11313708.49898476</v>
      </c>
      <c r="AM8" s="166"/>
      <c r="AN8" s="167">
        <f>X59</f>
        <v>101000000</v>
      </c>
      <c r="AO8" s="167">
        <f>X60</f>
        <v>120000000</v>
      </c>
      <c r="AP8" s="135">
        <f t="shared" si="10"/>
        <v>110500000</v>
      </c>
      <c r="AQ8" s="136">
        <f t="shared" si="11"/>
        <v>13435028.842544403</v>
      </c>
      <c r="AR8" s="162"/>
      <c r="AS8" s="163">
        <f t="shared" si="4"/>
        <v>0.38036809815950923</v>
      </c>
      <c r="AT8" s="163">
        <f t="shared" si="4"/>
        <v>0.27710843373493976</v>
      </c>
      <c r="AU8" s="25">
        <f t="shared" si="13"/>
        <v>0.3287382659472245</v>
      </c>
      <c r="AV8" s="26">
        <f t="shared" si="14"/>
        <v>7.3015608937660334E-2</v>
      </c>
      <c r="AW8" s="162"/>
      <c r="AX8" s="163">
        <f t="shared" si="5"/>
        <v>0.61963190184049077</v>
      </c>
      <c r="AY8" s="163">
        <f t="shared" si="5"/>
        <v>0.72289156626506024</v>
      </c>
      <c r="AZ8" s="25">
        <f t="shared" si="16"/>
        <v>0.67126173405277556</v>
      </c>
      <c r="BA8" s="26">
        <f t="shared" si="17"/>
        <v>7.3015608937660362E-2</v>
      </c>
      <c r="BB8" s="87">
        <f t="shared" si="18"/>
        <v>6.4553333333333338E-2</v>
      </c>
      <c r="BC8" s="87">
        <f t="shared" si="18"/>
        <v>1.741531892712078E-3</v>
      </c>
    </row>
    <row r="9" spans="1:84" x14ac:dyDescent="0.25">
      <c r="A9" s="155" t="s">
        <v>23</v>
      </c>
      <c r="B9" s="158">
        <v>42423.734722222223</v>
      </c>
      <c r="C9" s="168">
        <f t="shared" ref="C9:C14" si="19">(B9-$B$6)*24</f>
        <v>7.8833333333604969</v>
      </c>
      <c r="D9" s="169">
        <v>0.25800000000000001</v>
      </c>
      <c r="E9" s="170">
        <v>0.24399999999999999</v>
      </c>
      <c r="F9" s="170">
        <v>0.25800000000000001</v>
      </c>
      <c r="G9" s="170">
        <v>1E-3</v>
      </c>
      <c r="H9" s="31">
        <f t="shared" si="0"/>
        <v>0.25333333333333335</v>
      </c>
      <c r="I9" s="32">
        <f t="shared" si="1"/>
        <v>8.0829037686547672E-3</v>
      </c>
      <c r="J9" s="171">
        <v>6.08</v>
      </c>
      <c r="K9" s="172">
        <v>5.96</v>
      </c>
      <c r="L9" s="172">
        <v>6.05</v>
      </c>
      <c r="M9" s="172">
        <v>7.05</v>
      </c>
      <c r="N9" s="35">
        <f t="shared" si="2"/>
        <v>6.03</v>
      </c>
      <c r="O9" s="36">
        <f t="shared" si="3"/>
        <v>6.2449979983984001E-2</v>
      </c>
      <c r="P9" s="171"/>
      <c r="Q9" s="172"/>
      <c r="R9" s="172"/>
      <c r="S9" s="172"/>
      <c r="T9" s="35"/>
      <c r="U9" s="36"/>
      <c r="V9" s="164"/>
      <c r="W9" s="165"/>
      <c r="X9" s="165"/>
      <c r="Y9" s="165"/>
      <c r="Z9" s="85"/>
      <c r="AA9" s="86"/>
      <c r="AF9" s="81"/>
      <c r="AG9" s="81"/>
      <c r="AH9" s="166">
        <f>X84-X61</f>
        <v>150000000</v>
      </c>
      <c r="AI9" s="167">
        <f>X85-X63</f>
        <v>-20000000</v>
      </c>
      <c r="AJ9" s="167">
        <f>X86-X65</f>
        <v>-10000000</v>
      </c>
      <c r="AK9" s="135">
        <f t="shared" si="8"/>
        <v>40000000</v>
      </c>
      <c r="AL9" s="136">
        <f t="shared" si="9"/>
        <v>95393920.141694561</v>
      </c>
      <c r="AM9" s="166">
        <f>X61</f>
        <v>380000000</v>
      </c>
      <c r="AN9" s="167">
        <f>X63</f>
        <v>310000000</v>
      </c>
      <c r="AO9" s="167">
        <f>X65</f>
        <v>370000000</v>
      </c>
      <c r="AP9" s="135">
        <f t="shared" si="10"/>
        <v>353333333.33333331</v>
      </c>
      <c r="AQ9" s="136">
        <f t="shared" si="11"/>
        <v>37859388.972001821</v>
      </c>
      <c r="AR9" s="162">
        <f t="shared" si="12"/>
        <v>0.28301886792452829</v>
      </c>
      <c r="AS9" s="163">
        <f t="shared" si="4"/>
        <v>-6.8965517241379309E-2</v>
      </c>
      <c r="AT9" s="163">
        <f t="shared" si="4"/>
        <v>-2.7777777777777776E-2</v>
      </c>
      <c r="AU9" s="25">
        <f t="shared" si="13"/>
        <v>6.2091857635123739E-2</v>
      </c>
      <c r="AV9" s="26">
        <f t="shared" si="14"/>
        <v>0.19243353495971374</v>
      </c>
      <c r="AW9" s="162">
        <f t="shared" si="15"/>
        <v>0.71698113207547165</v>
      </c>
      <c r="AX9" s="163">
        <f t="shared" si="5"/>
        <v>1.0689655172413792</v>
      </c>
      <c r="AY9" s="163">
        <f t="shared" si="5"/>
        <v>1.0277777777777777</v>
      </c>
      <c r="AZ9" s="25">
        <f t="shared" si="16"/>
        <v>0.93790814236487619</v>
      </c>
      <c r="BA9" s="26">
        <f t="shared" si="17"/>
        <v>0.1924335349597136</v>
      </c>
      <c r="BB9" s="87">
        <f t="shared" si="18"/>
        <v>0.11653333333333335</v>
      </c>
      <c r="BC9" s="87">
        <f t="shared" si="18"/>
        <v>3.7181357335811932E-3</v>
      </c>
    </row>
    <row r="10" spans="1:84" x14ac:dyDescent="0.25">
      <c r="A10" s="155" t="s">
        <v>24</v>
      </c>
      <c r="B10" s="158">
        <v>42423.854861111111</v>
      </c>
      <c r="C10" s="168">
        <f t="shared" si="19"/>
        <v>10.766666666662786</v>
      </c>
      <c r="D10" s="169">
        <f>0.277*2</f>
        <v>0.55400000000000005</v>
      </c>
      <c r="E10" s="170">
        <f>0.268*2</f>
        <v>0.53600000000000003</v>
      </c>
      <c r="F10" s="170">
        <f>0.285*2</f>
        <v>0.56999999999999995</v>
      </c>
      <c r="G10" s="170">
        <v>0</v>
      </c>
      <c r="H10" s="31">
        <f t="shared" si="0"/>
        <v>0.55333333333333334</v>
      </c>
      <c r="I10" s="32">
        <f t="shared" si="1"/>
        <v>1.7009801096230726E-2</v>
      </c>
      <c r="J10" s="171">
        <v>5.81</v>
      </c>
      <c r="K10" s="172">
        <v>5.33</v>
      </c>
      <c r="L10" s="172">
        <v>5.58</v>
      </c>
      <c r="M10" s="172">
        <v>7.02</v>
      </c>
      <c r="N10" s="35">
        <f t="shared" si="2"/>
        <v>5.5733333333333333</v>
      </c>
      <c r="O10" s="36">
        <f t="shared" si="3"/>
        <v>0.24006943440041095</v>
      </c>
      <c r="P10" s="171"/>
      <c r="Q10" s="172"/>
      <c r="R10" s="172"/>
      <c r="S10" s="172"/>
      <c r="T10" s="35"/>
      <c r="U10" s="36"/>
      <c r="V10" s="164"/>
      <c r="W10" s="165"/>
      <c r="X10" s="165"/>
      <c r="Y10" s="165"/>
      <c r="Z10" s="85"/>
      <c r="AA10" s="86"/>
      <c r="AF10" s="81"/>
      <c r="AG10" s="81"/>
      <c r="AH10" s="166"/>
      <c r="AI10" s="167">
        <f>X88-X68</f>
        <v>-120000000</v>
      </c>
      <c r="AJ10" s="167">
        <f>X89-X69</f>
        <v>120000000</v>
      </c>
      <c r="AK10" s="135">
        <f t="shared" si="8"/>
        <v>0</v>
      </c>
      <c r="AL10" s="136">
        <f t="shared" si="9"/>
        <v>169705627.4847714</v>
      </c>
      <c r="AM10" s="166">
        <f>X67</f>
        <v>870000000</v>
      </c>
      <c r="AN10" s="167">
        <f>X68</f>
        <v>1020000000</v>
      </c>
      <c r="AO10" s="167">
        <f>X69</f>
        <v>1200000000</v>
      </c>
      <c r="AP10" s="135">
        <f t="shared" si="10"/>
        <v>1030000000</v>
      </c>
      <c r="AQ10" s="136">
        <f t="shared" si="11"/>
        <v>165227116.41858307</v>
      </c>
      <c r="AR10" s="162"/>
      <c r="AS10" s="163">
        <f t="shared" si="4"/>
        <v>-0.13333333333333333</v>
      </c>
      <c r="AT10" s="163">
        <f t="shared" si="4"/>
        <v>9.0909090909090912E-2</v>
      </c>
      <c r="AU10" s="25">
        <f t="shared" si="13"/>
        <v>-2.121212121212121E-2</v>
      </c>
      <c r="AV10" s="26">
        <f t="shared" si="14"/>
        <v>0.15856333881152884</v>
      </c>
      <c r="AW10" s="162"/>
      <c r="AX10" s="163">
        <f t="shared" si="5"/>
        <v>1.1333333333333333</v>
      </c>
      <c r="AY10" s="163">
        <f t="shared" si="5"/>
        <v>0.90909090909090906</v>
      </c>
      <c r="AZ10" s="25">
        <f t="shared" si="16"/>
        <v>1.0212121212121212</v>
      </c>
      <c r="BA10" s="26">
        <f t="shared" si="17"/>
        <v>0.15856333881152887</v>
      </c>
      <c r="BB10" s="87">
        <f t="shared" si="18"/>
        <v>0.25453333333333333</v>
      </c>
      <c r="BC10" s="87">
        <f t="shared" si="18"/>
        <v>7.8245085042661349E-3</v>
      </c>
    </row>
    <row r="11" spans="1:84" x14ac:dyDescent="0.25">
      <c r="A11" s="155" t="s">
        <v>40</v>
      </c>
      <c r="B11" s="158">
        <v>42423.96875</v>
      </c>
      <c r="C11" s="168">
        <f t="shared" si="19"/>
        <v>13.5</v>
      </c>
      <c r="D11" s="169">
        <f>0.251*3</f>
        <v>0.753</v>
      </c>
      <c r="E11" s="170">
        <f>0.269*3</f>
        <v>0.80700000000000005</v>
      </c>
      <c r="F11" s="170">
        <f>0.276*3</f>
        <v>0.82800000000000007</v>
      </c>
      <c r="G11" s="170">
        <v>0</v>
      </c>
      <c r="H11" s="31">
        <f t="shared" si="0"/>
        <v>0.79599999999999993</v>
      </c>
      <c r="I11" s="32">
        <f t="shared" si="1"/>
        <v>3.8691084244306242E-2</v>
      </c>
      <c r="J11" s="171">
        <v>5.42</v>
      </c>
      <c r="K11" s="172">
        <v>5.31</v>
      </c>
      <c r="L11" s="172">
        <v>5.28</v>
      </c>
      <c r="M11" s="172">
        <v>7.03</v>
      </c>
      <c r="N11" s="35">
        <f t="shared" si="2"/>
        <v>5.3366666666666669</v>
      </c>
      <c r="O11" s="36">
        <f t="shared" si="3"/>
        <v>7.3711147958319873E-2</v>
      </c>
      <c r="P11" s="121">
        <v>23.466092544310769</v>
      </c>
      <c r="Q11" s="173">
        <v>23.841644233788298</v>
      </c>
      <c r="R11" s="173">
        <v>23.615531804367876</v>
      </c>
      <c r="S11" s="173">
        <v>29.815704586531133</v>
      </c>
      <c r="T11" s="35">
        <f t="shared" si="6"/>
        <v>23.641089527488983</v>
      </c>
      <c r="U11" s="36">
        <f t="shared" si="7"/>
        <v>0.18907582017727145</v>
      </c>
      <c r="V11" s="164" t="s">
        <v>21</v>
      </c>
      <c r="W11" s="165" t="s">
        <v>21</v>
      </c>
      <c r="X11" s="165" t="s">
        <v>21</v>
      </c>
      <c r="Y11" s="165" t="s">
        <v>21</v>
      </c>
      <c r="Z11" s="85">
        <v>0</v>
      </c>
      <c r="AA11" s="86">
        <v>0</v>
      </c>
      <c r="AB11" s="155" t="s">
        <v>21</v>
      </c>
      <c r="AC11" s="155" t="s">
        <v>21</v>
      </c>
      <c r="AD11" s="155" t="s">
        <v>21</v>
      </c>
      <c r="AE11" s="155" t="s">
        <v>21</v>
      </c>
      <c r="AF11" s="81">
        <v>0</v>
      </c>
      <c r="AG11" s="81">
        <v>0</v>
      </c>
      <c r="AH11" s="166">
        <f>X90-X70</f>
        <v>230000000</v>
      </c>
      <c r="AI11" s="167">
        <f>X91-X71</f>
        <v>-170000000</v>
      </c>
      <c r="AJ11" s="167">
        <f>X92-X72</f>
        <v>-110000000</v>
      </c>
      <c r="AK11" s="135">
        <f t="shared" si="8"/>
        <v>-16666666.666666666</v>
      </c>
      <c r="AL11" s="136">
        <f t="shared" si="9"/>
        <v>215715862.49817917</v>
      </c>
      <c r="AM11" s="166">
        <f>X70</f>
        <v>1920000000</v>
      </c>
      <c r="AN11" s="167">
        <f>X71</f>
        <v>1880000000</v>
      </c>
      <c r="AO11" s="167">
        <f>X72</f>
        <v>1900000000</v>
      </c>
      <c r="AP11" s="135">
        <f t="shared" si="10"/>
        <v>1900000000</v>
      </c>
      <c r="AQ11" s="136">
        <f t="shared" si="11"/>
        <v>20000000</v>
      </c>
      <c r="AR11" s="162">
        <f t="shared" si="12"/>
        <v>0.10697674418604651</v>
      </c>
      <c r="AS11" s="163">
        <f t="shared" si="4"/>
        <v>-9.9415204678362568E-2</v>
      </c>
      <c r="AT11" s="163">
        <f t="shared" si="4"/>
        <v>-6.1452513966480445E-2</v>
      </c>
      <c r="AU11" s="25">
        <f t="shared" si="13"/>
        <v>-1.7963658152932167E-2</v>
      </c>
      <c r="AV11" s="26">
        <f t="shared" si="14"/>
        <v>0.10985385552628958</v>
      </c>
      <c r="AW11" s="162">
        <f t="shared" si="15"/>
        <v>0.89302325581395348</v>
      </c>
      <c r="AX11" s="163">
        <f t="shared" si="5"/>
        <v>1.0994152046783625</v>
      </c>
      <c r="AY11" s="163">
        <f t="shared" si="5"/>
        <v>1.0614525139664805</v>
      </c>
      <c r="AZ11" s="25">
        <f t="shared" si="16"/>
        <v>1.0179636581529321</v>
      </c>
      <c r="BA11" s="26">
        <f t="shared" si="17"/>
        <v>0.10985385552628961</v>
      </c>
      <c r="BB11" s="87">
        <f t="shared" si="18"/>
        <v>0.36615999999999999</v>
      </c>
      <c r="BC11" s="87">
        <f t="shared" si="18"/>
        <v>1.7797898752380872E-2</v>
      </c>
    </row>
    <row r="12" spans="1:84" x14ac:dyDescent="0.25">
      <c r="A12" s="155" t="s">
        <v>46</v>
      </c>
      <c r="B12" s="158">
        <v>42424.089583333334</v>
      </c>
      <c r="C12" s="159">
        <f t="shared" si="19"/>
        <v>16.400000000023283</v>
      </c>
      <c r="D12" s="160">
        <f>0.231*4</f>
        <v>0.92400000000000004</v>
      </c>
      <c r="E12" s="161">
        <f>0.241*4</f>
        <v>0.96399999999999997</v>
      </c>
      <c r="F12" s="161">
        <f>0.239*4</f>
        <v>0.95599999999999996</v>
      </c>
      <c r="G12" s="161">
        <v>0</v>
      </c>
      <c r="H12" s="21">
        <f t="shared" si="0"/>
        <v>0.94799999999999995</v>
      </c>
      <c r="I12" s="22">
        <f t="shared" si="1"/>
        <v>2.1166010488516681E-2</v>
      </c>
      <c r="J12" s="162">
        <v>4.59</v>
      </c>
      <c r="K12" s="163">
        <v>4.4000000000000004</v>
      </c>
      <c r="L12" s="163">
        <v>4.53</v>
      </c>
      <c r="M12" s="163">
        <v>7</v>
      </c>
      <c r="N12" s="25">
        <f t="shared" si="2"/>
        <v>4.5066666666666668</v>
      </c>
      <c r="O12" s="26">
        <f t="shared" si="3"/>
        <v>9.7125348562222866E-2</v>
      </c>
      <c r="P12" s="162"/>
      <c r="Q12" s="163"/>
      <c r="R12" s="163"/>
      <c r="S12" s="163"/>
      <c r="T12" s="25"/>
      <c r="U12" s="26"/>
      <c r="V12" s="164"/>
      <c r="W12" s="165"/>
      <c r="X12" s="165"/>
      <c r="Y12" s="165"/>
      <c r="Z12" s="85"/>
      <c r="AA12" s="86"/>
      <c r="AF12" s="81"/>
      <c r="AG12" s="81"/>
      <c r="AH12" s="164"/>
      <c r="AI12" s="165"/>
      <c r="AJ12" s="165"/>
      <c r="AK12" s="85"/>
      <c r="AL12" s="86"/>
      <c r="AM12" s="164"/>
      <c r="AN12" s="165"/>
      <c r="AO12" s="165"/>
      <c r="AP12" s="165"/>
      <c r="AQ12" s="175"/>
      <c r="AR12" s="164"/>
      <c r="AS12" s="165"/>
      <c r="AT12" s="165"/>
      <c r="AU12" s="165"/>
      <c r="AV12" s="175"/>
      <c r="AW12" s="164"/>
      <c r="AX12" s="165"/>
      <c r="AY12" s="165"/>
      <c r="AZ12" s="165"/>
      <c r="BA12" s="175"/>
      <c r="BB12" s="87">
        <f t="shared" si="18"/>
        <v>0.43608000000000002</v>
      </c>
      <c r="BC12" s="87">
        <f t="shared" si="18"/>
        <v>9.7363648247176734E-3</v>
      </c>
    </row>
    <row r="13" spans="1:84" x14ac:dyDescent="0.25">
      <c r="A13" s="155" t="s">
        <v>65</v>
      </c>
      <c r="B13" s="158">
        <v>42424.293749999997</v>
      </c>
      <c r="C13" s="159">
        <f t="shared" si="19"/>
        <v>21.299999999930151</v>
      </c>
      <c r="D13" s="160">
        <f>0.247*4</f>
        <v>0.98799999999999999</v>
      </c>
      <c r="E13" s="161">
        <f>0.252*4</f>
        <v>1.008</v>
      </c>
      <c r="F13" s="161">
        <f>0.264*4</f>
        <v>1.056</v>
      </c>
      <c r="G13" s="161">
        <v>-1E-3</v>
      </c>
      <c r="H13" s="21">
        <f t="shared" si="0"/>
        <v>1.0173333333333334</v>
      </c>
      <c r="I13" s="22">
        <f t="shared" si="1"/>
        <v>3.4947579792216452E-2</v>
      </c>
      <c r="J13" s="162">
        <v>4.34</v>
      </c>
      <c r="K13" s="163">
        <v>4.1900000000000004</v>
      </c>
      <c r="L13" s="163">
        <v>4.16</v>
      </c>
      <c r="M13" s="163">
        <v>6.98</v>
      </c>
      <c r="N13" s="25">
        <f t="shared" si="2"/>
        <v>4.2300000000000004</v>
      </c>
      <c r="O13" s="26">
        <f t="shared" si="3"/>
        <v>9.6436507609929334E-2</v>
      </c>
      <c r="P13" s="162">
        <v>22.19926707513239</v>
      </c>
      <c r="Q13" s="163">
        <v>21.824968253881984</v>
      </c>
      <c r="R13" s="163">
        <v>21.00990446944261</v>
      </c>
      <c r="S13" s="163">
        <v>30.033244244996286</v>
      </c>
      <c r="T13" s="25">
        <f t="shared" ref="T13:T16" si="20">AVERAGE(P13:R13)</f>
        <v>21.678046599485658</v>
      </c>
      <c r="U13" s="26">
        <f t="shared" ref="U13:U16" si="21">STDEV(P13:R13)</f>
        <v>0.60814088117081089</v>
      </c>
      <c r="V13" s="164"/>
      <c r="W13" s="165"/>
      <c r="X13" s="165"/>
      <c r="Y13" s="165"/>
      <c r="Z13" s="85">
        <v>0</v>
      </c>
      <c r="AA13" s="86">
        <v>0</v>
      </c>
      <c r="AF13" s="81">
        <v>0</v>
      </c>
      <c r="AG13" s="81">
        <v>0</v>
      </c>
      <c r="AH13" s="164"/>
      <c r="AI13" s="165"/>
      <c r="AJ13" s="165"/>
      <c r="AK13" s="165"/>
      <c r="AL13" s="175"/>
      <c r="AM13" s="164"/>
      <c r="AN13" s="165"/>
      <c r="AO13" s="165"/>
      <c r="AP13" s="165"/>
      <c r="AQ13" s="175"/>
      <c r="AR13" s="164"/>
      <c r="AS13" s="165"/>
      <c r="AT13" s="165"/>
      <c r="AU13" s="165"/>
      <c r="AV13" s="175"/>
      <c r="AW13" s="164"/>
      <c r="AX13" s="165"/>
      <c r="AY13" s="165"/>
      <c r="AZ13" s="165"/>
      <c r="BA13" s="175"/>
      <c r="BB13" s="87">
        <f t="shared" si="18"/>
        <v>0.46797333333333341</v>
      </c>
      <c r="BC13" s="87">
        <f t="shared" si="18"/>
        <v>1.6075886704419569E-2</v>
      </c>
    </row>
    <row r="14" spans="1:84" x14ac:dyDescent="0.25">
      <c r="A14" s="155" t="s">
        <v>66</v>
      </c>
      <c r="B14" s="158">
        <v>42424.510416666664</v>
      </c>
      <c r="C14" s="176">
        <f t="shared" si="19"/>
        <v>26.499999999941792</v>
      </c>
      <c r="D14" s="177">
        <f>0.247*4</f>
        <v>0.98799999999999999</v>
      </c>
      <c r="E14" s="178">
        <f>0.255*4</f>
        <v>1.02</v>
      </c>
      <c r="F14" s="178">
        <f>0.273*4</f>
        <v>1.0920000000000001</v>
      </c>
      <c r="G14" s="178">
        <v>2E-3</v>
      </c>
      <c r="H14" s="42">
        <f t="shared" si="0"/>
        <v>1.0333333333333334</v>
      </c>
      <c r="I14" s="43">
        <f t="shared" si="1"/>
        <v>5.3266624947835191E-2</v>
      </c>
      <c r="J14" s="179">
        <v>4.32</v>
      </c>
      <c r="K14" s="180">
        <v>4.16</v>
      </c>
      <c r="L14" s="180">
        <v>4.12</v>
      </c>
      <c r="M14" s="180">
        <v>6.96</v>
      </c>
      <c r="N14" s="46">
        <f t="shared" si="2"/>
        <v>4.2</v>
      </c>
      <c r="O14" s="47">
        <f t="shared" si="3"/>
        <v>0.10583005244258371</v>
      </c>
      <c r="P14" s="179">
        <v>21.889018676381195</v>
      </c>
      <c r="Q14" s="180">
        <v>21.455693630914428</v>
      </c>
      <c r="R14" s="180">
        <v>20.485243525966737</v>
      </c>
      <c r="S14" s="180">
        <v>30.373578355217948</v>
      </c>
      <c r="T14" s="46">
        <f t="shared" si="20"/>
        <v>21.276651944420788</v>
      </c>
      <c r="U14" s="47">
        <f t="shared" si="21"/>
        <v>0.71881020607469714</v>
      </c>
      <c r="V14" s="181"/>
      <c r="W14" s="182"/>
      <c r="X14" s="182"/>
      <c r="Y14" s="182"/>
      <c r="Z14" s="104">
        <v>0</v>
      </c>
      <c r="AA14" s="80">
        <v>0</v>
      </c>
      <c r="AB14" s="181"/>
      <c r="AC14" s="182"/>
      <c r="AD14" s="182"/>
      <c r="AE14" s="182"/>
      <c r="AF14" s="104">
        <v>0</v>
      </c>
      <c r="AG14" s="80">
        <v>0</v>
      </c>
      <c r="AH14" s="181"/>
      <c r="AI14" s="182"/>
      <c r="AJ14" s="182"/>
      <c r="AK14" s="182"/>
      <c r="AL14" s="183"/>
      <c r="AM14" s="181"/>
      <c r="AN14" s="182"/>
      <c r="AO14" s="182"/>
      <c r="AP14" s="182"/>
      <c r="AQ14" s="183"/>
      <c r="AR14" s="181"/>
      <c r="AS14" s="182"/>
      <c r="AT14" s="182"/>
      <c r="AU14" s="182"/>
      <c r="AV14" s="183"/>
      <c r="AW14" s="181"/>
      <c r="AX14" s="182"/>
      <c r="AY14" s="182"/>
      <c r="AZ14" s="182"/>
      <c r="BA14" s="183"/>
      <c r="BB14" s="87">
        <f t="shared" si="18"/>
        <v>0.47533333333333339</v>
      </c>
      <c r="BC14" s="87">
        <f t="shared" si="18"/>
        <v>2.450264747600419E-2</v>
      </c>
    </row>
    <row r="15" spans="1:84" ht="18.75" x14ac:dyDescent="0.35">
      <c r="B15" s="158"/>
      <c r="C15" s="48" t="s">
        <v>117</v>
      </c>
      <c r="D15" s="163">
        <f>LN(LOGEST(D7:D11,$C$7:$C$11))</f>
        <v>0.21546564445843208</v>
      </c>
      <c r="E15" s="163">
        <f t="shared" ref="E15:F15" si="22">LN(LOGEST(E7:E11,$C$7:$C$11))</f>
        <v>0.22606576544387003</v>
      </c>
      <c r="F15" s="163">
        <f t="shared" si="22"/>
        <v>0.22760971501675945</v>
      </c>
      <c r="G15" s="161"/>
      <c r="H15" s="25">
        <f>AVERAGE(D15:F15)</f>
        <v>0.22304704163968717</v>
      </c>
      <c r="I15" s="26">
        <f>STDEV(D15:F15)</f>
        <v>6.6109101102543718E-3</v>
      </c>
      <c r="K15" s="163"/>
      <c r="L15" s="163"/>
      <c r="M15" s="50"/>
      <c r="N15" s="163"/>
      <c r="O15" s="123" t="s">
        <v>87</v>
      </c>
      <c r="P15" s="174">
        <f>(P7-P11)</f>
        <v>4.455086451613564</v>
      </c>
      <c r="Q15" s="174">
        <f t="shared" ref="Q15:R15" si="23">(Q7-Q11)</f>
        <v>5.8070520239969312</v>
      </c>
      <c r="R15" s="174">
        <f t="shared" si="23"/>
        <v>5.8688777464775441</v>
      </c>
      <c r="S15" s="174"/>
      <c r="T15" s="111">
        <f t="shared" si="20"/>
        <v>5.3770054073626801</v>
      </c>
      <c r="U15" s="51">
        <f t="shared" si="21"/>
        <v>0.79900345788814664</v>
      </c>
      <c r="V15" s="164"/>
      <c r="W15" s="165"/>
      <c r="X15" s="165"/>
      <c r="Y15" s="165"/>
      <c r="Z15" s="165"/>
      <c r="AA15" s="175"/>
      <c r="AH15" s="164"/>
      <c r="AI15" s="165"/>
      <c r="AJ15" s="165"/>
      <c r="AK15" s="165"/>
      <c r="AL15" s="175"/>
      <c r="AM15" s="164"/>
      <c r="AN15" s="165"/>
      <c r="AO15" s="165"/>
      <c r="AP15" s="165"/>
      <c r="AQ15" s="175"/>
      <c r="AR15" s="164"/>
      <c r="AS15" s="165"/>
      <c r="AT15" s="165"/>
      <c r="AU15" s="165"/>
      <c r="AV15" s="175"/>
      <c r="AW15" s="164"/>
      <c r="AX15" s="165"/>
      <c r="AY15" s="165"/>
      <c r="AZ15" s="165"/>
      <c r="BA15" s="175"/>
    </row>
    <row r="16" spans="1:84" ht="18" x14ac:dyDescent="0.35">
      <c r="A16" s="52" t="s">
        <v>27</v>
      </c>
      <c r="B16" s="53"/>
      <c r="C16" s="54" t="s">
        <v>28</v>
      </c>
      <c r="D16" s="174">
        <f>D14*0.46</f>
        <v>0.45448</v>
      </c>
      <c r="E16" s="174">
        <f t="shared" ref="E16:F16" si="24">E14*0.46</f>
        <v>0.46920000000000001</v>
      </c>
      <c r="F16" s="174">
        <f t="shared" si="24"/>
        <v>0.5023200000000001</v>
      </c>
      <c r="G16" s="174"/>
      <c r="H16" s="25">
        <f>AVERAGE(D16:F16)</f>
        <v>0.47533333333333339</v>
      </c>
      <c r="I16" s="26">
        <f>STDEV(D16:F16)</f>
        <v>2.4502647476004221E-2</v>
      </c>
      <c r="K16" s="163"/>
      <c r="L16" s="163"/>
      <c r="M16" s="50"/>
      <c r="N16" s="163"/>
      <c r="O16" s="54" t="s">
        <v>29</v>
      </c>
      <c r="P16" s="174">
        <f>(D11-D7)*0.46</f>
        <v>0.30912000000000001</v>
      </c>
      <c r="Q16" s="174">
        <f t="shared" ref="Q16:R16" si="25">(E11-E7)*0.46</f>
        <v>0.33626000000000006</v>
      </c>
      <c r="R16" s="174">
        <f t="shared" si="25"/>
        <v>0.34546000000000004</v>
      </c>
      <c r="S16" s="174"/>
      <c r="T16" s="111">
        <f t="shared" si="20"/>
        <v>0.33028000000000007</v>
      </c>
      <c r="U16" s="26">
        <f t="shared" si="21"/>
        <v>1.8893628555679845E-2</v>
      </c>
      <c r="V16" s="164"/>
      <c r="W16" s="165"/>
      <c r="X16" s="165"/>
      <c r="Y16" s="165"/>
      <c r="Z16" s="165"/>
      <c r="AA16" s="175"/>
      <c r="AH16" s="164"/>
      <c r="AI16" s="165"/>
      <c r="AJ16" s="165"/>
      <c r="AK16" s="165"/>
      <c r="AL16" s="175"/>
      <c r="AM16" s="164"/>
      <c r="AN16" s="165"/>
      <c r="AO16" s="165"/>
      <c r="AP16" s="165"/>
      <c r="AQ16" s="175"/>
      <c r="AR16" s="164"/>
      <c r="AS16" s="165"/>
      <c r="AT16" s="165"/>
      <c r="AU16" s="165"/>
      <c r="AV16" s="175"/>
      <c r="AW16" s="164"/>
      <c r="AX16" s="165"/>
      <c r="AY16" s="165"/>
      <c r="AZ16" s="165"/>
      <c r="BA16" s="175"/>
    </row>
    <row r="17" spans="2:53" ht="18" x14ac:dyDescent="0.35">
      <c r="B17" s="158"/>
      <c r="C17" s="56"/>
      <c r="D17" s="174"/>
      <c r="E17" s="174"/>
      <c r="F17" s="174"/>
      <c r="H17" s="161"/>
      <c r="I17" s="175"/>
      <c r="M17" s="50"/>
      <c r="O17" s="54" t="s">
        <v>88</v>
      </c>
      <c r="P17" s="163">
        <f>P16/(P15/1000*180.16)</f>
        <v>0.38513465207698905</v>
      </c>
      <c r="Q17" s="163">
        <f t="shared" ref="Q17:R17" si="26">Q16/(Q15/1000*180.16)</f>
        <v>0.32141128319772072</v>
      </c>
      <c r="R17" s="163">
        <f t="shared" si="26"/>
        <v>0.32672647903429619</v>
      </c>
      <c r="S17" s="163"/>
      <c r="T17" s="25">
        <f>AVERAGE(P17:R17)</f>
        <v>0.34442413810300199</v>
      </c>
      <c r="U17" s="26">
        <f>STDEV(P17:R17)</f>
        <v>3.5356361347216342E-2</v>
      </c>
      <c r="V17" s="164"/>
      <c r="W17" s="165"/>
      <c r="X17" s="165"/>
      <c r="Y17" s="165"/>
      <c r="Z17" s="165"/>
      <c r="AA17" s="175"/>
      <c r="AB17" s="164"/>
      <c r="AC17" s="165"/>
      <c r="AD17" s="165"/>
      <c r="AE17" s="165"/>
      <c r="AF17" s="165"/>
      <c r="AG17" s="175"/>
      <c r="AH17" s="164"/>
      <c r="AI17" s="165"/>
      <c r="AJ17" s="165"/>
      <c r="AK17" s="165"/>
      <c r="AL17" s="175"/>
      <c r="AM17" s="164"/>
      <c r="AN17" s="165"/>
      <c r="AO17" s="165"/>
      <c r="AP17" s="165"/>
      <c r="AQ17" s="175"/>
      <c r="AR17" s="164"/>
      <c r="AS17" s="165"/>
      <c r="AT17" s="165"/>
      <c r="AU17" s="165"/>
      <c r="AV17" s="175"/>
      <c r="AW17" s="164"/>
      <c r="AX17" s="165"/>
      <c r="AY17" s="165"/>
      <c r="AZ17" s="165"/>
      <c r="BA17" s="175"/>
    </row>
    <row r="18" spans="2:53" ht="18.75" x14ac:dyDescent="0.35">
      <c r="B18" s="158"/>
      <c r="C18" s="56"/>
      <c r="D18" s="174"/>
      <c r="E18" s="174"/>
      <c r="F18" s="174"/>
      <c r="H18" s="161"/>
      <c r="I18" s="175"/>
      <c r="M18" s="50"/>
      <c r="O18" s="54" t="s">
        <v>32</v>
      </c>
      <c r="P18" s="163">
        <f>D15*(P15)</f>
        <v>0.95991807341494595</v>
      </c>
      <c r="Q18" s="163">
        <f t="shared" ref="Q18:R18" si="27">E15*(Q15)</f>
        <v>1.3127756607772409</v>
      </c>
      <c r="R18" s="163">
        <f t="shared" si="27"/>
        <v>1.3358135913439553</v>
      </c>
      <c r="S18" s="163"/>
      <c r="T18" s="25">
        <f>AVERAGE(P18:R18)</f>
        <v>1.2028357751787142</v>
      </c>
      <c r="U18" s="26">
        <f>STDEV(P18:R18)</f>
        <v>0.21068802513157306</v>
      </c>
      <c r="V18" s="164"/>
      <c r="W18" s="165"/>
      <c r="X18" s="165"/>
      <c r="Y18" s="165"/>
      <c r="Z18" s="165"/>
      <c r="AA18" s="175"/>
      <c r="AB18" s="164"/>
      <c r="AC18" s="165"/>
      <c r="AD18" s="165"/>
      <c r="AE18" s="165"/>
      <c r="AF18" s="165"/>
      <c r="AG18" s="175"/>
      <c r="AH18" s="164"/>
      <c r="AI18" s="165"/>
      <c r="AJ18" s="165"/>
      <c r="AK18" s="165"/>
      <c r="AL18" s="175"/>
      <c r="AM18" s="164"/>
      <c r="AN18" s="165"/>
      <c r="AO18" s="165"/>
      <c r="AP18" s="165"/>
      <c r="AQ18" s="175"/>
      <c r="AR18" s="164"/>
      <c r="AS18" s="165"/>
      <c r="AT18" s="165"/>
      <c r="AU18" s="165"/>
      <c r="AV18" s="175"/>
      <c r="AW18" s="164"/>
      <c r="AX18" s="165"/>
      <c r="AY18" s="165"/>
      <c r="AZ18" s="165"/>
      <c r="BA18" s="175"/>
    </row>
    <row r="19" spans="2:53" ht="18.75" x14ac:dyDescent="0.35">
      <c r="B19" s="158"/>
      <c r="C19" s="61"/>
      <c r="D19" s="180"/>
      <c r="E19" s="180"/>
      <c r="F19" s="180"/>
      <c r="G19" s="182"/>
      <c r="H19" s="178"/>
      <c r="I19" s="184"/>
      <c r="J19" s="185"/>
      <c r="K19" s="182"/>
      <c r="L19" s="182"/>
      <c r="M19" s="65"/>
      <c r="N19" s="182"/>
      <c r="O19" s="124" t="s">
        <v>118</v>
      </c>
      <c r="P19" s="180">
        <f>D15*(P15/P16)</f>
        <v>3.1053250304572528</v>
      </c>
      <c r="Q19" s="180">
        <f>E15*(Q15/Q16)</f>
        <v>3.904049428350802</v>
      </c>
      <c r="R19" s="180">
        <f>F15*(R15/R16)</f>
        <v>3.8667677628204573</v>
      </c>
      <c r="S19" s="180"/>
      <c r="T19" s="46">
        <f>AVERAGE(P19:R19)</f>
        <v>3.6253807405428375</v>
      </c>
      <c r="U19" s="47">
        <f>STDEV(P19:R19)</f>
        <v>0.45076705385447735</v>
      </c>
      <c r="V19" s="181"/>
      <c r="W19" s="182"/>
      <c r="X19" s="182"/>
      <c r="Y19" s="182"/>
      <c r="Z19" s="182"/>
      <c r="AA19" s="183"/>
      <c r="AB19" s="181"/>
      <c r="AC19" s="182"/>
      <c r="AD19" s="182"/>
      <c r="AE19" s="182"/>
      <c r="AF19" s="182"/>
      <c r="AG19" s="183"/>
      <c r="AH19" s="181"/>
      <c r="AI19" s="182"/>
      <c r="AJ19" s="182"/>
      <c r="AK19" s="182"/>
      <c r="AL19" s="183"/>
      <c r="AM19" s="181"/>
      <c r="AN19" s="182"/>
      <c r="AO19" s="182"/>
      <c r="AP19" s="182"/>
      <c r="AQ19" s="183"/>
      <c r="AR19" s="181"/>
      <c r="AS19" s="182"/>
      <c r="AT19" s="182"/>
      <c r="AU19" s="182"/>
      <c r="AV19" s="183"/>
      <c r="AW19" s="181"/>
      <c r="AX19" s="182"/>
      <c r="AY19" s="182"/>
      <c r="AZ19" s="182"/>
      <c r="BA19" s="183"/>
    </row>
    <row r="20" spans="2:53" x14ac:dyDescent="0.25">
      <c r="B20" s="158"/>
      <c r="C20" s="125"/>
      <c r="D20" s="163"/>
      <c r="E20" s="163"/>
      <c r="F20" s="163"/>
      <c r="G20" s="165"/>
      <c r="H20" s="161"/>
      <c r="I20" s="69" t="s">
        <v>34</v>
      </c>
      <c r="J20" s="174">
        <f>P16/(J7-J11)</f>
        <v>0.21466666666666662</v>
      </c>
      <c r="K20" s="174">
        <f>Q16/(K7-K11)</f>
        <v>0.21555128205128202</v>
      </c>
      <c r="L20" s="174">
        <f>R16/(L7-L11)</f>
        <v>0.21864556962025319</v>
      </c>
      <c r="M20" s="165"/>
      <c r="N20" s="111">
        <f>AVERAGE(J20:L20)</f>
        <v>0.21628783944606725</v>
      </c>
      <c r="O20" s="26">
        <f>STDEV(J20:L20)</f>
        <v>2.0892115200176913E-3</v>
      </c>
      <c r="P20" s="163"/>
      <c r="Q20" s="163"/>
      <c r="R20" s="163"/>
      <c r="S20" s="163"/>
      <c r="T20" s="163"/>
      <c r="U20" s="163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</row>
    <row r="21" spans="2:53" x14ac:dyDescent="0.25">
      <c r="B21" s="158"/>
      <c r="C21" s="125"/>
      <c r="D21" s="163"/>
      <c r="E21" s="163"/>
      <c r="F21" s="163"/>
      <c r="G21" s="165"/>
      <c r="H21" s="161"/>
      <c r="I21" s="161"/>
      <c r="J21" s="186"/>
      <c r="K21" s="165"/>
      <c r="L21" s="165"/>
      <c r="M21" s="165"/>
      <c r="N21" s="165"/>
      <c r="O21" s="165"/>
      <c r="P21" s="163"/>
      <c r="Q21" s="163"/>
      <c r="R21" s="163"/>
      <c r="S21" s="163"/>
      <c r="T21" s="163"/>
      <c r="U21" s="163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</row>
    <row r="22" spans="2:53" x14ac:dyDescent="0.25">
      <c r="B22" s="158"/>
      <c r="C22" s="125"/>
      <c r="D22" s="163"/>
      <c r="E22" s="163"/>
      <c r="F22" s="163"/>
      <c r="G22" s="165"/>
      <c r="H22" s="161"/>
      <c r="I22" s="161"/>
      <c r="J22" s="186"/>
      <c r="K22" s="127" t="s">
        <v>47</v>
      </c>
      <c r="L22" s="165"/>
      <c r="M22" s="165"/>
      <c r="N22" s="165"/>
      <c r="O22" s="100" t="s">
        <v>48</v>
      </c>
      <c r="P22" s="163">
        <f>P15*6</f>
        <v>26.730518709681384</v>
      </c>
      <c r="Q22" s="163">
        <f t="shared" ref="Q22:R22" si="28">Q15*6</f>
        <v>34.842312143981587</v>
      </c>
      <c r="R22" s="163">
        <f t="shared" si="28"/>
        <v>35.213266478865265</v>
      </c>
      <c r="S22" s="163"/>
      <c r="T22" s="163"/>
      <c r="U22" s="163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</row>
    <row r="23" spans="2:53" x14ac:dyDescent="0.25">
      <c r="B23" s="158"/>
      <c r="C23" s="125"/>
      <c r="D23" s="163"/>
      <c r="E23" s="163"/>
      <c r="F23" s="163"/>
      <c r="G23" s="165"/>
      <c r="H23" s="161"/>
      <c r="I23" s="161"/>
      <c r="J23" s="186"/>
      <c r="K23" s="165"/>
      <c r="L23" s="165"/>
      <c r="M23" s="165"/>
      <c r="N23" s="165"/>
      <c r="O23" s="100" t="s">
        <v>50</v>
      </c>
      <c r="P23" s="163">
        <f>P16*0.5/12.01*1000</f>
        <v>12.869275603663613</v>
      </c>
      <c r="Q23" s="163">
        <f t="shared" ref="Q23:R23" si="29">Q16*0.5/12.01*1000</f>
        <v>13.999167360532892</v>
      </c>
      <c r="R23" s="163">
        <f t="shared" si="29"/>
        <v>14.382181515403831</v>
      </c>
      <c r="S23" s="79" t="s">
        <v>17</v>
      </c>
      <c r="T23" s="101" t="s">
        <v>18</v>
      </c>
      <c r="U23" s="51" t="s">
        <v>51</v>
      </c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</row>
    <row r="24" spans="2:53" x14ac:dyDescent="0.25">
      <c r="B24" s="158"/>
      <c r="C24" s="125"/>
      <c r="D24" s="163"/>
      <c r="E24" s="163"/>
      <c r="F24" s="163"/>
      <c r="G24" s="165"/>
      <c r="H24" s="161"/>
      <c r="I24" s="161"/>
      <c r="J24" s="186"/>
      <c r="K24" s="165"/>
      <c r="L24" s="165"/>
      <c r="M24" s="165"/>
      <c r="N24" s="165"/>
      <c r="O24" s="100" t="s">
        <v>52</v>
      </c>
      <c r="P24" s="163">
        <f>P22-P23</f>
        <v>13.861243106017771</v>
      </c>
      <c r="Q24" s="163">
        <f t="shared" ref="Q24:R24" si="30">Q22-Q23</f>
        <v>20.843144783448693</v>
      </c>
      <c r="R24" s="163">
        <f t="shared" si="30"/>
        <v>20.831084963461436</v>
      </c>
      <c r="S24" s="102">
        <f>AVERAGE(P24:R24)</f>
        <v>18.511824284309299</v>
      </c>
      <c r="T24" s="85"/>
      <c r="U24" s="26">
        <f>MEDIAN(P24:R24)</f>
        <v>20.831084963461436</v>
      </c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  <c r="AQ24" s="165"/>
    </row>
    <row r="25" spans="2:53" x14ac:dyDescent="0.25">
      <c r="B25" s="158"/>
      <c r="C25" s="125"/>
      <c r="D25" s="163"/>
      <c r="E25" s="163"/>
      <c r="F25" s="163"/>
      <c r="G25" s="165"/>
      <c r="H25" s="161"/>
      <c r="I25" s="161"/>
      <c r="J25" s="186"/>
      <c r="K25" s="165"/>
      <c r="L25" s="165"/>
      <c r="M25" s="165"/>
      <c r="N25" s="165"/>
      <c r="O25" s="100" t="s">
        <v>53</v>
      </c>
      <c r="P25" s="163">
        <f>(P22-P23)/P22*100</f>
        <v>51.855496171114112</v>
      </c>
      <c r="Q25" s="163">
        <f t="shared" ref="Q25:R25" si="31">(Q22-Q23)/Q22*100</f>
        <v>59.821359435955202</v>
      </c>
      <c r="R25" s="163">
        <f t="shared" si="31"/>
        <v>59.156923076034694</v>
      </c>
      <c r="S25" s="103">
        <f>AVERAGE(P25:R25)</f>
        <v>56.944592894368007</v>
      </c>
      <c r="T25" s="104">
        <f>STDEV(P25:R25)</f>
        <v>4.419790494250968</v>
      </c>
      <c r="U25" s="47">
        <f>MEDIAN(P25:R25)</f>
        <v>59.156923076034694</v>
      </c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</row>
    <row r="26" spans="2:53" x14ac:dyDescent="0.25">
      <c r="B26" s="158"/>
      <c r="C26" s="125"/>
      <c r="D26" s="163"/>
      <c r="E26" s="163"/>
      <c r="F26" s="163"/>
      <c r="G26" s="165"/>
      <c r="H26" s="161"/>
      <c r="I26" s="161"/>
      <c r="J26" s="186"/>
      <c r="K26" s="9" t="s">
        <v>54</v>
      </c>
      <c r="O26" s="100" t="s">
        <v>55</v>
      </c>
      <c r="P26" s="163">
        <f>P22*4</f>
        <v>106.92207483872554</v>
      </c>
      <c r="Q26" s="163">
        <f t="shared" ref="Q26:R26" si="32">Q22*4</f>
        <v>139.36924857592635</v>
      </c>
      <c r="R26" s="163">
        <f t="shared" si="32"/>
        <v>140.85306591546106</v>
      </c>
      <c r="S26" s="163"/>
      <c r="T26" s="163"/>
      <c r="U26" s="163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</row>
    <row r="27" spans="2:53" x14ac:dyDescent="0.25">
      <c r="B27" s="158"/>
      <c r="C27" s="125"/>
      <c r="D27" s="163"/>
      <c r="E27" s="163"/>
      <c r="F27" s="163"/>
      <c r="G27" s="165"/>
      <c r="H27" s="161"/>
      <c r="I27" s="161"/>
      <c r="J27" s="186"/>
      <c r="O27" s="100" t="s">
        <v>57</v>
      </c>
      <c r="P27" s="174">
        <f>P23*4.1</f>
        <v>52.764029975020811</v>
      </c>
      <c r="Q27" s="174">
        <f t="shared" ref="Q27:R27" si="33">Q23*4.1</f>
        <v>57.396586178184855</v>
      </c>
      <c r="R27" s="174">
        <f t="shared" si="33"/>
        <v>58.966944213155699</v>
      </c>
      <c r="S27" s="79" t="s">
        <v>17</v>
      </c>
      <c r="T27" s="51" t="s">
        <v>51</v>
      </c>
      <c r="U27" s="163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</row>
    <row r="28" spans="2:53" x14ac:dyDescent="0.25">
      <c r="B28" s="158"/>
      <c r="C28" s="125"/>
      <c r="D28" s="163"/>
      <c r="E28" s="163"/>
      <c r="F28" s="163"/>
      <c r="G28" s="165"/>
      <c r="H28" s="161"/>
      <c r="I28" s="161"/>
      <c r="J28" s="186"/>
      <c r="O28" s="100" t="s">
        <v>58</v>
      </c>
      <c r="P28" s="174">
        <f>(P26-P27)</f>
        <v>54.158044863704724</v>
      </c>
      <c r="Q28" s="174">
        <f t="shared" ref="Q28:R28" si="34">(Q26-Q27)</f>
        <v>81.972662397741487</v>
      </c>
      <c r="R28" s="174">
        <f t="shared" si="34"/>
        <v>81.88612170230536</v>
      </c>
      <c r="S28" s="102">
        <f>AVERAGE(P28:R28)</f>
        <v>72.672276321250521</v>
      </c>
      <c r="T28" s="26">
        <f>MEDIAN(P28:R28)</f>
        <v>81.88612170230536</v>
      </c>
      <c r="U28" s="163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</row>
    <row r="29" spans="2:53" x14ac:dyDescent="0.25">
      <c r="B29" s="158"/>
      <c r="C29" s="125"/>
      <c r="D29" s="163"/>
      <c r="E29" s="163"/>
      <c r="F29" s="163"/>
      <c r="G29" s="165"/>
      <c r="H29" s="161"/>
      <c r="I29" s="161"/>
      <c r="J29" s="186"/>
      <c r="O29" s="100" t="s">
        <v>53</v>
      </c>
      <c r="P29" s="174">
        <f>(P26-P27)/P26*100</f>
        <v>50.651883575391963</v>
      </c>
      <c r="Q29" s="174">
        <f t="shared" ref="Q29:R29" si="35">(Q26-Q27)/Q26*100</f>
        <v>58.816893421854076</v>
      </c>
      <c r="R29" s="174">
        <f t="shared" si="35"/>
        <v>58.135846152935564</v>
      </c>
      <c r="S29" s="103">
        <f>AVERAGE(P29:R29)</f>
        <v>55.868207716727198</v>
      </c>
      <c r="T29" s="47">
        <f>MEDIAN(P29:R29)</f>
        <v>58.135846152935564</v>
      </c>
      <c r="U29" s="163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</row>
    <row r="30" spans="2:53" x14ac:dyDescent="0.25">
      <c r="B30" s="158"/>
      <c r="C30" s="125"/>
      <c r="D30" s="163"/>
      <c r="E30" s="163"/>
      <c r="F30" s="163"/>
      <c r="G30" s="165"/>
      <c r="H30" s="161"/>
      <c r="I30" s="161"/>
      <c r="J30" s="186"/>
      <c r="K30" s="9" t="s">
        <v>59</v>
      </c>
      <c r="O30" s="100" t="s">
        <v>60</v>
      </c>
      <c r="P30" s="174">
        <f>P28/4</f>
        <v>13.539511215926181</v>
      </c>
      <c r="Q30" s="174">
        <f t="shared" ref="Q30:R30" si="36">Q28/4</f>
        <v>20.493165599435372</v>
      </c>
      <c r="R30" s="174">
        <f t="shared" si="36"/>
        <v>20.47153042557634</v>
      </c>
      <c r="S30" s="163"/>
      <c r="T30" s="163"/>
      <c r="U30" s="163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</row>
    <row r="31" spans="2:53" x14ac:dyDescent="0.25">
      <c r="B31" s="158"/>
      <c r="C31" s="125"/>
      <c r="D31" s="163"/>
      <c r="E31" s="163"/>
      <c r="F31" s="163"/>
      <c r="G31" s="165"/>
      <c r="H31" s="161"/>
      <c r="I31" s="161"/>
      <c r="J31" s="186"/>
      <c r="O31" s="100" t="s">
        <v>61</v>
      </c>
      <c r="P31" s="174">
        <f>P30/P16</f>
        <v>43.800178622949602</v>
      </c>
      <c r="Q31" s="174">
        <f t="shared" ref="Q31:R31" si="37">Q30/Q16</f>
        <v>60.94440492308145</v>
      </c>
      <c r="R31" s="174">
        <f t="shared" si="37"/>
        <v>59.258757672599828</v>
      </c>
      <c r="S31" s="79" t="s">
        <v>17</v>
      </c>
      <c r="T31" s="51" t="s">
        <v>51</v>
      </c>
      <c r="U31" s="163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</row>
    <row r="32" spans="2:53" x14ac:dyDescent="0.25">
      <c r="B32" s="158"/>
      <c r="C32" s="125"/>
      <c r="D32" s="163"/>
      <c r="E32" s="163"/>
      <c r="F32" s="163"/>
      <c r="G32" s="165"/>
      <c r="H32" s="161"/>
      <c r="I32" s="161"/>
      <c r="J32" s="186"/>
      <c r="O32" s="100" t="s">
        <v>62</v>
      </c>
      <c r="P32" s="174">
        <f>D15*P31</f>
        <v>9.4374337143882769</v>
      </c>
      <c r="Q32" s="174">
        <f t="shared" ref="Q32:R32" si="38">E15*Q31</f>
        <v>13.777443548457569</v>
      </c>
      <c r="R32" s="174">
        <f t="shared" si="38"/>
        <v>13.487868946107653</v>
      </c>
      <c r="S32" s="103">
        <f>AVERAGE(P32:R32)</f>
        <v>12.234248736317832</v>
      </c>
      <c r="T32" s="47">
        <f>MEDIAN(P32:R32)</f>
        <v>13.487868946107653</v>
      </c>
      <c r="U32" s="163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</row>
    <row r="33" spans="1:43" x14ac:dyDescent="0.25">
      <c r="B33" s="158"/>
      <c r="C33" s="125"/>
      <c r="D33" s="163"/>
      <c r="E33" s="163"/>
      <c r="F33" s="163"/>
      <c r="G33" s="165"/>
      <c r="H33" s="161"/>
      <c r="I33" s="161"/>
      <c r="J33" s="186"/>
      <c r="Q33" s="163"/>
      <c r="R33" s="163"/>
      <c r="S33" s="163"/>
      <c r="T33" s="163"/>
      <c r="U33" s="163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</row>
    <row r="34" spans="1:43" x14ac:dyDescent="0.25">
      <c r="B34" s="158"/>
      <c r="C34" s="125"/>
      <c r="D34" s="163"/>
      <c r="E34" s="163"/>
      <c r="F34" s="163"/>
      <c r="G34" s="165"/>
      <c r="H34" s="161"/>
      <c r="I34" s="161"/>
      <c r="J34" s="186"/>
      <c r="K34" s="165"/>
      <c r="L34" s="165"/>
      <c r="M34" s="165"/>
      <c r="N34" s="165"/>
      <c r="O34" s="100"/>
      <c r="P34" s="163"/>
      <c r="Q34" s="163"/>
      <c r="R34" s="163"/>
      <c r="S34" s="163"/>
      <c r="T34" s="163"/>
      <c r="U34" s="163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</row>
    <row r="35" spans="1:43" x14ac:dyDescent="0.25">
      <c r="B35" s="158"/>
      <c r="C35" s="125"/>
      <c r="D35" s="163"/>
      <c r="E35" s="163"/>
      <c r="F35" s="163"/>
      <c r="G35" s="165"/>
      <c r="H35" s="161"/>
      <c r="I35" s="161"/>
      <c r="J35" s="186"/>
      <c r="K35" s="165"/>
      <c r="L35" s="165"/>
      <c r="M35" s="165"/>
      <c r="N35" s="165"/>
      <c r="O35" s="100"/>
      <c r="P35" s="163"/>
      <c r="Q35" s="163"/>
      <c r="R35" s="163"/>
      <c r="S35" s="163"/>
      <c r="T35" s="163"/>
      <c r="U35" s="163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</row>
    <row r="36" spans="1:43" x14ac:dyDescent="0.25">
      <c r="B36" s="158"/>
      <c r="C36" s="125"/>
      <c r="D36" s="163"/>
      <c r="E36" s="163"/>
      <c r="F36" s="163"/>
      <c r="G36" s="165"/>
      <c r="H36" s="161"/>
      <c r="I36" s="161"/>
      <c r="J36" s="186"/>
      <c r="K36" s="165"/>
      <c r="L36" s="165"/>
      <c r="M36" s="165"/>
      <c r="N36" s="165"/>
      <c r="O36" s="100"/>
      <c r="P36" s="163"/>
      <c r="Q36" s="163"/>
      <c r="R36" s="163"/>
      <c r="S36" s="163"/>
      <c r="T36" s="163"/>
      <c r="U36" s="163"/>
      <c r="V36" s="165"/>
      <c r="W36" s="165"/>
      <c r="X36" s="165"/>
      <c r="Y36" s="165"/>
      <c r="Z36" s="165"/>
      <c r="AA36" s="165"/>
      <c r="AB36" s="165"/>
      <c r="AC36" s="165"/>
      <c r="AD36" s="165"/>
      <c r="AE36" s="165"/>
      <c r="AF36" s="165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</row>
    <row r="37" spans="1:43" x14ac:dyDescent="0.25">
      <c r="B37" s="158"/>
      <c r="C37" s="125"/>
      <c r="D37" s="163"/>
      <c r="E37" s="163"/>
      <c r="F37" s="163"/>
      <c r="G37" s="165"/>
      <c r="H37" s="161"/>
      <c r="I37" s="161"/>
      <c r="J37" s="186"/>
      <c r="K37" s="165"/>
      <c r="L37" s="165"/>
      <c r="M37" s="165"/>
      <c r="N37" s="165"/>
      <c r="O37" s="165"/>
      <c r="P37" s="163"/>
      <c r="Q37" s="163"/>
      <c r="R37" s="163"/>
      <c r="S37" s="163"/>
      <c r="T37" s="163"/>
      <c r="U37" s="163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</row>
    <row r="38" spans="1:43" x14ac:dyDescent="0.25">
      <c r="B38" s="158"/>
      <c r="C38" s="125"/>
      <c r="D38" s="163"/>
      <c r="E38" s="163"/>
      <c r="F38" s="163"/>
      <c r="G38" s="165"/>
      <c r="H38" s="161"/>
      <c r="I38" s="161"/>
      <c r="J38" s="186"/>
      <c r="K38" s="165"/>
      <c r="L38" s="165"/>
      <c r="M38" s="165"/>
      <c r="N38" s="165"/>
      <c r="O38" s="165"/>
      <c r="P38" s="163"/>
      <c r="Q38" s="163"/>
      <c r="R38" s="163"/>
      <c r="S38" s="163"/>
      <c r="T38" s="163"/>
      <c r="U38" s="163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</row>
    <row r="39" spans="1:43" x14ac:dyDescent="0.25">
      <c r="B39" s="158"/>
      <c r="C39" s="68"/>
      <c r="D39" s="174"/>
      <c r="E39" s="174"/>
      <c r="F39" s="174"/>
      <c r="O39" s="186"/>
    </row>
    <row r="40" spans="1:43" x14ac:dyDescent="0.25">
      <c r="B40" s="158"/>
      <c r="C40" s="68"/>
      <c r="D40" s="174"/>
      <c r="E40" s="174"/>
      <c r="F40" s="174"/>
    </row>
    <row r="41" spans="1:43" x14ac:dyDescent="0.25">
      <c r="A41" s="9"/>
      <c r="C41" s="73"/>
      <c r="D41" s="187"/>
      <c r="E41" s="74"/>
      <c r="F41" s="73"/>
      <c r="G41" s="187"/>
      <c r="H41" s="74"/>
      <c r="I41" s="73"/>
      <c r="J41" s="187"/>
      <c r="K41" s="74"/>
    </row>
    <row r="42" spans="1:43" x14ac:dyDescent="0.25">
      <c r="E42" s="174"/>
      <c r="H42" s="174"/>
      <c r="K42" s="174"/>
    </row>
    <row r="45" spans="1:43" x14ac:dyDescent="0.25">
      <c r="O45" s="75"/>
      <c r="P45" s="76"/>
      <c r="Q45" s="76"/>
      <c r="R45" s="76"/>
    </row>
    <row r="46" spans="1:43" x14ac:dyDescent="0.25">
      <c r="O46" s="75"/>
      <c r="P46" s="76"/>
      <c r="R46" s="76"/>
    </row>
    <row r="47" spans="1:43" x14ac:dyDescent="0.25">
      <c r="O47" s="75"/>
      <c r="P47" s="77"/>
      <c r="Q47" s="77"/>
      <c r="R47" s="77"/>
    </row>
    <row r="48" spans="1:43" x14ac:dyDescent="0.25">
      <c r="O48" s="75"/>
      <c r="P48" s="76"/>
      <c r="R48" s="76"/>
    </row>
    <row r="50" spans="1:25" x14ac:dyDescent="0.25">
      <c r="A50" s="145" t="s">
        <v>89</v>
      </c>
    </row>
    <row r="51" spans="1:25" x14ac:dyDescent="0.25">
      <c r="B51" s="73" t="s">
        <v>90</v>
      </c>
      <c r="C51" s="73">
        <v>1</v>
      </c>
      <c r="D51" s="73">
        <v>2</v>
      </c>
      <c r="E51" s="73">
        <v>3</v>
      </c>
      <c r="F51" s="73">
        <v>4</v>
      </c>
      <c r="G51" s="73">
        <v>5</v>
      </c>
      <c r="H51" s="73">
        <v>6</v>
      </c>
      <c r="I51" s="73">
        <v>7</v>
      </c>
      <c r="J51" s="73">
        <v>8</v>
      </c>
      <c r="K51" s="73">
        <v>9</v>
      </c>
      <c r="L51" s="73">
        <v>10</v>
      </c>
      <c r="M51" s="73"/>
      <c r="N51" s="73">
        <v>1</v>
      </c>
      <c r="O51" s="73">
        <v>2</v>
      </c>
      <c r="P51" s="73">
        <v>3</v>
      </c>
      <c r="Q51" s="73">
        <v>4</v>
      </c>
      <c r="R51" s="73">
        <v>5</v>
      </c>
      <c r="S51" s="73">
        <v>6</v>
      </c>
      <c r="T51" s="73">
        <v>7</v>
      </c>
      <c r="U51" s="73">
        <v>8</v>
      </c>
      <c r="V51" s="73">
        <v>9</v>
      </c>
      <c r="W51" s="73">
        <v>10</v>
      </c>
      <c r="X51" s="73" t="s">
        <v>91</v>
      </c>
    </row>
    <row r="52" spans="1:25" x14ac:dyDescent="0.25">
      <c r="A52" s="9" t="s">
        <v>92</v>
      </c>
      <c r="B52" s="155">
        <v>5</v>
      </c>
      <c r="C52" s="155">
        <v>5</v>
      </c>
      <c r="D52" s="155">
        <v>5</v>
      </c>
      <c r="E52" s="155">
        <v>3</v>
      </c>
      <c r="F52" s="155">
        <v>1</v>
      </c>
      <c r="G52" s="155">
        <v>2</v>
      </c>
      <c r="H52" s="155">
        <v>5</v>
      </c>
      <c r="I52" s="155">
        <v>0</v>
      </c>
      <c r="J52" s="155">
        <v>7</v>
      </c>
      <c r="K52" s="155">
        <v>2</v>
      </c>
      <c r="L52" s="155">
        <v>5</v>
      </c>
      <c r="N52" s="188">
        <f>(C52/0.01)*10^($B$52)</f>
        <v>50000000</v>
      </c>
      <c r="O52" s="188">
        <f t="shared" ref="O52:W52" si="39">(D52/0.01)*10^($B$52)</f>
        <v>50000000</v>
      </c>
      <c r="P52" s="188">
        <f t="shared" si="39"/>
        <v>30000000</v>
      </c>
      <c r="Q52" s="188">
        <f t="shared" si="39"/>
        <v>10000000</v>
      </c>
      <c r="R52" s="188">
        <f t="shared" si="39"/>
        <v>20000000</v>
      </c>
      <c r="S52" s="188">
        <f t="shared" si="39"/>
        <v>50000000</v>
      </c>
      <c r="T52" s="188">
        <f t="shared" si="39"/>
        <v>0</v>
      </c>
      <c r="U52" s="188">
        <f t="shared" si="39"/>
        <v>70000000</v>
      </c>
      <c r="V52" s="188">
        <f t="shared" si="39"/>
        <v>20000000</v>
      </c>
      <c r="W52" s="188">
        <f t="shared" si="39"/>
        <v>50000000</v>
      </c>
      <c r="X52" s="188">
        <f>AVERAGE(N52:W52)</f>
        <v>35000000</v>
      </c>
      <c r="Y52" s="9" t="s">
        <v>92</v>
      </c>
    </row>
    <row r="53" spans="1:25" x14ac:dyDescent="0.25">
      <c r="A53" s="9" t="s">
        <v>93</v>
      </c>
      <c r="B53" s="155">
        <v>5</v>
      </c>
      <c r="C53" s="155">
        <v>2</v>
      </c>
      <c r="D53" s="155">
        <v>5</v>
      </c>
      <c r="E53" s="155">
        <v>4</v>
      </c>
      <c r="F53" s="155">
        <v>3</v>
      </c>
      <c r="G53" s="155">
        <v>2</v>
      </c>
      <c r="H53" s="155">
        <v>4</v>
      </c>
      <c r="I53" s="155">
        <v>2</v>
      </c>
      <c r="J53" s="155">
        <v>3</v>
      </c>
      <c r="K53" s="155">
        <v>4</v>
      </c>
      <c r="L53" s="155">
        <v>5</v>
      </c>
      <c r="N53" s="188">
        <f>(C53/0.01)*10^($B$53)</f>
        <v>20000000</v>
      </c>
      <c r="O53" s="188">
        <f t="shared" ref="O53:W53" si="40">(D53/0.01)*10^($B$53)</f>
        <v>50000000</v>
      </c>
      <c r="P53" s="188">
        <f t="shared" si="40"/>
        <v>40000000</v>
      </c>
      <c r="Q53" s="188">
        <f t="shared" si="40"/>
        <v>30000000</v>
      </c>
      <c r="R53" s="188">
        <f t="shared" si="40"/>
        <v>20000000</v>
      </c>
      <c r="S53" s="188">
        <f t="shared" si="40"/>
        <v>40000000</v>
      </c>
      <c r="T53" s="188">
        <f t="shared" si="40"/>
        <v>20000000</v>
      </c>
      <c r="U53" s="188">
        <f t="shared" si="40"/>
        <v>30000000</v>
      </c>
      <c r="V53" s="188">
        <f t="shared" si="40"/>
        <v>40000000</v>
      </c>
      <c r="W53" s="188">
        <f t="shared" si="40"/>
        <v>50000000</v>
      </c>
      <c r="X53" s="188">
        <f t="shared" ref="X53:X92" si="41">AVERAGE(N53:W53)</f>
        <v>34000000</v>
      </c>
      <c r="Y53" s="9" t="s">
        <v>93</v>
      </c>
    </row>
    <row r="54" spans="1:25" x14ac:dyDescent="0.25">
      <c r="A54" s="9" t="s">
        <v>94</v>
      </c>
      <c r="B54" s="155">
        <v>5</v>
      </c>
      <c r="C54" s="155">
        <v>4</v>
      </c>
      <c r="D54" s="155">
        <v>2</v>
      </c>
      <c r="E54" s="155">
        <v>5</v>
      </c>
      <c r="F54" s="155">
        <v>4</v>
      </c>
      <c r="G54" s="155">
        <v>7</v>
      </c>
      <c r="H54" s="155">
        <v>5</v>
      </c>
      <c r="I54" s="155">
        <v>4</v>
      </c>
      <c r="J54" s="155">
        <v>1</v>
      </c>
      <c r="K54" s="155">
        <v>1</v>
      </c>
      <c r="L54" s="155">
        <v>0</v>
      </c>
      <c r="N54" s="188">
        <f>(C54/0.01)*10^($B$54)</f>
        <v>40000000</v>
      </c>
      <c r="O54" s="188">
        <f t="shared" ref="O54:W54" si="42">(D54/0.01)*10^($B$54)</f>
        <v>20000000</v>
      </c>
      <c r="P54" s="188">
        <f t="shared" si="42"/>
        <v>50000000</v>
      </c>
      <c r="Q54" s="188">
        <f t="shared" si="42"/>
        <v>40000000</v>
      </c>
      <c r="R54" s="188">
        <f t="shared" si="42"/>
        <v>70000000</v>
      </c>
      <c r="S54" s="188">
        <f t="shared" si="42"/>
        <v>50000000</v>
      </c>
      <c r="T54" s="188">
        <f t="shared" si="42"/>
        <v>40000000</v>
      </c>
      <c r="U54" s="188">
        <f t="shared" si="42"/>
        <v>10000000</v>
      </c>
      <c r="V54" s="188">
        <f t="shared" si="42"/>
        <v>10000000</v>
      </c>
      <c r="W54" s="188">
        <f t="shared" si="42"/>
        <v>0</v>
      </c>
      <c r="X54" s="188">
        <f t="shared" si="41"/>
        <v>33000000</v>
      </c>
      <c r="Y54" s="9" t="s">
        <v>94</v>
      </c>
    </row>
    <row r="55" spans="1:25" x14ac:dyDescent="0.25">
      <c r="A55" s="9" t="s">
        <v>95</v>
      </c>
      <c r="B55" s="155">
        <v>5</v>
      </c>
      <c r="C55" s="155">
        <v>5</v>
      </c>
      <c r="D55" s="155">
        <v>3</v>
      </c>
      <c r="E55" s="155">
        <v>4</v>
      </c>
      <c r="F55" s="155">
        <v>8</v>
      </c>
      <c r="G55" s="155">
        <v>5</v>
      </c>
      <c r="H55" s="155">
        <v>3</v>
      </c>
      <c r="I55" s="155">
        <v>4</v>
      </c>
      <c r="J55" s="155">
        <v>6</v>
      </c>
      <c r="K55" s="155">
        <v>4</v>
      </c>
      <c r="L55" s="155">
        <v>9</v>
      </c>
      <c r="N55" s="188">
        <f>(C55/0.01)*10^($B$55)</f>
        <v>50000000</v>
      </c>
      <c r="O55" s="188">
        <f t="shared" ref="O55:W55" si="43">(D55/0.01)*10^($B$55)</f>
        <v>30000000</v>
      </c>
      <c r="P55" s="188">
        <f t="shared" si="43"/>
        <v>40000000</v>
      </c>
      <c r="Q55" s="188">
        <f t="shared" si="43"/>
        <v>80000000</v>
      </c>
      <c r="R55" s="188">
        <f t="shared" si="43"/>
        <v>50000000</v>
      </c>
      <c r="S55" s="188">
        <f t="shared" si="43"/>
        <v>30000000</v>
      </c>
      <c r="T55" s="188">
        <f t="shared" si="43"/>
        <v>40000000</v>
      </c>
      <c r="U55" s="188">
        <f t="shared" si="43"/>
        <v>60000000</v>
      </c>
      <c r="V55" s="188">
        <f t="shared" si="43"/>
        <v>40000000</v>
      </c>
      <c r="W55" s="188">
        <f t="shared" si="43"/>
        <v>90000000</v>
      </c>
      <c r="X55" s="188">
        <f t="shared" si="41"/>
        <v>51000000</v>
      </c>
      <c r="Y55" s="9" t="s">
        <v>95</v>
      </c>
    </row>
    <row r="56" spans="1:25" x14ac:dyDescent="0.25">
      <c r="A56" s="9" t="s">
        <v>96</v>
      </c>
      <c r="B56" s="155">
        <v>5</v>
      </c>
      <c r="C56" s="155">
        <v>5</v>
      </c>
      <c r="D56" s="155">
        <v>9</v>
      </c>
      <c r="E56" s="155">
        <v>2</v>
      </c>
      <c r="F56" s="155">
        <v>9</v>
      </c>
      <c r="G56" s="155">
        <v>5</v>
      </c>
      <c r="H56" s="155">
        <v>6</v>
      </c>
      <c r="I56" s="155">
        <v>2</v>
      </c>
      <c r="J56" s="155">
        <v>7</v>
      </c>
      <c r="K56" s="155">
        <v>6</v>
      </c>
      <c r="L56" s="155">
        <v>6</v>
      </c>
      <c r="N56" s="188">
        <f>(C56/0.01)*10^($B$56)</f>
        <v>50000000</v>
      </c>
      <c r="O56" s="188">
        <f t="shared" ref="O56:W56" si="44">(D56/0.01)*10^($B$56)</f>
        <v>90000000</v>
      </c>
      <c r="P56" s="188">
        <f t="shared" si="44"/>
        <v>20000000</v>
      </c>
      <c r="Q56" s="188">
        <f t="shared" si="44"/>
        <v>90000000</v>
      </c>
      <c r="R56" s="188">
        <f t="shared" si="44"/>
        <v>50000000</v>
      </c>
      <c r="S56" s="188">
        <f t="shared" si="44"/>
        <v>60000000</v>
      </c>
      <c r="T56" s="188">
        <f t="shared" si="44"/>
        <v>20000000</v>
      </c>
      <c r="U56" s="188">
        <f t="shared" si="44"/>
        <v>70000000</v>
      </c>
      <c r="V56" s="188">
        <f t="shared" si="44"/>
        <v>60000000</v>
      </c>
      <c r="W56" s="188">
        <f t="shared" si="44"/>
        <v>60000000</v>
      </c>
      <c r="X56" s="188">
        <f t="shared" si="41"/>
        <v>57000000</v>
      </c>
      <c r="Y56" s="9" t="s">
        <v>96</v>
      </c>
    </row>
    <row r="57" spans="1:25" x14ac:dyDescent="0.25">
      <c r="A57" s="9" t="s">
        <v>97</v>
      </c>
      <c r="B57" s="155">
        <v>5</v>
      </c>
      <c r="C57" s="155">
        <v>6</v>
      </c>
      <c r="D57" s="155">
        <v>3</v>
      </c>
      <c r="E57" s="155">
        <v>5</v>
      </c>
      <c r="F57" s="155">
        <v>10</v>
      </c>
      <c r="G57" s="155">
        <v>2</v>
      </c>
      <c r="H57" s="155">
        <v>8</v>
      </c>
      <c r="I57" s="155">
        <v>7</v>
      </c>
      <c r="J57" s="155">
        <v>5</v>
      </c>
      <c r="K57" s="155">
        <v>6</v>
      </c>
      <c r="L57" s="155">
        <v>2</v>
      </c>
      <c r="N57" s="188">
        <f>(C57/0.01)*10^($B$57)</f>
        <v>60000000</v>
      </c>
      <c r="O57" s="188">
        <f t="shared" ref="O57:W57" si="45">(D57/0.01)*10^($B$57)</f>
        <v>30000000</v>
      </c>
      <c r="P57" s="188">
        <f t="shared" si="45"/>
        <v>50000000</v>
      </c>
      <c r="Q57" s="188">
        <f t="shared" si="45"/>
        <v>100000000</v>
      </c>
      <c r="R57" s="188">
        <f t="shared" si="45"/>
        <v>20000000</v>
      </c>
      <c r="S57" s="188">
        <f t="shared" si="45"/>
        <v>80000000</v>
      </c>
      <c r="T57" s="188">
        <f t="shared" si="45"/>
        <v>70000000</v>
      </c>
      <c r="U57" s="188">
        <f t="shared" si="45"/>
        <v>50000000</v>
      </c>
      <c r="V57" s="188">
        <f t="shared" si="45"/>
        <v>60000000</v>
      </c>
      <c r="W57" s="188">
        <f t="shared" si="45"/>
        <v>20000000</v>
      </c>
      <c r="X57" s="188">
        <f t="shared" si="41"/>
        <v>54000000</v>
      </c>
      <c r="Y57" s="9" t="s">
        <v>97</v>
      </c>
    </row>
    <row r="58" spans="1:25" x14ac:dyDescent="0.25">
      <c r="A58" s="9" t="s">
        <v>98</v>
      </c>
      <c r="B58" s="155" t="s">
        <v>6</v>
      </c>
      <c r="N58" s="188"/>
      <c r="O58" s="188"/>
      <c r="P58" s="188"/>
      <c r="Q58" s="188"/>
      <c r="R58" s="188"/>
      <c r="S58" s="188"/>
      <c r="T58" s="188"/>
      <c r="U58" s="188"/>
      <c r="V58" s="188"/>
      <c r="W58" s="188"/>
      <c r="X58" s="188"/>
      <c r="Y58" s="9" t="s">
        <v>98</v>
      </c>
    </row>
    <row r="59" spans="1:25" x14ac:dyDescent="0.25">
      <c r="A59" s="9" t="s">
        <v>99</v>
      </c>
      <c r="B59" s="155">
        <v>5</v>
      </c>
      <c r="C59" s="155">
        <v>7</v>
      </c>
      <c r="D59" s="155">
        <v>8</v>
      </c>
      <c r="E59" s="155">
        <v>10</v>
      </c>
      <c r="F59" s="155">
        <v>8</v>
      </c>
      <c r="G59" s="155">
        <v>12</v>
      </c>
      <c r="H59" s="155">
        <v>14</v>
      </c>
      <c r="I59" s="155">
        <v>13</v>
      </c>
      <c r="J59" s="155">
        <v>9</v>
      </c>
      <c r="K59" s="155">
        <v>12</v>
      </c>
      <c r="L59" s="155">
        <v>8</v>
      </c>
      <c r="N59" s="188">
        <f>(C59/0.01)*10^($B$59)</f>
        <v>70000000</v>
      </c>
      <c r="O59" s="188">
        <f t="shared" ref="O59:W59" si="46">(D59/0.01)*10^($B$59)</f>
        <v>80000000</v>
      </c>
      <c r="P59" s="188">
        <f t="shared" si="46"/>
        <v>100000000</v>
      </c>
      <c r="Q59" s="188">
        <f t="shared" si="46"/>
        <v>80000000</v>
      </c>
      <c r="R59" s="188">
        <f t="shared" si="46"/>
        <v>120000000</v>
      </c>
      <c r="S59" s="188">
        <f t="shared" si="46"/>
        <v>140000000</v>
      </c>
      <c r="T59" s="188">
        <f t="shared" si="46"/>
        <v>130000000</v>
      </c>
      <c r="U59" s="188">
        <f t="shared" si="46"/>
        <v>90000000</v>
      </c>
      <c r="V59" s="188">
        <f t="shared" si="46"/>
        <v>120000000</v>
      </c>
      <c r="W59" s="188">
        <f t="shared" si="46"/>
        <v>80000000</v>
      </c>
      <c r="X59" s="188">
        <f t="shared" si="41"/>
        <v>101000000</v>
      </c>
      <c r="Y59" s="9" t="s">
        <v>99</v>
      </c>
    </row>
    <row r="60" spans="1:25" x14ac:dyDescent="0.25">
      <c r="A60" s="9" t="s">
        <v>100</v>
      </c>
      <c r="B60" s="155">
        <v>5</v>
      </c>
      <c r="C60" s="155">
        <v>8</v>
      </c>
      <c r="D60" s="155">
        <v>15</v>
      </c>
      <c r="E60" s="155">
        <v>12</v>
      </c>
      <c r="F60" s="155">
        <v>18</v>
      </c>
      <c r="G60" s="155">
        <v>11</v>
      </c>
      <c r="H60" s="155">
        <v>11</v>
      </c>
      <c r="I60" s="155">
        <v>6</v>
      </c>
      <c r="J60" s="155">
        <v>12</v>
      </c>
      <c r="K60" s="155">
        <v>16</v>
      </c>
      <c r="L60" s="155">
        <v>11</v>
      </c>
      <c r="N60" s="188">
        <f>(C60/0.01)*10^($B$60)</f>
        <v>80000000</v>
      </c>
      <c r="O60" s="188">
        <f t="shared" ref="O60:W60" si="47">(D60/0.01)*10^($B$60)</f>
        <v>150000000</v>
      </c>
      <c r="P60" s="188">
        <f t="shared" si="47"/>
        <v>120000000</v>
      </c>
      <c r="Q60" s="188">
        <f t="shared" si="47"/>
        <v>180000000</v>
      </c>
      <c r="R60" s="188">
        <f t="shared" si="47"/>
        <v>110000000</v>
      </c>
      <c r="S60" s="188">
        <f t="shared" si="47"/>
        <v>110000000</v>
      </c>
      <c r="T60" s="188">
        <f t="shared" si="47"/>
        <v>60000000</v>
      </c>
      <c r="U60" s="188">
        <f t="shared" si="47"/>
        <v>120000000</v>
      </c>
      <c r="V60" s="188">
        <f t="shared" si="47"/>
        <v>160000000</v>
      </c>
      <c r="W60" s="188">
        <f t="shared" si="47"/>
        <v>110000000</v>
      </c>
      <c r="X60" s="188">
        <f t="shared" si="41"/>
        <v>120000000</v>
      </c>
      <c r="Y60" s="9" t="s">
        <v>100</v>
      </c>
    </row>
    <row r="61" spans="1:25" x14ac:dyDescent="0.25">
      <c r="A61" s="9" t="s">
        <v>101</v>
      </c>
      <c r="B61" s="155">
        <v>6</v>
      </c>
      <c r="C61" s="155">
        <v>4</v>
      </c>
      <c r="D61" s="155">
        <v>5</v>
      </c>
      <c r="E61" s="155">
        <v>7</v>
      </c>
      <c r="F61" s="155">
        <v>3</v>
      </c>
      <c r="G61" s="155">
        <v>2</v>
      </c>
      <c r="H61" s="155">
        <v>6</v>
      </c>
      <c r="I61" s="155">
        <v>2</v>
      </c>
      <c r="J61" s="155">
        <v>2</v>
      </c>
      <c r="K61" s="155">
        <v>2</v>
      </c>
      <c r="L61" s="155">
        <v>5</v>
      </c>
      <c r="N61" s="188">
        <f>(C61/0.01)*10^($B$61)</f>
        <v>400000000</v>
      </c>
      <c r="O61" s="188">
        <f t="shared" ref="O61:W61" si="48">(D61/0.01)*10^($B$61)</f>
        <v>500000000</v>
      </c>
      <c r="P61" s="188">
        <f t="shared" si="48"/>
        <v>700000000</v>
      </c>
      <c r="Q61" s="188">
        <f t="shared" si="48"/>
        <v>300000000</v>
      </c>
      <c r="R61" s="188">
        <f t="shared" si="48"/>
        <v>200000000</v>
      </c>
      <c r="S61" s="188">
        <f t="shared" si="48"/>
        <v>600000000</v>
      </c>
      <c r="T61" s="188">
        <f t="shared" si="48"/>
        <v>200000000</v>
      </c>
      <c r="U61" s="188">
        <f t="shared" si="48"/>
        <v>200000000</v>
      </c>
      <c r="V61" s="188">
        <f t="shared" si="48"/>
        <v>200000000</v>
      </c>
      <c r="W61" s="188">
        <f t="shared" si="48"/>
        <v>500000000</v>
      </c>
      <c r="X61" s="188">
        <f t="shared" si="41"/>
        <v>380000000</v>
      </c>
      <c r="Y61" s="9" t="s">
        <v>101</v>
      </c>
    </row>
    <row r="62" spans="1:25" x14ac:dyDescent="0.25">
      <c r="A62" s="9" t="s">
        <v>101</v>
      </c>
      <c r="B62" s="155">
        <v>5</v>
      </c>
      <c r="C62" s="155">
        <v>45</v>
      </c>
      <c r="D62" s="155">
        <v>32</v>
      </c>
      <c r="E62" s="155">
        <v>37</v>
      </c>
      <c r="F62" s="155">
        <v>27</v>
      </c>
      <c r="G62" s="155">
        <v>40</v>
      </c>
      <c r="H62" s="155">
        <v>27</v>
      </c>
      <c r="I62" s="155">
        <v>32</v>
      </c>
      <c r="J62" s="155">
        <v>28</v>
      </c>
      <c r="K62" s="155">
        <v>27</v>
      </c>
      <c r="L62" s="155">
        <v>23</v>
      </c>
      <c r="N62" s="188">
        <f>(C62/0.01)*10^($B$62)</f>
        <v>450000000</v>
      </c>
      <c r="O62" s="188">
        <f t="shared" ref="O62:W62" si="49">(D62/0.01)*10^($B$62)</f>
        <v>320000000</v>
      </c>
      <c r="P62" s="188">
        <f t="shared" si="49"/>
        <v>370000000</v>
      </c>
      <c r="Q62" s="188">
        <f t="shared" si="49"/>
        <v>270000000</v>
      </c>
      <c r="R62" s="188">
        <f t="shared" si="49"/>
        <v>400000000</v>
      </c>
      <c r="S62" s="188">
        <f t="shared" si="49"/>
        <v>270000000</v>
      </c>
      <c r="T62" s="188">
        <f t="shared" si="49"/>
        <v>320000000</v>
      </c>
      <c r="U62" s="188">
        <f t="shared" si="49"/>
        <v>280000000</v>
      </c>
      <c r="V62" s="188">
        <f t="shared" si="49"/>
        <v>270000000</v>
      </c>
      <c r="W62" s="188">
        <f t="shared" si="49"/>
        <v>230000000</v>
      </c>
      <c r="X62" s="188">
        <f t="shared" si="41"/>
        <v>318000000</v>
      </c>
      <c r="Y62" s="9" t="s">
        <v>101</v>
      </c>
    </row>
    <row r="63" spans="1:25" x14ac:dyDescent="0.25">
      <c r="A63" s="9" t="s">
        <v>102</v>
      </c>
      <c r="B63" s="155">
        <v>6</v>
      </c>
      <c r="C63" s="155">
        <v>3</v>
      </c>
      <c r="D63" s="155">
        <v>2</v>
      </c>
      <c r="E63" s="155">
        <v>4</v>
      </c>
      <c r="F63" s="155">
        <v>1</v>
      </c>
      <c r="G63" s="155">
        <v>2</v>
      </c>
      <c r="H63" s="155">
        <v>3</v>
      </c>
      <c r="I63" s="155">
        <v>6</v>
      </c>
      <c r="J63" s="155">
        <v>4</v>
      </c>
      <c r="K63" s="155">
        <v>5</v>
      </c>
      <c r="L63" s="155">
        <v>1</v>
      </c>
      <c r="N63" s="188">
        <f>(C63/0.01)*10^($B$63)</f>
        <v>300000000</v>
      </c>
      <c r="O63" s="188">
        <f t="shared" ref="O63:W63" si="50">(D63/0.01)*10^($B$63)</f>
        <v>200000000</v>
      </c>
      <c r="P63" s="188">
        <f t="shared" si="50"/>
        <v>400000000</v>
      </c>
      <c r="Q63" s="188">
        <f t="shared" si="50"/>
        <v>100000000</v>
      </c>
      <c r="R63" s="188">
        <f t="shared" si="50"/>
        <v>200000000</v>
      </c>
      <c r="S63" s="188">
        <f>(H63/0.01)*10^($B$63)</f>
        <v>300000000</v>
      </c>
      <c r="T63" s="188">
        <f t="shared" si="50"/>
        <v>600000000</v>
      </c>
      <c r="U63" s="188">
        <f t="shared" si="50"/>
        <v>400000000</v>
      </c>
      <c r="V63" s="188">
        <f t="shared" si="50"/>
        <v>500000000</v>
      </c>
      <c r="W63" s="188">
        <f t="shared" si="50"/>
        <v>100000000</v>
      </c>
      <c r="X63" s="188">
        <f t="shared" si="41"/>
        <v>310000000</v>
      </c>
      <c r="Y63" s="9" t="s">
        <v>102</v>
      </c>
    </row>
    <row r="64" spans="1:25" x14ac:dyDescent="0.25">
      <c r="A64" s="9" t="s">
        <v>102</v>
      </c>
      <c r="B64" s="155">
        <v>5</v>
      </c>
      <c r="C64" s="155">
        <v>27</v>
      </c>
      <c r="D64" s="155">
        <v>28</v>
      </c>
      <c r="E64" s="155">
        <v>34</v>
      </c>
      <c r="F64" s="155">
        <v>27</v>
      </c>
      <c r="G64" s="155">
        <v>30</v>
      </c>
      <c r="H64" s="155">
        <v>33</v>
      </c>
      <c r="I64" s="155">
        <v>28</v>
      </c>
      <c r="J64" s="155">
        <v>32</v>
      </c>
      <c r="K64" s="155">
        <v>26</v>
      </c>
      <c r="L64" s="155">
        <v>32</v>
      </c>
      <c r="N64" s="188">
        <f>(C64/0.01)*10^($B$64)</f>
        <v>270000000</v>
      </c>
      <c r="O64" s="188">
        <f t="shared" ref="O64:W64" si="51">(D64/0.01)*10^($B$64)</f>
        <v>280000000</v>
      </c>
      <c r="P64" s="188">
        <f t="shared" si="51"/>
        <v>340000000</v>
      </c>
      <c r="Q64" s="188">
        <f t="shared" si="51"/>
        <v>270000000</v>
      </c>
      <c r="R64" s="188">
        <f t="shared" si="51"/>
        <v>300000000</v>
      </c>
      <c r="S64" s="188">
        <f t="shared" si="51"/>
        <v>330000000</v>
      </c>
      <c r="T64" s="188">
        <f t="shared" si="51"/>
        <v>280000000</v>
      </c>
      <c r="U64" s="188">
        <f t="shared" si="51"/>
        <v>320000000</v>
      </c>
      <c r="V64" s="188">
        <f t="shared" si="51"/>
        <v>260000000</v>
      </c>
      <c r="W64" s="188">
        <f t="shared" si="51"/>
        <v>320000000</v>
      </c>
      <c r="X64" s="188">
        <f t="shared" si="41"/>
        <v>297000000</v>
      </c>
      <c r="Y64" s="9" t="s">
        <v>102</v>
      </c>
    </row>
    <row r="65" spans="1:25" x14ac:dyDescent="0.25">
      <c r="A65" s="9" t="s">
        <v>103</v>
      </c>
      <c r="B65" s="155">
        <v>6</v>
      </c>
      <c r="C65" s="155">
        <v>5</v>
      </c>
      <c r="D65" s="155">
        <v>8</v>
      </c>
      <c r="E65" s="155">
        <v>1</v>
      </c>
      <c r="F65" s="155">
        <v>4</v>
      </c>
      <c r="G65" s="155">
        <v>2</v>
      </c>
      <c r="H65" s="155">
        <v>1</v>
      </c>
      <c r="I65" s="155">
        <v>1</v>
      </c>
      <c r="J65" s="155">
        <v>6</v>
      </c>
      <c r="K65" s="155">
        <v>2</v>
      </c>
      <c r="L65" s="155">
        <v>7</v>
      </c>
      <c r="N65" s="188">
        <f>(C65/0.01)*10^($B$65)</f>
        <v>500000000</v>
      </c>
      <c r="O65" s="188">
        <f t="shared" ref="O65:W65" si="52">(D65/0.01)*10^($B$65)</f>
        <v>800000000</v>
      </c>
      <c r="P65" s="188">
        <f t="shared" si="52"/>
        <v>100000000</v>
      </c>
      <c r="Q65" s="188">
        <f t="shared" si="52"/>
        <v>400000000</v>
      </c>
      <c r="R65" s="188">
        <f t="shared" si="52"/>
        <v>200000000</v>
      </c>
      <c r="S65" s="188">
        <f t="shared" si="52"/>
        <v>100000000</v>
      </c>
      <c r="T65" s="188">
        <f t="shared" si="52"/>
        <v>100000000</v>
      </c>
      <c r="U65" s="188">
        <f t="shared" si="52"/>
        <v>600000000</v>
      </c>
      <c r="V65" s="188">
        <f t="shared" si="52"/>
        <v>200000000</v>
      </c>
      <c r="W65" s="188">
        <f t="shared" si="52"/>
        <v>700000000</v>
      </c>
      <c r="X65" s="188">
        <f t="shared" si="41"/>
        <v>370000000</v>
      </c>
      <c r="Y65" s="9" t="s">
        <v>103</v>
      </c>
    </row>
    <row r="66" spans="1:25" x14ac:dyDescent="0.25">
      <c r="A66" s="9" t="s">
        <v>103</v>
      </c>
      <c r="B66" s="155">
        <v>5</v>
      </c>
      <c r="C66" s="155">
        <v>31</v>
      </c>
      <c r="D66" s="155">
        <v>39</v>
      </c>
      <c r="E66" s="155">
        <v>37</v>
      </c>
      <c r="F66" s="155">
        <v>26</v>
      </c>
      <c r="G66" s="155">
        <v>30</v>
      </c>
      <c r="H66" s="155">
        <v>28</v>
      </c>
      <c r="I66" s="155">
        <v>24</v>
      </c>
      <c r="J66" s="155">
        <v>26</v>
      </c>
      <c r="K66" s="155">
        <v>31</v>
      </c>
      <c r="L66" s="155">
        <v>29</v>
      </c>
      <c r="N66" s="188">
        <f>(C66/0.01)*10^($B$66)</f>
        <v>310000000</v>
      </c>
      <c r="O66" s="188">
        <f t="shared" ref="O66:W66" si="53">(D66/0.01)*10^($B$66)</f>
        <v>390000000</v>
      </c>
      <c r="P66" s="188">
        <f t="shared" si="53"/>
        <v>370000000</v>
      </c>
      <c r="Q66" s="188">
        <f t="shared" si="53"/>
        <v>260000000</v>
      </c>
      <c r="R66" s="188">
        <f t="shared" si="53"/>
        <v>300000000</v>
      </c>
      <c r="S66" s="188">
        <f t="shared" si="53"/>
        <v>280000000</v>
      </c>
      <c r="T66" s="188">
        <f t="shared" si="53"/>
        <v>240000000</v>
      </c>
      <c r="U66" s="188">
        <f t="shared" si="53"/>
        <v>260000000</v>
      </c>
      <c r="V66" s="188">
        <f t="shared" si="53"/>
        <v>310000000</v>
      </c>
      <c r="W66" s="188">
        <f t="shared" si="53"/>
        <v>290000000</v>
      </c>
      <c r="X66" s="188">
        <f t="shared" si="41"/>
        <v>301000000</v>
      </c>
      <c r="Y66" s="9" t="s">
        <v>103</v>
      </c>
    </row>
    <row r="67" spans="1:25" x14ac:dyDescent="0.25">
      <c r="A67" s="9" t="s">
        <v>104</v>
      </c>
      <c r="B67" s="155">
        <v>6</v>
      </c>
      <c r="C67" s="155">
        <v>16</v>
      </c>
      <c r="D67" s="155">
        <v>9</v>
      </c>
      <c r="E67" s="155">
        <v>5</v>
      </c>
      <c r="F67" s="155">
        <v>11</v>
      </c>
      <c r="G67" s="155">
        <v>7</v>
      </c>
      <c r="H67" s="155">
        <v>9</v>
      </c>
      <c r="I67" s="155">
        <v>6</v>
      </c>
      <c r="J67" s="155">
        <v>7</v>
      </c>
      <c r="K67" s="155">
        <v>9</v>
      </c>
      <c r="L67" s="155">
        <v>8</v>
      </c>
      <c r="N67" s="188">
        <f>(C67/0.01)*10^($B$67)</f>
        <v>1600000000</v>
      </c>
      <c r="O67" s="188">
        <f t="shared" ref="O67:W67" si="54">(D67/0.01)*10^($B$67)</f>
        <v>900000000</v>
      </c>
      <c r="P67" s="188">
        <f t="shared" si="54"/>
        <v>500000000</v>
      </c>
      <c r="Q67" s="188">
        <f t="shared" si="54"/>
        <v>1100000000</v>
      </c>
      <c r="R67" s="188">
        <f t="shared" si="54"/>
        <v>700000000</v>
      </c>
      <c r="S67" s="188">
        <f t="shared" si="54"/>
        <v>900000000</v>
      </c>
      <c r="T67" s="188">
        <f t="shared" si="54"/>
        <v>600000000</v>
      </c>
      <c r="U67" s="188">
        <f t="shared" si="54"/>
        <v>700000000</v>
      </c>
      <c r="V67" s="188">
        <f t="shared" si="54"/>
        <v>900000000</v>
      </c>
      <c r="W67" s="188">
        <f t="shared" si="54"/>
        <v>800000000</v>
      </c>
      <c r="X67" s="188">
        <f t="shared" si="41"/>
        <v>870000000</v>
      </c>
      <c r="Y67" s="9" t="s">
        <v>104</v>
      </c>
    </row>
    <row r="68" spans="1:25" x14ac:dyDescent="0.25">
      <c r="A68" s="9" t="s">
        <v>105</v>
      </c>
      <c r="B68" s="155">
        <v>6</v>
      </c>
      <c r="C68" s="155">
        <v>10</v>
      </c>
      <c r="D68" s="155">
        <v>21</v>
      </c>
      <c r="E68" s="155">
        <v>12</v>
      </c>
      <c r="F68" s="155">
        <v>8</v>
      </c>
      <c r="G68" s="155">
        <v>14</v>
      </c>
      <c r="H68" s="155">
        <v>9</v>
      </c>
      <c r="I68" s="155">
        <v>3</v>
      </c>
      <c r="J68" s="155">
        <v>8</v>
      </c>
      <c r="K68" s="155">
        <v>7</v>
      </c>
      <c r="L68" s="155">
        <v>10</v>
      </c>
      <c r="N68" s="188">
        <f>(C68/0.01)*10^($B$68)</f>
        <v>1000000000</v>
      </c>
      <c r="O68" s="188">
        <f t="shared" ref="O68:W68" si="55">(D68/0.01)*10^($B$68)</f>
        <v>2100000000</v>
      </c>
      <c r="P68" s="188">
        <f t="shared" si="55"/>
        <v>1200000000</v>
      </c>
      <c r="Q68" s="188">
        <f t="shared" si="55"/>
        <v>800000000</v>
      </c>
      <c r="R68" s="188">
        <f t="shared" si="55"/>
        <v>1400000000</v>
      </c>
      <c r="S68" s="188">
        <f t="shared" si="55"/>
        <v>900000000</v>
      </c>
      <c r="T68" s="188">
        <f t="shared" si="55"/>
        <v>300000000</v>
      </c>
      <c r="U68" s="188">
        <f t="shared" si="55"/>
        <v>800000000</v>
      </c>
      <c r="V68" s="188">
        <f t="shared" si="55"/>
        <v>700000000</v>
      </c>
      <c r="W68" s="188">
        <f t="shared" si="55"/>
        <v>1000000000</v>
      </c>
      <c r="X68" s="188">
        <f t="shared" si="41"/>
        <v>1020000000</v>
      </c>
      <c r="Y68" s="9" t="s">
        <v>105</v>
      </c>
    </row>
    <row r="69" spans="1:25" x14ac:dyDescent="0.25">
      <c r="A69" s="9" t="s">
        <v>106</v>
      </c>
      <c r="B69" s="155">
        <v>6</v>
      </c>
      <c r="C69" s="155">
        <v>7</v>
      </c>
      <c r="D69" s="155">
        <v>10</v>
      </c>
      <c r="E69" s="155">
        <v>15</v>
      </c>
      <c r="F69" s="155">
        <v>13</v>
      </c>
      <c r="G69" s="155">
        <v>14</v>
      </c>
      <c r="H69" s="155">
        <v>18</v>
      </c>
      <c r="I69" s="155">
        <v>14</v>
      </c>
      <c r="J69" s="155">
        <v>10</v>
      </c>
      <c r="K69" s="155">
        <v>8</v>
      </c>
      <c r="L69" s="155">
        <v>11</v>
      </c>
      <c r="N69" s="188">
        <f>(C69/0.01)*10^($B$69)</f>
        <v>700000000</v>
      </c>
      <c r="O69" s="188">
        <f t="shared" ref="O69:W69" si="56">(D69/0.01)*10^($B$69)</f>
        <v>1000000000</v>
      </c>
      <c r="P69" s="188">
        <f t="shared" si="56"/>
        <v>1500000000</v>
      </c>
      <c r="Q69" s="188">
        <f t="shared" si="56"/>
        <v>1300000000</v>
      </c>
      <c r="R69" s="188">
        <f t="shared" si="56"/>
        <v>1400000000</v>
      </c>
      <c r="S69" s="188">
        <f t="shared" si="56"/>
        <v>1800000000</v>
      </c>
      <c r="T69" s="188">
        <f t="shared" si="56"/>
        <v>1400000000</v>
      </c>
      <c r="U69" s="188">
        <f t="shared" si="56"/>
        <v>1000000000</v>
      </c>
      <c r="V69" s="188">
        <f t="shared" si="56"/>
        <v>800000000</v>
      </c>
      <c r="W69" s="188">
        <f t="shared" si="56"/>
        <v>1100000000</v>
      </c>
      <c r="X69" s="188">
        <f t="shared" si="41"/>
        <v>1200000000</v>
      </c>
      <c r="Y69" s="9" t="s">
        <v>106</v>
      </c>
    </row>
    <row r="70" spans="1:25" x14ac:dyDescent="0.25">
      <c r="A70" s="9" t="s">
        <v>107</v>
      </c>
      <c r="B70" s="155">
        <v>6</v>
      </c>
      <c r="C70" s="155">
        <v>16</v>
      </c>
      <c r="D70" s="155">
        <v>28</v>
      </c>
      <c r="E70" s="155">
        <v>19</v>
      </c>
      <c r="F70" s="155">
        <v>20</v>
      </c>
      <c r="G70" s="155">
        <v>20</v>
      </c>
      <c r="H70" s="155">
        <v>26</v>
      </c>
      <c r="I70" s="155">
        <v>15</v>
      </c>
      <c r="J70" s="155">
        <v>11</v>
      </c>
      <c r="K70" s="155">
        <v>19</v>
      </c>
      <c r="L70" s="155">
        <v>18</v>
      </c>
      <c r="N70" s="188">
        <f>(C70/0.01)*10^($B$70)</f>
        <v>1600000000</v>
      </c>
      <c r="O70" s="188">
        <f t="shared" ref="O70:W70" si="57">(D70/0.01)*10^($B$70)</f>
        <v>2800000000</v>
      </c>
      <c r="P70" s="188">
        <f t="shared" si="57"/>
        <v>1900000000</v>
      </c>
      <c r="Q70" s="188">
        <f t="shared" si="57"/>
        <v>2000000000</v>
      </c>
      <c r="R70" s="188">
        <f t="shared" si="57"/>
        <v>2000000000</v>
      </c>
      <c r="S70" s="188">
        <f t="shared" si="57"/>
        <v>2600000000</v>
      </c>
      <c r="T70" s="188">
        <f t="shared" si="57"/>
        <v>1500000000</v>
      </c>
      <c r="U70" s="188">
        <f t="shared" si="57"/>
        <v>1100000000</v>
      </c>
      <c r="V70" s="188">
        <f t="shared" si="57"/>
        <v>1900000000</v>
      </c>
      <c r="W70" s="188">
        <f t="shared" si="57"/>
        <v>1800000000</v>
      </c>
      <c r="X70" s="188">
        <f t="shared" si="41"/>
        <v>1920000000</v>
      </c>
      <c r="Y70" s="9" t="s">
        <v>107</v>
      </c>
    </row>
    <row r="71" spans="1:25" x14ac:dyDescent="0.25">
      <c r="A71" s="9" t="s">
        <v>108</v>
      </c>
      <c r="B71" s="155">
        <v>6</v>
      </c>
      <c r="C71" s="155">
        <v>16</v>
      </c>
      <c r="D71" s="155">
        <v>14</v>
      </c>
      <c r="E71" s="155">
        <v>20</v>
      </c>
      <c r="F71" s="155">
        <v>24</v>
      </c>
      <c r="G71" s="155">
        <v>13</v>
      </c>
      <c r="H71" s="155">
        <v>26</v>
      </c>
      <c r="I71" s="155">
        <v>16</v>
      </c>
      <c r="J71" s="155">
        <v>23</v>
      </c>
      <c r="K71" s="155">
        <v>18</v>
      </c>
      <c r="L71" s="155">
        <v>18</v>
      </c>
      <c r="N71" s="188">
        <f>(C71/0.01)*10^($B$71)</f>
        <v>1600000000</v>
      </c>
      <c r="O71" s="188">
        <f t="shared" ref="O71:W71" si="58">(D71/0.01)*10^($B$71)</f>
        <v>1400000000</v>
      </c>
      <c r="P71" s="188">
        <f t="shared" si="58"/>
        <v>2000000000</v>
      </c>
      <c r="Q71" s="188">
        <f t="shared" si="58"/>
        <v>2400000000</v>
      </c>
      <c r="R71" s="188">
        <f t="shared" si="58"/>
        <v>1300000000</v>
      </c>
      <c r="S71" s="188">
        <f t="shared" si="58"/>
        <v>2600000000</v>
      </c>
      <c r="T71" s="188">
        <f t="shared" si="58"/>
        <v>1600000000</v>
      </c>
      <c r="U71" s="188">
        <f t="shared" si="58"/>
        <v>2300000000</v>
      </c>
      <c r="V71" s="188">
        <f t="shared" si="58"/>
        <v>1800000000</v>
      </c>
      <c r="W71" s="188">
        <f t="shared" si="58"/>
        <v>1800000000</v>
      </c>
      <c r="X71" s="188">
        <f t="shared" si="41"/>
        <v>1880000000</v>
      </c>
      <c r="Y71" s="9" t="s">
        <v>108</v>
      </c>
    </row>
    <row r="72" spans="1:25" x14ac:dyDescent="0.25">
      <c r="A72" s="9" t="s">
        <v>109</v>
      </c>
      <c r="B72" s="155">
        <v>6</v>
      </c>
      <c r="C72" s="155">
        <v>19</v>
      </c>
      <c r="D72" s="155">
        <v>25</v>
      </c>
      <c r="E72" s="155">
        <v>24</v>
      </c>
      <c r="F72" s="155">
        <v>15</v>
      </c>
      <c r="G72" s="155">
        <v>15</v>
      </c>
      <c r="H72" s="155">
        <v>14</v>
      </c>
      <c r="I72" s="155">
        <v>22</v>
      </c>
      <c r="J72" s="155">
        <v>14</v>
      </c>
      <c r="K72" s="155">
        <v>22</v>
      </c>
      <c r="L72" s="155">
        <v>20</v>
      </c>
      <c r="N72" s="188">
        <f>(C72/0.01)*10^($B$72)</f>
        <v>1900000000</v>
      </c>
      <c r="O72" s="188">
        <f t="shared" ref="O72:W72" si="59">(D72/0.01)*10^($B$72)</f>
        <v>2500000000</v>
      </c>
      <c r="P72" s="188">
        <f t="shared" si="59"/>
        <v>2400000000</v>
      </c>
      <c r="Q72" s="188">
        <f t="shared" si="59"/>
        <v>1500000000</v>
      </c>
      <c r="R72" s="188">
        <f t="shared" si="59"/>
        <v>1500000000</v>
      </c>
      <c r="S72" s="188">
        <f t="shared" si="59"/>
        <v>1400000000</v>
      </c>
      <c r="T72" s="188">
        <f t="shared" si="59"/>
        <v>2200000000</v>
      </c>
      <c r="U72" s="188">
        <f t="shared" si="59"/>
        <v>1400000000</v>
      </c>
      <c r="V72" s="188">
        <f t="shared" si="59"/>
        <v>2200000000</v>
      </c>
      <c r="W72" s="188">
        <f t="shared" si="59"/>
        <v>2000000000</v>
      </c>
      <c r="X72" s="188">
        <f t="shared" si="41"/>
        <v>1900000000</v>
      </c>
      <c r="Y72" s="9" t="s">
        <v>109</v>
      </c>
    </row>
    <row r="73" spans="1:25" x14ac:dyDescent="0.25"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</row>
    <row r="74" spans="1:25" x14ac:dyDescent="0.25">
      <c r="A74" s="145" t="s">
        <v>113</v>
      </c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</row>
    <row r="75" spans="1:25" x14ac:dyDescent="0.25">
      <c r="A75" s="9" t="s">
        <v>92</v>
      </c>
      <c r="B75" s="155">
        <v>5</v>
      </c>
      <c r="C75" s="155">
        <v>14</v>
      </c>
      <c r="D75" s="155">
        <v>5</v>
      </c>
      <c r="E75" s="155">
        <v>4</v>
      </c>
      <c r="F75" s="155">
        <v>3</v>
      </c>
      <c r="G75" s="155">
        <v>11</v>
      </c>
      <c r="H75" s="155">
        <v>4</v>
      </c>
      <c r="I75" s="155">
        <v>6</v>
      </c>
      <c r="J75" s="155">
        <v>5</v>
      </c>
      <c r="K75" s="155">
        <v>8</v>
      </c>
      <c r="L75" s="155">
        <v>6</v>
      </c>
      <c r="N75" s="188">
        <f>(C75/0.01)*10^($B$75)</f>
        <v>140000000</v>
      </c>
      <c r="O75" s="188">
        <f t="shared" ref="O75:W75" si="60">(D75/0.01)*10^($B$75)</f>
        <v>50000000</v>
      </c>
      <c r="P75" s="188">
        <f t="shared" si="60"/>
        <v>40000000</v>
      </c>
      <c r="Q75" s="188">
        <f t="shared" si="60"/>
        <v>30000000</v>
      </c>
      <c r="R75" s="188">
        <f t="shared" si="60"/>
        <v>110000000</v>
      </c>
      <c r="S75" s="188">
        <f t="shared" si="60"/>
        <v>40000000</v>
      </c>
      <c r="T75" s="188">
        <f t="shared" si="60"/>
        <v>60000000</v>
      </c>
      <c r="U75" s="188">
        <f t="shared" si="60"/>
        <v>50000000</v>
      </c>
      <c r="V75" s="188">
        <f t="shared" si="60"/>
        <v>80000000</v>
      </c>
      <c r="W75" s="188">
        <f t="shared" si="60"/>
        <v>60000000</v>
      </c>
      <c r="X75" s="188">
        <f t="shared" si="41"/>
        <v>66000000</v>
      </c>
      <c r="Y75" s="9" t="s">
        <v>92</v>
      </c>
    </row>
    <row r="76" spans="1:25" x14ac:dyDescent="0.25">
      <c r="A76" s="9" t="s">
        <v>93</v>
      </c>
      <c r="B76" s="155">
        <v>5</v>
      </c>
      <c r="C76" s="155">
        <v>10</v>
      </c>
      <c r="D76" s="155">
        <v>5</v>
      </c>
      <c r="E76" s="155">
        <v>9</v>
      </c>
      <c r="F76" s="155">
        <v>9</v>
      </c>
      <c r="G76" s="155">
        <v>6</v>
      </c>
      <c r="H76" s="155">
        <v>5</v>
      </c>
      <c r="I76" s="155">
        <v>11</v>
      </c>
      <c r="J76" s="155">
        <v>7</v>
      </c>
      <c r="K76" s="155">
        <v>6</v>
      </c>
      <c r="L76" s="155">
        <v>6</v>
      </c>
      <c r="N76" s="188">
        <f>(C76/0.01)*10^($B$76)</f>
        <v>100000000</v>
      </c>
      <c r="O76" s="188">
        <f t="shared" ref="O76:W76" si="61">(D76/0.01)*10^($B$76)</f>
        <v>50000000</v>
      </c>
      <c r="P76" s="188">
        <f t="shared" si="61"/>
        <v>90000000</v>
      </c>
      <c r="Q76" s="188">
        <f t="shared" si="61"/>
        <v>90000000</v>
      </c>
      <c r="R76" s="188">
        <f t="shared" si="61"/>
        <v>60000000</v>
      </c>
      <c r="S76" s="188">
        <f t="shared" si="61"/>
        <v>50000000</v>
      </c>
      <c r="T76" s="188">
        <f t="shared" si="61"/>
        <v>110000000</v>
      </c>
      <c r="U76" s="188">
        <f t="shared" si="61"/>
        <v>70000000</v>
      </c>
      <c r="V76" s="188">
        <f t="shared" si="61"/>
        <v>60000000</v>
      </c>
      <c r="W76" s="188">
        <f t="shared" si="61"/>
        <v>60000000</v>
      </c>
      <c r="X76" s="188">
        <f t="shared" si="41"/>
        <v>74000000</v>
      </c>
      <c r="Y76" s="9" t="s">
        <v>93</v>
      </c>
    </row>
    <row r="77" spans="1:25" x14ac:dyDescent="0.25">
      <c r="A77" s="9" t="s">
        <v>94</v>
      </c>
      <c r="B77" s="155">
        <v>5</v>
      </c>
      <c r="C77" s="155">
        <v>6</v>
      </c>
      <c r="D77" s="155">
        <v>6</v>
      </c>
      <c r="E77" s="155">
        <v>7</v>
      </c>
      <c r="F77" s="155">
        <v>6</v>
      </c>
      <c r="G77" s="155">
        <v>5</v>
      </c>
      <c r="H77" s="155">
        <v>8</v>
      </c>
      <c r="I77" s="155">
        <v>6</v>
      </c>
      <c r="J77" s="155">
        <v>3</v>
      </c>
      <c r="K77" s="155">
        <v>7</v>
      </c>
      <c r="L77" s="155">
        <v>2</v>
      </c>
      <c r="N77" s="188">
        <f>(C77/0.01)*10^($B$77)</f>
        <v>60000000</v>
      </c>
      <c r="O77" s="188">
        <f t="shared" ref="O77:W77" si="62">(D77/0.01)*10^($B$77)</f>
        <v>60000000</v>
      </c>
      <c r="P77" s="188">
        <f t="shared" si="62"/>
        <v>70000000</v>
      </c>
      <c r="Q77" s="188">
        <f t="shared" si="62"/>
        <v>60000000</v>
      </c>
      <c r="R77" s="188">
        <f t="shared" si="62"/>
        <v>50000000</v>
      </c>
      <c r="S77" s="188">
        <f t="shared" si="62"/>
        <v>80000000</v>
      </c>
      <c r="T77" s="188">
        <f t="shared" si="62"/>
        <v>60000000</v>
      </c>
      <c r="U77" s="188">
        <f t="shared" si="62"/>
        <v>30000000</v>
      </c>
      <c r="V77" s="188">
        <f t="shared" si="62"/>
        <v>70000000</v>
      </c>
      <c r="W77" s="188">
        <f t="shared" si="62"/>
        <v>20000000</v>
      </c>
      <c r="X77" s="188">
        <f t="shared" si="41"/>
        <v>56000000</v>
      </c>
      <c r="Y77" s="9" t="s">
        <v>94</v>
      </c>
    </row>
    <row r="78" spans="1:25" x14ac:dyDescent="0.25">
      <c r="A78" s="9" t="s">
        <v>95</v>
      </c>
      <c r="B78" s="155">
        <v>5</v>
      </c>
      <c r="C78" s="155">
        <v>7</v>
      </c>
      <c r="D78" s="155">
        <v>7</v>
      </c>
      <c r="E78" s="155">
        <v>8</v>
      </c>
      <c r="F78" s="155">
        <v>7</v>
      </c>
      <c r="G78" s="155">
        <v>7</v>
      </c>
      <c r="H78" s="155">
        <v>9</v>
      </c>
      <c r="I78" s="155">
        <v>8</v>
      </c>
      <c r="J78" s="155">
        <v>7</v>
      </c>
      <c r="K78" s="155">
        <v>8</v>
      </c>
      <c r="L78" s="155">
        <v>8</v>
      </c>
      <c r="N78" s="188">
        <f>(C78/0.01)*10^($B$78)</f>
        <v>70000000</v>
      </c>
      <c r="O78" s="188">
        <f t="shared" ref="O78:W78" si="63">(D78/0.01)*10^($B$78)</f>
        <v>70000000</v>
      </c>
      <c r="P78" s="188">
        <f t="shared" si="63"/>
        <v>80000000</v>
      </c>
      <c r="Q78" s="188">
        <f t="shared" si="63"/>
        <v>70000000</v>
      </c>
      <c r="R78" s="188">
        <f t="shared" si="63"/>
        <v>70000000</v>
      </c>
      <c r="S78" s="188">
        <f t="shared" si="63"/>
        <v>90000000</v>
      </c>
      <c r="T78" s="188">
        <f t="shared" si="63"/>
        <v>80000000</v>
      </c>
      <c r="U78" s="188">
        <f t="shared" si="63"/>
        <v>70000000</v>
      </c>
      <c r="V78" s="188">
        <f t="shared" si="63"/>
        <v>80000000</v>
      </c>
      <c r="W78" s="188">
        <f t="shared" si="63"/>
        <v>80000000</v>
      </c>
      <c r="X78" s="188">
        <f t="shared" si="41"/>
        <v>76000000</v>
      </c>
      <c r="Y78" s="9" t="s">
        <v>95</v>
      </c>
    </row>
    <row r="79" spans="1:25" x14ac:dyDescent="0.25">
      <c r="A79" s="9" t="s">
        <v>96</v>
      </c>
      <c r="B79" s="155">
        <v>5</v>
      </c>
      <c r="C79" s="155">
        <v>9</v>
      </c>
      <c r="D79" s="155">
        <v>10</v>
      </c>
      <c r="E79" s="155">
        <v>10</v>
      </c>
      <c r="F79" s="155">
        <v>7</v>
      </c>
      <c r="G79" s="155">
        <v>13</v>
      </c>
      <c r="H79" s="155">
        <v>11</v>
      </c>
      <c r="I79" s="155">
        <v>12</v>
      </c>
      <c r="J79" s="155">
        <v>11</v>
      </c>
      <c r="K79" s="155">
        <v>8</v>
      </c>
      <c r="L79" s="155">
        <v>7</v>
      </c>
      <c r="N79" s="188">
        <f>(C79/0.01)*10^($B$79)</f>
        <v>90000000</v>
      </c>
      <c r="O79" s="188">
        <f t="shared" ref="O79:W79" si="64">(D79/0.01)*10^($B$79)</f>
        <v>100000000</v>
      </c>
      <c r="P79" s="188">
        <f t="shared" si="64"/>
        <v>100000000</v>
      </c>
      <c r="Q79" s="188">
        <f t="shared" si="64"/>
        <v>70000000</v>
      </c>
      <c r="R79" s="188">
        <f t="shared" si="64"/>
        <v>130000000</v>
      </c>
      <c r="S79" s="188">
        <f t="shared" si="64"/>
        <v>110000000</v>
      </c>
      <c r="T79" s="188">
        <f t="shared" si="64"/>
        <v>120000000</v>
      </c>
      <c r="U79" s="188">
        <f t="shared" si="64"/>
        <v>110000000</v>
      </c>
      <c r="V79" s="188">
        <f t="shared" si="64"/>
        <v>80000000</v>
      </c>
      <c r="W79" s="188">
        <f t="shared" si="64"/>
        <v>70000000</v>
      </c>
      <c r="X79" s="188">
        <f t="shared" si="41"/>
        <v>98000000</v>
      </c>
      <c r="Y79" s="9" t="s">
        <v>96</v>
      </c>
    </row>
    <row r="80" spans="1:25" x14ac:dyDescent="0.25">
      <c r="A80" s="9" t="s">
        <v>97</v>
      </c>
      <c r="B80" s="155">
        <v>5</v>
      </c>
      <c r="C80" s="155">
        <v>15</v>
      </c>
      <c r="D80" s="155">
        <v>7</v>
      </c>
      <c r="E80" s="155">
        <v>3</v>
      </c>
      <c r="F80" s="155">
        <v>11</v>
      </c>
      <c r="G80" s="155">
        <v>12</v>
      </c>
      <c r="H80" s="155">
        <v>4</v>
      </c>
      <c r="I80" s="155">
        <v>7</v>
      </c>
      <c r="J80" s="155">
        <v>14</v>
      </c>
      <c r="K80" s="155">
        <v>16</v>
      </c>
      <c r="L80" s="155">
        <v>6</v>
      </c>
      <c r="N80" s="188">
        <f>(C80/0.01)*10^($B$80)</f>
        <v>150000000</v>
      </c>
      <c r="O80" s="188">
        <f t="shared" ref="O80:W80" si="65">(D80/0.01)*10^($B$80)</f>
        <v>70000000</v>
      </c>
      <c r="P80" s="188">
        <f t="shared" si="65"/>
        <v>30000000</v>
      </c>
      <c r="Q80" s="188">
        <f t="shared" si="65"/>
        <v>110000000</v>
      </c>
      <c r="R80" s="188">
        <f t="shared" si="65"/>
        <v>120000000</v>
      </c>
      <c r="S80" s="188">
        <f t="shared" si="65"/>
        <v>40000000</v>
      </c>
      <c r="T80" s="188">
        <f t="shared" si="65"/>
        <v>70000000</v>
      </c>
      <c r="U80" s="188">
        <f t="shared" si="65"/>
        <v>140000000</v>
      </c>
      <c r="V80" s="188">
        <f t="shared" si="65"/>
        <v>160000000</v>
      </c>
      <c r="W80" s="188">
        <f t="shared" si="65"/>
        <v>60000000</v>
      </c>
      <c r="X80" s="188">
        <f t="shared" si="41"/>
        <v>95000000</v>
      </c>
      <c r="Y80" s="9" t="s">
        <v>97</v>
      </c>
    </row>
    <row r="81" spans="1:25" x14ac:dyDescent="0.25">
      <c r="A81" s="9" t="s">
        <v>98</v>
      </c>
      <c r="B81" s="155">
        <v>5</v>
      </c>
      <c r="C81" s="155">
        <v>21</v>
      </c>
      <c r="D81" s="155">
        <v>7</v>
      </c>
      <c r="E81" s="155">
        <v>5</v>
      </c>
      <c r="F81" s="155">
        <v>17</v>
      </c>
      <c r="G81" s="155">
        <v>17</v>
      </c>
      <c r="H81" s="155">
        <v>10</v>
      </c>
      <c r="I81" s="155">
        <v>11</v>
      </c>
      <c r="J81" s="155">
        <v>9</v>
      </c>
      <c r="K81" s="155">
        <v>12</v>
      </c>
      <c r="L81" s="155">
        <v>6</v>
      </c>
      <c r="N81" s="188">
        <f>(C81/0.01)*10^($B$81)</f>
        <v>210000000</v>
      </c>
      <c r="O81" s="188">
        <f t="shared" ref="O81:W81" si="66">(D81/0.01)*10^($B$81)</f>
        <v>70000000</v>
      </c>
      <c r="P81" s="188">
        <f t="shared" si="66"/>
        <v>50000000</v>
      </c>
      <c r="Q81" s="188">
        <f t="shared" si="66"/>
        <v>170000000</v>
      </c>
      <c r="R81" s="188">
        <f t="shared" si="66"/>
        <v>170000000</v>
      </c>
      <c r="S81" s="188">
        <f t="shared" si="66"/>
        <v>100000000</v>
      </c>
      <c r="T81" s="188">
        <f t="shared" si="66"/>
        <v>110000000</v>
      </c>
      <c r="U81" s="188">
        <f t="shared" si="66"/>
        <v>90000000</v>
      </c>
      <c r="V81" s="188">
        <f t="shared" si="66"/>
        <v>120000000</v>
      </c>
      <c r="W81" s="188">
        <f t="shared" si="66"/>
        <v>60000000</v>
      </c>
      <c r="X81" s="188">
        <f t="shared" si="41"/>
        <v>115000000</v>
      </c>
      <c r="Y81" s="9" t="s">
        <v>98</v>
      </c>
    </row>
    <row r="82" spans="1:25" x14ac:dyDescent="0.25">
      <c r="A82" s="9" t="s">
        <v>99</v>
      </c>
      <c r="B82" s="155">
        <v>5</v>
      </c>
      <c r="C82" s="155">
        <v>17</v>
      </c>
      <c r="D82" s="155">
        <v>17</v>
      </c>
      <c r="E82" s="155">
        <v>16</v>
      </c>
      <c r="F82" s="155">
        <v>15</v>
      </c>
      <c r="G82" s="155">
        <v>23</v>
      </c>
      <c r="H82" s="155">
        <v>14</v>
      </c>
      <c r="I82" s="155">
        <v>19</v>
      </c>
      <c r="J82" s="155">
        <v>10</v>
      </c>
      <c r="K82" s="155">
        <v>14</v>
      </c>
      <c r="L82" s="155">
        <v>18</v>
      </c>
      <c r="N82" s="188">
        <f>(C82/0.01)*10^($B$82)</f>
        <v>170000000</v>
      </c>
      <c r="O82" s="188">
        <f t="shared" ref="O82:W82" si="67">(D82/0.01)*10^($B$82)</f>
        <v>170000000</v>
      </c>
      <c r="P82" s="188">
        <f t="shared" si="67"/>
        <v>160000000</v>
      </c>
      <c r="Q82" s="188">
        <f t="shared" si="67"/>
        <v>150000000</v>
      </c>
      <c r="R82" s="188">
        <f t="shared" si="67"/>
        <v>230000000</v>
      </c>
      <c r="S82" s="188">
        <f t="shared" si="67"/>
        <v>140000000</v>
      </c>
      <c r="T82" s="188">
        <f t="shared" si="67"/>
        <v>190000000</v>
      </c>
      <c r="U82" s="188">
        <f t="shared" si="67"/>
        <v>100000000</v>
      </c>
      <c r="V82" s="188">
        <f t="shared" si="67"/>
        <v>140000000</v>
      </c>
      <c r="W82" s="188">
        <f t="shared" si="67"/>
        <v>180000000</v>
      </c>
      <c r="X82" s="188">
        <f t="shared" si="41"/>
        <v>163000000</v>
      </c>
      <c r="Y82" s="9" t="s">
        <v>99</v>
      </c>
    </row>
    <row r="83" spans="1:25" x14ac:dyDescent="0.25">
      <c r="A83" s="9" t="s">
        <v>100</v>
      </c>
      <c r="B83" s="155">
        <v>5</v>
      </c>
      <c r="C83" s="155">
        <v>14</v>
      </c>
      <c r="D83" s="155">
        <v>15</v>
      </c>
      <c r="E83" s="155">
        <v>13</v>
      </c>
      <c r="F83" s="155">
        <v>23</v>
      </c>
      <c r="G83" s="155">
        <v>19</v>
      </c>
      <c r="H83" s="155">
        <v>16</v>
      </c>
      <c r="I83" s="155">
        <v>13</v>
      </c>
      <c r="J83" s="155">
        <v>19</v>
      </c>
      <c r="K83" s="155">
        <v>14</v>
      </c>
      <c r="L83" s="155">
        <v>20</v>
      </c>
      <c r="N83" s="188">
        <f>(C83/0.01)*10^($B$83)</f>
        <v>140000000</v>
      </c>
      <c r="O83" s="188">
        <f t="shared" ref="O83:W83" si="68">(D83/0.01)*10^($B$83)</f>
        <v>150000000</v>
      </c>
      <c r="P83" s="188">
        <f t="shared" si="68"/>
        <v>130000000</v>
      </c>
      <c r="Q83" s="188">
        <f t="shared" si="68"/>
        <v>230000000</v>
      </c>
      <c r="R83" s="188">
        <f t="shared" si="68"/>
        <v>190000000</v>
      </c>
      <c r="S83" s="188">
        <f t="shared" si="68"/>
        <v>160000000</v>
      </c>
      <c r="T83" s="188">
        <f t="shared" si="68"/>
        <v>130000000</v>
      </c>
      <c r="U83" s="188">
        <f t="shared" si="68"/>
        <v>190000000</v>
      </c>
      <c r="V83" s="188">
        <f t="shared" si="68"/>
        <v>140000000</v>
      </c>
      <c r="W83" s="188">
        <f t="shared" si="68"/>
        <v>200000000</v>
      </c>
      <c r="X83" s="188">
        <f t="shared" si="41"/>
        <v>166000000</v>
      </c>
      <c r="Y83" s="9" t="s">
        <v>100</v>
      </c>
    </row>
    <row r="84" spans="1:25" x14ac:dyDescent="0.25">
      <c r="A84" s="9" t="s">
        <v>101</v>
      </c>
      <c r="B84" s="155">
        <v>6</v>
      </c>
      <c r="C84" s="155">
        <v>3</v>
      </c>
      <c r="D84" s="155">
        <v>3</v>
      </c>
      <c r="E84" s="155">
        <v>5</v>
      </c>
      <c r="F84" s="155">
        <v>4</v>
      </c>
      <c r="G84" s="155">
        <v>5</v>
      </c>
      <c r="H84" s="155">
        <v>10</v>
      </c>
      <c r="I84" s="155">
        <v>6</v>
      </c>
      <c r="J84" s="155">
        <v>7</v>
      </c>
      <c r="K84" s="155">
        <v>6</v>
      </c>
      <c r="L84" s="155">
        <v>4</v>
      </c>
      <c r="N84" s="188">
        <f>(C84/0.01)*10^($B$84)</f>
        <v>300000000</v>
      </c>
      <c r="O84" s="188">
        <f t="shared" ref="O84:W84" si="69">(D84/0.01)*10^($B$84)</f>
        <v>300000000</v>
      </c>
      <c r="P84" s="188">
        <f t="shared" si="69"/>
        <v>500000000</v>
      </c>
      <c r="Q84" s="188">
        <f t="shared" si="69"/>
        <v>400000000</v>
      </c>
      <c r="R84" s="188">
        <f t="shared" si="69"/>
        <v>500000000</v>
      </c>
      <c r="S84" s="188">
        <f t="shared" si="69"/>
        <v>1000000000</v>
      </c>
      <c r="T84" s="188">
        <f t="shared" si="69"/>
        <v>600000000</v>
      </c>
      <c r="U84" s="188">
        <f t="shared" si="69"/>
        <v>700000000</v>
      </c>
      <c r="V84" s="188">
        <f t="shared" si="69"/>
        <v>600000000</v>
      </c>
      <c r="W84" s="188">
        <f t="shared" si="69"/>
        <v>400000000</v>
      </c>
      <c r="X84" s="188">
        <f t="shared" si="41"/>
        <v>530000000</v>
      </c>
      <c r="Y84" s="9" t="s">
        <v>101</v>
      </c>
    </row>
    <row r="85" spans="1:25" x14ac:dyDescent="0.25">
      <c r="A85" s="9" t="s">
        <v>102</v>
      </c>
      <c r="B85" s="155">
        <v>6</v>
      </c>
      <c r="C85" s="155">
        <v>1</v>
      </c>
      <c r="D85" s="155">
        <v>2</v>
      </c>
      <c r="E85" s="155">
        <v>4</v>
      </c>
      <c r="F85" s="155">
        <v>4</v>
      </c>
      <c r="G85" s="155">
        <v>1</v>
      </c>
      <c r="H85" s="155">
        <v>3</v>
      </c>
      <c r="I85" s="155">
        <v>4</v>
      </c>
      <c r="J85" s="155">
        <v>4</v>
      </c>
      <c r="K85" s="155">
        <v>2</v>
      </c>
      <c r="L85" s="155">
        <v>4</v>
      </c>
      <c r="N85" s="188">
        <f>(C85/0.01)*10^($B$85)</f>
        <v>100000000</v>
      </c>
      <c r="O85" s="188">
        <f t="shared" ref="O85:W85" si="70">(D85/0.01)*10^($B$85)</f>
        <v>200000000</v>
      </c>
      <c r="P85" s="188">
        <f t="shared" si="70"/>
        <v>400000000</v>
      </c>
      <c r="Q85" s="188">
        <f t="shared" si="70"/>
        <v>400000000</v>
      </c>
      <c r="R85" s="188">
        <f t="shared" si="70"/>
        <v>100000000</v>
      </c>
      <c r="S85" s="188">
        <f t="shared" si="70"/>
        <v>300000000</v>
      </c>
      <c r="T85" s="188">
        <f t="shared" si="70"/>
        <v>400000000</v>
      </c>
      <c r="U85" s="188">
        <f t="shared" si="70"/>
        <v>400000000</v>
      </c>
      <c r="V85" s="188">
        <f t="shared" si="70"/>
        <v>200000000</v>
      </c>
      <c r="W85" s="188">
        <f t="shared" si="70"/>
        <v>400000000</v>
      </c>
      <c r="X85" s="188">
        <f t="shared" si="41"/>
        <v>290000000</v>
      </c>
      <c r="Y85" s="9" t="s">
        <v>102</v>
      </c>
    </row>
    <row r="86" spans="1:25" x14ac:dyDescent="0.25">
      <c r="A86" s="9" t="s">
        <v>103</v>
      </c>
      <c r="B86" s="155">
        <v>6</v>
      </c>
      <c r="C86" s="155">
        <v>6</v>
      </c>
      <c r="D86" s="155">
        <v>4</v>
      </c>
      <c r="E86" s="155">
        <v>2</v>
      </c>
      <c r="F86" s="155">
        <v>3</v>
      </c>
      <c r="G86" s="155">
        <v>4</v>
      </c>
      <c r="H86" s="155">
        <v>4</v>
      </c>
      <c r="I86" s="155">
        <v>4</v>
      </c>
      <c r="J86" s="155">
        <v>2</v>
      </c>
      <c r="K86" s="155">
        <v>3</v>
      </c>
      <c r="L86" s="155">
        <v>4</v>
      </c>
      <c r="N86" s="188">
        <f>(C86/0.01)*10^($B$86)</f>
        <v>600000000</v>
      </c>
      <c r="O86" s="188">
        <f t="shared" ref="O86:W86" si="71">(D86/0.01)*10^($B$86)</f>
        <v>400000000</v>
      </c>
      <c r="P86" s="188">
        <f t="shared" si="71"/>
        <v>200000000</v>
      </c>
      <c r="Q86" s="188">
        <f t="shared" si="71"/>
        <v>300000000</v>
      </c>
      <c r="R86" s="188">
        <f t="shared" si="71"/>
        <v>400000000</v>
      </c>
      <c r="S86" s="188">
        <f t="shared" si="71"/>
        <v>400000000</v>
      </c>
      <c r="T86" s="188">
        <f t="shared" si="71"/>
        <v>400000000</v>
      </c>
      <c r="U86" s="188">
        <f t="shared" si="71"/>
        <v>200000000</v>
      </c>
      <c r="V86" s="188">
        <f t="shared" si="71"/>
        <v>300000000</v>
      </c>
      <c r="W86" s="188">
        <f t="shared" si="71"/>
        <v>400000000</v>
      </c>
      <c r="X86" s="188">
        <f t="shared" si="41"/>
        <v>360000000</v>
      </c>
      <c r="Y86" s="9" t="s">
        <v>103</v>
      </c>
    </row>
    <row r="87" spans="1:25" x14ac:dyDescent="0.25">
      <c r="A87" s="9" t="s">
        <v>104</v>
      </c>
      <c r="B87" s="155">
        <v>6</v>
      </c>
      <c r="N87" s="188"/>
      <c r="O87" s="188"/>
      <c r="P87" s="188"/>
      <c r="Q87" s="188"/>
      <c r="R87" s="188"/>
      <c r="S87" s="188"/>
      <c r="T87" s="188"/>
      <c r="U87" s="188"/>
      <c r="V87" s="188"/>
      <c r="W87" s="188"/>
      <c r="X87" s="188"/>
      <c r="Y87" s="9" t="s">
        <v>104</v>
      </c>
    </row>
    <row r="88" spans="1:25" x14ac:dyDescent="0.25">
      <c r="A88" s="9" t="s">
        <v>105</v>
      </c>
      <c r="B88" s="155">
        <v>6</v>
      </c>
      <c r="C88" s="155">
        <v>8</v>
      </c>
      <c r="D88" s="155">
        <v>11</v>
      </c>
      <c r="E88" s="155">
        <v>14</v>
      </c>
      <c r="F88" s="155">
        <v>6</v>
      </c>
      <c r="G88" s="155">
        <v>10</v>
      </c>
      <c r="H88" s="155">
        <v>14</v>
      </c>
      <c r="I88" s="155">
        <v>7</v>
      </c>
      <c r="J88" s="155">
        <v>7</v>
      </c>
      <c r="K88" s="155">
        <v>7</v>
      </c>
      <c r="L88" s="155">
        <v>6</v>
      </c>
      <c r="N88" s="188">
        <f>(C88/0.01)*10^($B$88)</f>
        <v>800000000</v>
      </c>
      <c r="O88" s="188">
        <f t="shared" ref="O88:W88" si="72">(D88/0.01)*10^($B$88)</f>
        <v>1100000000</v>
      </c>
      <c r="P88" s="188">
        <f t="shared" si="72"/>
        <v>1400000000</v>
      </c>
      <c r="Q88" s="188">
        <f t="shared" si="72"/>
        <v>600000000</v>
      </c>
      <c r="R88" s="188">
        <f t="shared" si="72"/>
        <v>1000000000</v>
      </c>
      <c r="S88" s="188">
        <f t="shared" si="72"/>
        <v>1400000000</v>
      </c>
      <c r="T88" s="188">
        <f t="shared" si="72"/>
        <v>700000000</v>
      </c>
      <c r="U88" s="188">
        <f t="shared" si="72"/>
        <v>700000000</v>
      </c>
      <c r="V88" s="188">
        <f t="shared" si="72"/>
        <v>700000000</v>
      </c>
      <c r="W88" s="188">
        <f t="shared" si="72"/>
        <v>600000000</v>
      </c>
      <c r="X88" s="188">
        <f t="shared" si="41"/>
        <v>900000000</v>
      </c>
      <c r="Y88" s="9" t="s">
        <v>105</v>
      </c>
    </row>
    <row r="89" spans="1:25" x14ac:dyDescent="0.25">
      <c r="A89" s="9" t="s">
        <v>106</v>
      </c>
      <c r="B89" s="155">
        <v>6</v>
      </c>
      <c r="C89" s="155">
        <v>15</v>
      </c>
      <c r="D89" s="155">
        <v>16</v>
      </c>
      <c r="E89" s="155">
        <v>17</v>
      </c>
      <c r="F89" s="155">
        <v>6</v>
      </c>
      <c r="G89" s="155">
        <v>13</v>
      </c>
      <c r="H89" s="155">
        <v>14</v>
      </c>
      <c r="I89" s="155">
        <v>10</v>
      </c>
      <c r="J89" s="155">
        <v>17</v>
      </c>
      <c r="K89" s="155">
        <v>13</v>
      </c>
      <c r="L89" s="155">
        <v>11</v>
      </c>
      <c r="N89" s="188">
        <f>(C89/0.01)*10^($B$89)</f>
        <v>1500000000</v>
      </c>
      <c r="O89" s="188">
        <f t="shared" ref="O89:W89" si="73">(D89/0.01)*10^($B$89)</f>
        <v>1600000000</v>
      </c>
      <c r="P89" s="188">
        <f t="shared" si="73"/>
        <v>1700000000</v>
      </c>
      <c r="Q89" s="188">
        <f t="shared" si="73"/>
        <v>600000000</v>
      </c>
      <c r="R89" s="188">
        <f t="shared" si="73"/>
        <v>1300000000</v>
      </c>
      <c r="S89" s="188">
        <f t="shared" si="73"/>
        <v>1400000000</v>
      </c>
      <c r="T89" s="188">
        <f t="shared" si="73"/>
        <v>1000000000</v>
      </c>
      <c r="U89" s="188">
        <f t="shared" si="73"/>
        <v>1700000000</v>
      </c>
      <c r="V89" s="188">
        <f t="shared" si="73"/>
        <v>1300000000</v>
      </c>
      <c r="W89" s="188">
        <f t="shared" si="73"/>
        <v>1100000000</v>
      </c>
      <c r="X89" s="188">
        <f t="shared" si="41"/>
        <v>1320000000</v>
      </c>
      <c r="Y89" s="9" t="s">
        <v>106</v>
      </c>
    </row>
    <row r="90" spans="1:25" x14ac:dyDescent="0.25">
      <c r="A90" s="9" t="s">
        <v>107</v>
      </c>
      <c r="B90" s="155">
        <v>6</v>
      </c>
      <c r="C90" s="155">
        <v>20</v>
      </c>
      <c r="D90" s="155">
        <v>14</v>
      </c>
      <c r="E90" s="155">
        <v>18</v>
      </c>
      <c r="F90" s="155">
        <v>19</v>
      </c>
      <c r="G90" s="155">
        <v>20</v>
      </c>
      <c r="H90" s="155">
        <v>31</v>
      </c>
      <c r="I90" s="155">
        <v>21</v>
      </c>
      <c r="J90" s="155">
        <v>18</v>
      </c>
      <c r="K90" s="155">
        <v>29</v>
      </c>
      <c r="L90" s="155">
        <v>25</v>
      </c>
      <c r="N90" s="188">
        <f>(C90/0.01)*10^($B$90)</f>
        <v>2000000000</v>
      </c>
      <c r="O90" s="188">
        <f t="shared" ref="O90:W90" si="74">(D90/0.01)*10^($B$90)</f>
        <v>1400000000</v>
      </c>
      <c r="P90" s="188">
        <f t="shared" si="74"/>
        <v>1800000000</v>
      </c>
      <c r="Q90" s="188">
        <f t="shared" si="74"/>
        <v>1900000000</v>
      </c>
      <c r="R90" s="188">
        <f t="shared" si="74"/>
        <v>2000000000</v>
      </c>
      <c r="S90" s="188">
        <f t="shared" si="74"/>
        <v>3100000000</v>
      </c>
      <c r="T90" s="188">
        <f t="shared" si="74"/>
        <v>2100000000</v>
      </c>
      <c r="U90" s="188">
        <f t="shared" si="74"/>
        <v>1800000000</v>
      </c>
      <c r="V90" s="188">
        <f t="shared" si="74"/>
        <v>2900000000</v>
      </c>
      <c r="W90" s="188">
        <f t="shared" si="74"/>
        <v>2500000000</v>
      </c>
      <c r="X90" s="188">
        <f t="shared" si="41"/>
        <v>2150000000</v>
      </c>
      <c r="Y90" s="9" t="s">
        <v>107</v>
      </c>
    </row>
    <row r="91" spans="1:25" x14ac:dyDescent="0.25">
      <c r="A91" s="9" t="s">
        <v>108</v>
      </c>
      <c r="B91" s="155">
        <v>6</v>
      </c>
      <c r="C91" s="155">
        <v>23</v>
      </c>
      <c r="D91" s="155">
        <v>18</v>
      </c>
      <c r="E91" s="155">
        <v>20</v>
      </c>
      <c r="F91" s="155">
        <v>18</v>
      </c>
      <c r="G91" s="155">
        <v>20</v>
      </c>
      <c r="H91" s="155">
        <v>17</v>
      </c>
      <c r="I91" s="155">
        <v>17</v>
      </c>
      <c r="J91" s="155">
        <v>16</v>
      </c>
      <c r="K91" s="155">
        <v>7</v>
      </c>
      <c r="L91" s="155">
        <v>15</v>
      </c>
      <c r="N91" s="188">
        <f>(C91/0.01)*10^($B$91)</f>
        <v>2300000000</v>
      </c>
      <c r="O91" s="188">
        <f t="shared" ref="O91:W91" si="75">(D91/0.01)*10^($B$91)</f>
        <v>1800000000</v>
      </c>
      <c r="P91" s="188">
        <f t="shared" si="75"/>
        <v>2000000000</v>
      </c>
      <c r="Q91" s="188">
        <f t="shared" si="75"/>
        <v>1800000000</v>
      </c>
      <c r="R91" s="188">
        <f t="shared" si="75"/>
        <v>2000000000</v>
      </c>
      <c r="S91" s="188">
        <f t="shared" si="75"/>
        <v>1700000000</v>
      </c>
      <c r="T91" s="188">
        <f t="shared" si="75"/>
        <v>1700000000</v>
      </c>
      <c r="U91" s="188">
        <f t="shared" si="75"/>
        <v>1600000000</v>
      </c>
      <c r="V91" s="188">
        <f t="shared" si="75"/>
        <v>700000000</v>
      </c>
      <c r="W91" s="188">
        <f t="shared" si="75"/>
        <v>1500000000</v>
      </c>
      <c r="X91" s="188">
        <f t="shared" si="41"/>
        <v>1710000000</v>
      </c>
      <c r="Y91" s="9" t="s">
        <v>108</v>
      </c>
    </row>
    <row r="92" spans="1:25" x14ac:dyDescent="0.25">
      <c r="A92" s="9" t="s">
        <v>109</v>
      </c>
      <c r="B92" s="155">
        <v>6</v>
      </c>
      <c r="C92" s="155">
        <v>17</v>
      </c>
      <c r="D92" s="155">
        <v>21</v>
      </c>
      <c r="E92" s="155">
        <v>18</v>
      </c>
      <c r="F92" s="155">
        <v>8</v>
      </c>
      <c r="G92" s="155">
        <v>22</v>
      </c>
      <c r="H92" s="155">
        <v>17</v>
      </c>
      <c r="I92" s="155">
        <v>18</v>
      </c>
      <c r="J92" s="155">
        <v>20</v>
      </c>
      <c r="K92" s="155">
        <v>12</v>
      </c>
      <c r="L92" s="155">
        <v>26</v>
      </c>
      <c r="N92" s="188">
        <f>(C92/0.01)*10^($B$92)</f>
        <v>1700000000</v>
      </c>
      <c r="O92" s="188">
        <f t="shared" ref="O92:W92" si="76">(D92/0.01)*10^($B$92)</f>
        <v>2100000000</v>
      </c>
      <c r="P92" s="188">
        <f t="shared" si="76"/>
        <v>1800000000</v>
      </c>
      <c r="Q92" s="188">
        <f t="shared" si="76"/>
        <v>800000000</v>
      </c>
      <c r="R92" s="188">
        <f t="shared" si="76"/>
        <v>2200000000</v>
      </c>
      <c r="S92" s="188">
        <f t="shared" si="76"/>
        <v>1700000000</v>
      </c>
      <c r="T92" s="188">
        <f t="shared" si="76"/>
        <v>1800000000</v>
      </c>
      <c r="U92" s="188">
        <f t="shared" si="76"/>
        <v>2000000000</v>
      </c>
      <c r="V92" s="188">
        <f t="shared" si="76"/>
        <v>1200000000</v>
      </c>
      <c r="W92" s="188">
        <f t="shared" si="76"/>
        <v>2600000000</v>
      </c>
      <c r="X92" s="188">
        <f t="shared" si="41"/>
        <v>1790000000</v>
      </c>
      <c r="Y92" s="9" t="s">
        <v>109</v>
      </c>
    </row>
  </sheetData>
  <mergeCells count="9">
    <mergeCell ref="AM4:AQ4"/>
    <mergeCell ref="AR4:AV4"/>
    <mergeCell ref="AW4:BA4"/>
    <mergeCell ref="D4:I4"/>
    <mergeCell ref="J4:O4"/>
    <mergeCell ref="P4:U4"/>
    <mergeCell ref="V4:AA4"/>
    <mergeCell ref="AB4:AG4"/>
    <mergeCell ref="AH4:AL4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9ED3-3850-420C-A534-23C51A1DA37A}">
  <dimension ref="A1:BA113"/>
  <sheetViews>
    <sheetView zoomScaleNormal="100" workbookViewId="0"/>
  </sheetViews>
  <sheetFormatPr defaultColWidth="8.7109375" defaultRowHeight="15" x14ac:dyDescent="0.25"/>
  <cols>
    <col min="1" max="1" width="8.7109375" style="5"/>
    <col min="2" max="2" width="14.85546875" style="5" customWidth="1"/>
    <col min="3" max="13" width="9.140625" style="5" customWidth="1"/>
    <col min="14" max="14" width="10" style="5" customWidth="1"/>
    <col min="15" max="23" width="9.140625" style="5" customWidth="1"/>
    <col min="24" max="24" width="10" style="5" bestFit="1" customWidth="1"/>
    <col min="25" max="25" width="11" style="5" bestFit="1" customWidth="1"/>
    <col min="26" max="26" width="8.7109375" style="5"/>
    <col min="27" max="29" width="10" style="5" bestFit="1" customWidth="1"/>
    <col min="30" max="36" width="8.7109375" style="5"/>
    <col min="37" max="37" width="9.140625" style="5" bestFit="1" customWidth="1"/>
    <col min="38" max="38" width="10.140625" style="5" bestFit="1" customWidth="1"/>
    <col min="39" max="47" width="8.7109375" style="5"/>
    <col min="48" max="48" width="10" style="5" bestFit="1" customWidth="1"/>
    <col min="49" max="16384" width="8.7109375" style="5"/>
  </cols>
  <sheetData>
    <row r="1" spans="1:53" x14ac:dyDescent="0.25">
      <c r="A1" s="8" t="s">
        <v>167</v>
      </c>
      <c r="D1" s="5">
        <v>20170220</v>
      </c>
    </row>
    <row r="2" spans="1:53" x14ac:dyDescent="0.25">
      <c r="A2" s="9" t="s">
        <v>82</v>
      </c>
    </row>
    <row r="3" spans="1:53" x14ac:dyDescent="0.25">
      <c r="A3" s="9" t="s">
        <v>64</v>
      </c>
    </row>
    <row r="4" spans="1:53" x14ac:dyDescent="0.25">
      <c r="A4" s="9"/>
      <c r="C4" s="59"/>
      <c r="D4" s="383" t="s">
        <v>12</v>
      </c>
      <c r="E4" s="383"/>
      <c r="F4" s="383"/>
      <c r="G4" s="383"/>
      <c r="H4" s="383"/>
      <c r="I4" s="384"/>
      <c r="J4" s="382" t="s">
        <v>5</v>
      </c>
      <c r="K4" s="383"/>
      <c r="L4" s="383"/>
      <c r="M4" s="383"/>
      <c r="N4" s="383"/>
      <c r="O4" s="384"/>
      <c r="P4" s="382" t="s">
        <v>13</v>
      </c>
      <c r="Q4" s="383"/>
      <c r="R4" s="383"/>
      <c r="S4" s="383"/>
      <c r="T4" s="383"/>
      <c r="U4" s="384"/>
      <c r="V4" s="382" t="s">
        <v>69</v>
      </c>
      <c r="W4" s="383"/>
      <c r="X4" s="383"/>
      <c r="Y4" s="383"/>
      <c r="Z4" s="383"/>
      <c r="AA4" s="384"/>
      <c r="AB4" s="382" t="s">
        <v>14</v>
      </c>
      <c r="AC4" s="385"/>
      <c r="AD4" s="385"/>
      <c r="AE4" s="385"/>
      <c r="AF4" s="385"/>
      <c r="AG4" s="384"/>
      <c r="AH4" s="382" t="s">
        <v>83</v>
      </c>
      <c r="AI4" s="383"/>
      <c r="AJ4" s="383"/>
      <c r="AK4" s="383"/>
      <c r="AL4" s="384"/>
      <c r="AM4" s="382" t="s">
        <v>84</v>
      </c>
      <c r="AN4" s="383"/>
      <c r="AO4" s="383"/>
      <c r="AP4" s="383"/>
      <c r="AQ4" s="384"/>
      <c r="AR4" s="382" t="s">
        <v>85</v>
      </c>
      <c r="AS4" s="383"/>
      <c r="AT4" s="383"/>
      <c r="AU4" s="383"/>
      <c r="AV4" s="384"/>
      <c r="AW4" s="382" t="s">
        <v>86</v>
      </c>
      <c r="AX4" s="383"/>
      <c r="AY4" s="383"/>
      <c r="AZ4" s="383"/>
      <c r="BA4" s="384"/>
    </row>
    <row r="5" spans="1:53" x14ac:dyDescent="0.25">
      <c r="B5" s="9" t="s">
        <v>15</v>
      </c>
      <c r="C5" s="190" t="s">
        <v>16</v>
      </c>
      <c r="D5" s="13">
        <v>1</v>
      </c>
      <c r="E5" s="13">
        <v>2</v>
      </c>
      <c r="F5" s="13">
        <v>3</v>
      </c>
      <c r="G5" s="13" t="s">
        <v>4</v>
      </c>
      <c r="H5" s="14" t="s">
        <v>17</v>
      </c>
      <c r="I5" s="15" t="s">
        <v>18</v>
      </c>
      <c r="J5" s="12">
        <v>1</v>
      </c>
      <c r="K5" s="13">
        <v>2</v>
      </c>
      <c r="L5" s="13">
        <v>3</v>
      </c>
      <c r="M5" s="13" t="s">
        <v>4</v>
      </c>
      <c r="N5" s="14" t="s">
        <v>17</v>
      </c>
      <c r="O5" s="15" t="s">
        <v>18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5" t="s">
        <v>18</v>
      </c>
      <c r="V5" s="12">
        <v>1</v>
      </c>
      <c r="W5" s="13">
        <v>2</v>
      </c>
      <c r="X5" s="13">
        <v>3</v>
      </c>
      <c r="Y5" s="13" t="s">
        <v>4</v>
      </c>
      <c r="Z5" s="14" t="s">
        <v>17</v>
      </c>
      <c r="AA5" s="15" t="s">
        <v>18</v>
      </c>
      <c r="AB5" s="13">
        <v>1</v>
      </c>
      <c r="AC5" s="13">
        <v>2</v>
      </c>
      <c r="AD5" s="13">
        <v>3</v>
      </c>
      <c r="AE5" s="13" t="s">
        <v>4</v>
      </c>
      <c r="AF5" s="14" t="s">
        <v>17</v>
      </c>
      <c r="AG5" s="15" t="s">
        <v>18</v>
      </c>
      <c r="AH5" s="12">
        <v>1</v>
      </c>
      <c r="AI5" s="13">
        <v>2</v>
      </c>
      <c r="AJ5" s="13">
        <v>3</v>
      </c>
      <c r="AK5" s="14" t="s">
        <v>17</v>
      </c>
      <c r="AL5" s="15" t="s">
        <v>18</v>
      </c>
      <c r="AM5" s="12">
        <v>1</v>
      </c>
      <c r="AN5" s="13">
        <v>2</v>
      </c>
      <c r="AO5" s="13">
        <v>3</v>
      </c>
      <c r="AP5" s="14" t="s">
        <v>17</v>
      </c>
      <c r="AQ5" s="15" t="s">
        <v>18</v>
      </c>
      <c r="AR5" s="12">
        <v>1</v>
      </c>
      <c r="AS5" s="13">
        <v>2</v>
      </c>
      <c r="AT5" s="13">
        <v>3</v>
      </c>
      <c r="AU5" s="14" t="s">
        <v>17</v>
      </c>
      <c r="AV5" s="15" t="s">
        <v>18</v>
      </c>
      <c r="AW5" s="12">
        <v>1</v>
      </c>
      <c r="AX5" s="13">
        <v>2</v>
      </c>
      <c r="AY5" s="13">
        <v>3</v>
      </c>
      <c r="AZ5" s="14" t="s">
        <v>17</v>
      </c>
      <c r="BA5" s="15" t="s">
        <v>18</v>
      </c>
    </row>
    <row r="6" spans="1:53" x14ac:dyDescent="0.25">
      <c r="A6" s="5" t="s">
        <v>19</v>
      </c>
      <c r="B6" s="17">
        <v>42786.565972222219</v>
      </c>
      <c r="C6" s="117">
        <f>(B6-$B$6)*24</f>
        <v>0</v>
      </c>
      <c r="D6" s="20">
        <v>4.2000000000000003E-2</v>
      </c>
      <c r="E6" s="20">
        <v>4.2999999999999997E-2</v>
      </c>
      <c r="F6" s="20">
        <v>4.2000000000000003E-2</v>
      </c>
      <c r="G6" s="20">
        <v>0</v>
      </c>
      <c r="H6" s="21">
        <f>AVERAGE(D6:F6)</f>
        <v>4.2333333333333334E-2</v>
      </c>
      <c r="I6" s="22">
        <f>STDEV(D6:F6)</f>
        <v>5.7735026918962233E-4</v>
      </c>
      <c r="J6" s="23">
        <v>7.44</v>
      </c>
      <c r="K6" s="24">
        <v>7.45</v>
      </c>
      <c r="L6" s="24">
        <v>7.46</v>
      </c>
      <c r="M6" s="24">
        <v>7.49</v>
      </c>
      <c r="N6" s="25">
        <f>AVERAGE(J6:L6)</f>
        <v>7.45</v>
      </c>
      <c r="O6" s="26">
        <f>STDEV(J6:L6)</f>
        <v>9.9999999999997868E-3</v>
      </c>
      <c r="P6" s="84"/>
      <c r="Q6" s="49"/>
      <c r="R6" s="49"/>
      <c r="S6" s="49"/>
      <c r="T6" s="85"/>
      <c r="U6" s="86"/>
      <c r="V6" s="84"/>
      <c r="W6" s="49"/>
      <c r="X6" s="49"/>
      <c r="Y6" s="49"/>
      <c r="Z6" s="85"/>
      <c r="AA6" s="86"/>
      <c r="AF6" s="81"/>
      <c r="AG6" s="81"/>
      <c r="AH6" s="133">
        <f>X93-X69</f>
        <v>37000000</v>
      </c>
      <c r="AI6" s="134">
        <f>X94-X70</f>
        <v>28000000</v>
      </c>
      <c r="AJ6" s="134">
        <f>X95-X71</f>
        <v>41000000</v>
      </c>
      <c r="AK6" s="135">
        <f>AVERAGE(AH6:AJ6)</f>
        <v>35333333.333333336</v>
      </c>
      <c r="AL6" s="136">
        <f>STDEV(AH6:AJ6)</f>
        <v>6658328.1184793869</v>
      </c>
      <c r="AM6" s="133">
        <f>X69</f>
        <v>48000000</v>
      </c>
      <c r="AN6" s="134">
        <f>X70</f>
        <v>54000000</v>
      </c>
      <c r="AO6" s="134">
        <f>X71</f>
        <v>36000000</v>
      </c>
      <c r="AP6" s="135">
        <f>AVERAGE(AM6:AO6)</f>
        <v>46000000</v>
      </c>
      <c r="AQ6" s="136">
        <f>STDEV(AM6:AO6)</f>
        <v>9165151.3899116796</v>
      </c>
      <c r="AR6" s="23">
        <f>AH6/(AH6+AM6)</f>
        <v>0.43529411764705883</v>
      </c>
      <c r="AS6" s="24">
        <f>AI6/(AI6+AN6)</f>
        <v>0.34146341463414637</v>
      </c>
      <c r="AT6" s="24">
        <f>AJ6/(AJ6+AO6)</f>
        <v>0.53246753246753242</v>
      </c>
      <c r="AU6" s="25">
        <f>AVERAGE(AR6:AT6)</f>
        <v>0.43640835491624586</v>
      </c>
      <c r="AV6" s="26">
        <f>STDEV(AR6:AT6)</f>
        <v>9.5506933784131845E-2</v>
      </c>
      <c r="AW6" s="23">
        <f>AM6/(AH6+AM6)</f>
        <v>0.56470588235294117</v>
      </c>
      <c r="AX6" s="24">
        <f t="shared" ref="AX6:AY20" si="0">AN6/(AI6+AN6)</f>
        <v>0.65853658536585369</v>
      </c>
      <c r="AY6" s="24">
        <f t="shared" si="0"/>
        <v>0.46753246753246752</v>
      </c>
      <c r="AZ6" s="25">
        <f>AVERAGE(AW6:AY6)</f>
        <v>0.56359164508375403</v>
      </c>
      <c r="BA6" s="26">
        <f>STDEV(AW6:AY6)</f>
        <v>9.5506933784132136E-2</v>
      </c>
    </row>
    <row r="7" spans="1:53" x14ac:dyDescent="0.25">
      <c r="A7" s="6" t="s">
        <v>20</v>
      </c>
      <c r="B7" s="17">
        <v>42786.679861111108</v>
      </c>
      <c r="C7" s="112">
        <f t="shared" ref="C7:C23" si="1">(B7-$B$6)*24</f>
        <v>2.7333333333372138</v>
      </c>
      <c r="D7" s="20">
        <v>6.9000000000000006E-2</v>
      </c>
      <c r="E7" s="20">
        <v>7.0999999999999994E-2</v>
      </c>
      <c r="F7" s="20">
        <v>6.7000000000000004E-2</v>
      </c>
      <c r="G7" s="20">
        <v>0</v>
      </c>
      <c r="H7" s="21">
        <f t="shared" ref="H7:H23" si="2">AVERAGE(D7:F7)</f>
        <v>6.9000000000000006E-2</v>
      </c>
      <c r="I7" s="22">
        <f t="shared" ref="I7:I23" si="3">STDEV(D7:F7)</f>
        <v>1.9999999999999948E-3</v>
      </c>
      <c r="J7" s="23">
        <v>7.16</v>
      </c>
      <c r="K7" s="24">
        <v>7.15</v>
      </c>
      <c r="L7" s="24">
        <v>7.17</v>
      </c>
      <c r="M7" s="24">
        <v>7.45</v>
      </c>
      <c r="N7" s="25">
        <f t="shared" ref="N7:N23" si="4">AVERAGE(J7:L7)</f>
        <v>7.16</v>
      </c>
      <c r="O7" s="26">
        <f t="shared" ref="O7:O23" si="5">STDEV(J7:L7)</f>
        <v>9.9999999999997868E-3</v>
      </c>
      <c r="P7" s="55">
        <v>29.858409822376878</v>
      </c>
      <c r="Q7" s="55">
        <v>29.819431946568834</v>
      </c>
      <c r="R7" s="55">
        <v>29.881040029856806</v>
      </c>
      <c r="S7" s="55">
        <v>30.428729110885278</v>
      </c>
      <c r="T7" s="25">
        <f>AVERAGE(P7:R7)</f>
        <v>29.852960599600838</v>
      </c>
      <c r="U7" s="26">
        <f>STDEV(P7:R7)</f>
        <v>3.1163432148137819E-2</v>
      </c>
      <c r="V7" s="23">
        <v>0.57095619414396159</v>
      </c>
      <c r="W7" s="24">
        <v>0.63213351842490884</v>
      </c>
      <c r="X7" s="24">
        <v>0.55214874895100174</v>
      </c>
      <c r="Y7" s="49" t="s">
        <v>21</v>
      </c>
      <c r="Z7" s="25">
        <f>AVERAGE(V7:X7)</f>
        <v>0.58507948717329072</v>
      </c>
      <c r="AA7" s="26">
        <f>STDEV(V7:X7)</f>
        <v>4.1820944411176772E-2</v>
      </c>
      <c r="AB7" s="55">
        <v>9.2745226273608983E-2</v>
      </c>
      <c r="AC7" s="55">
        <v>9.3895680341011686E-2</v>
      </c>
      <c r="AD7" s="55">
        <v>8.9077905670774143E-2</v>
      </c>
      <c r="AE7" s="5" t="s">
        <v>21</v>
      </c>
      <c r="AF7" s="111">
        <f>AVERAGE(AB7:AD7)</f>
        <v>9.1906270761798289E-2</v>
      </c>
      <c r="AG7" s="111">
        <f>STDEV(AB7:AD7)</f>
        <v>2.5160729235047612E-3</v>
      </c>
      <c r="AH7" s="133">
        <f>X96-X72</f>
        <v>45000000</v>
      </c>
      <c r="AI7" s="134">
        <f>X97-X73</f>
        <v>42000000</v>
      </c>
      <c r="AJ7" s="134">
        <f>X98-X74</f>
        <v>41000000</v>
      </c>
      <c r="AK7" s="135">
        <f t="shared" ref="AK7:AK20" si="6">AVERAGE(AH7:AJ7)</f>
        <v>42666666.666666664</v>
      </c>
      <c r="AL7" s="136">
        <f t="shared" ref="AL7:AL20" si="7">STDEV(AH7:AJ7)</f>
        <v>2081665.9994661328</v>
      </c>
      <c r="AM7" s="133">
        <f>X72</f>
        <v>57000000</v>
      </c>
      <c r="AN7" s="134">
        <f>X73</f>
        <v>53000000</v>
      </c>
      <c r="AO7" s="134">
        <f>X74</f>
        <v>57000000</v>
      </c>
      <c r="AP7" s="135">
        <f t="shared" ref="AP7:AP20" si="8">AVERAGE(AM7:AO7)</f>
        <v>55666666.666666664</v>
      </c>
      <c r="AQ7" s="136">
        <f t="shared" ref="AQ7:AQ20" si="9">STDEV(AM7:AO7)</f>
        <v>2309401.076758503</v>
      </c>
      <c r="AR7" s="23">
        <f t="shared" ref="AR7:AT11" si="10">AH7/(AH7+AM7)</f>
        <v>0.44117647058823528</v>
      </c>
      <c r="AS7" s="24">
        <f t="shared" si="10"/>
        <v>0.44210526315789472</v>
      </c>
      <c r="AT7" s="24">
        <f t="shared" si="10"/>
        <v>0.41836734693877553</v>
      </c>
      <c r="AU7" s="25">
        <f t="shared" ref="AU7:AU20" si="11">AVERAGE(AR7:AT7)</f>
        <v>0.43388302689496855</v>
      </c>
      <c r="AV7" s="26">
        <f t="shared" ref="AV7:AV20" si="12">STDEV(AR7:AT7)</f>
        <v>1.3444995622409852E-2</v>
      </c>
      <c r="AW7" s="23">
        <f>AM7/(AH7+AM7)</f>
        <v>0.55882352941176472</v>
      </c>
      <c r="AX7" s="24">
        <f t="shared" si="0"/>
        <v>0.55789473684210522</v>
      </c>
      <c r="AY7" s="24">
        <f t="shared" si="0"/>
        <v>0.58163265306122447</v>
      </c>
      <c r="AZ7" s="25">
        <f t="shared" ref="AZ7:AZ20" si="13">AVERAGE(AW7:AY7)</f>
        <v>0.5661169731050314</v>
      </c>
      <c r="BA7" s="26">
        <f t="shared" ref="BA7:BA20" si="14">STDEV(AW7:AY7)</f>
        <v>1.3444995622409871E-2</v>
      </c>
    </row>
    <row r="8" spans="1:53" x14ac:dyDescent="0.25">
      <c r="A8" s="5" t="s">
        <v>22</v>
      </c>
      <c r="B8" s="17">
        <v>42786.788194444445</v>
      </c>
      <c r="C8" s="112">
        <f t="shared" si="1"/>
        <v>5.3333333334303461</v>
      </c>
      <c r="D8" s="20">
        <v>0.104</v>
      </c>
      <c r="E8" s="20">
        <v>0.107</v>
      </c>
      <c r="F8" s="20">
        <v>9.8000000000000004E-2</v>
      </c>
      <c r="G8" s="20">
        <v>0</v>
      </c>
      <c r="H8" s="21">
        <f t="shared" si="2"/>
        <v>0.10299999999999999</v>
      </c>
      <c r="I8" s="22">
        <f t="shared" si="3"/>
        <v>4.5825756949558361E-3</v>
      </c>
      <c r="J8" s="23">
        <v>6.87</v>
      </c>
      <c r="K8" s="24">
        <v>6.83</v>
      </c>
      <c r="L8" s="24">
        <v>6.89</v>
      </c>
      <c r="M8" s="24">
        <v>7.42</v>
      </c>
      <c r="N8" s="25">
        <f t="shared" si="4"/>
        <v>6.8633333333333333</v>
      </c>
      <c r="O8" s="26">
        <f t="shared" si="5"/>
        <v>3.055050463303877E-2</v>
      </c>
      <c r="P8" s="23"/>
      <c r="Q8" s="24"/>
      <c r="R8" s="24"/>
      <c r="S8" s="24"/>
      <c r="T8" s="25"/>
      <c r="U8" s="26"/>
      <c r="V8" s="23"/>
      <c r="W8" s="24"/>
      <c r="X8" s="24"/>
      <c r="Y8" s="49"/>
      <c r="Z8" s="25"/>
      <c r="AA8" s="26"/>
      <c r="AB8" s="55"/>
      <c r="AC8" s="55"/>
      <c r="AD8" s="55"/>
      <c r="AF8" s="111"/>
      <c r="AG8" s="111"/>
      <c r="AH8" s="133">
        <f>X99-X75</f>
        <v>42000000</v>
      </c>
      <c r="AI8" s="134">
        <f>X100-X76</f>
        <v>49000000</v>
      </c>
      <c r="AJ8" s="134">
        <f>X101-X77</f>
        <v>63000000</v>
      </c>
      <c r="AK8" s="135">
        <f t="shared" si="6"/>
        <v>51333333.333333336</v>
      </c>
      <c r="AL8" s="136">
        <f t="shared" si="7"/>
        <v>10692676.621563634</v>
      </c>
      <c r="AM8" s="133">
        <f>X75</f>
        <v>95000000</v>
      </c>
      <c r="AN8" s="134">
        <f>X76</f>
        <v>85000000</v>
      </c>
      <c r="AO8" s="134">
        <f>X77</f>
        <v>80000000</v>
      </c>
      <c r="AP8" s="135">
        <f t="shared" si="8"/>
        <v>86666666.666666672</v>
      </c>
      <c r="AQ8" s="136">
        <f t="shared" si="9"/>
        <v>7637626.1582597326</v>
      </c>
      <c r="AR8" s="23">
        <f t="shared" si="10"/>
        <v>0.30656934306569344</v>
      </c>
      <c r="AS8" s="24">
        <f t="shared" si="10"/>
        <v>0.36567164179104478</v>
      </c>
      <c r="AT8" s="24">
        <f t="shared" si="10"/>
        <v>0.44055944055944057</v>
      </c>
      <c r="AU8" s="25">
        <f t="shared" si="11"/>
        <v>0.37093347513872627</v>
      </c>
      <c r="AV8" s="26">
        <f t="shared" si="12"/>
        <v>6.7149845303098449E-2</v>
      </c>
      <c r="AW8" s="23">
        <f t="shared" ref="AW8:AW20" si="15">AM8/(AH8+AM8)</f>
        <v>0.69343065693430661</v>
      </c>
      <c r="AX8" s="24">
        <f t="shared" si="0"/>
        <v>0.63432835820895528</v>
      </c>
      <c r="AY8" s="24">
        <f t="shared" si="0"/>
        <v>0.55944055944055948</v>
      </c>
      <c r="AZ8" s="25">
        <f t="shared" si="13"/>
        <v>0.62906652486127379</v>
      </c>
      <c r="BA8" s="26">
        <f t="shared" si="14"/>
        <v>6.7149845303098393E-2</v>
      </c>
    </row>
    <row r="9" spans="1:53" x14ac:dyDescent="0.25">
      <c r="A9" s="6" t="s">
        <v>23</v>
      </c>
      <c r="B9" s="17">
        <v>42786.904861111114</v>
      </c>
      <c r="C9" s="112">
        <f t="shared" si="1"/>
        <v>8.1333333334769122</v>
      </c>
      <c r="D9" s="20">
        <v>0.14699999999999999</v>
      </c>
      <c r="E9" s="20">
        <v>0.156</v>
      </c>
      <c r="F9" s="20">
        <v>0.13900000000000001</v>
      </c>
      <c r="G9" s="20">
        <v>0</v>
      </c>
      <c r="H9" s="21">
        <f t="shared" si="2"/>
        <v>0.14733333333333334</v>
      </c>
      <c r="I9" s="22">
        <f t="shared" si="3"/>
        <v>8.504900548115377E-3</v>
      </c>
      <c r="J9" s="23">
        <v>6.32</v>
      </c>
      <c r="K9" s="24">
        <v>6.16</v>
      </c>
      <c r="L9" s="24">
        <v>6.34</v>
      </c>
      <c r="M9" s="24">
        <v>7.4</v>
      </c>
      <c r="N9" s="25">
        <f t="shared" si="4"/>
        <v>6.2733333333333334</v>
      </c>
      <c r="O9" s="26">
        <f t="shared" si="5"/>
        <v>9.8657657246324887E-2</v>
      </c>
      <c r="P9" s="55">
        <v>25.692071712800463</v>
      </c>
      <c r="Q9" s="24"/>
      <c r="R9" s="24"/>
      <c r="S9" s="24"/>
      <c r="T9" s="25"/>
      <c r="U9" s="26"/>
      <c r="V9" s="24">
        <v>3.2430539274588197</v>
      </c>
      <c r="W9" s="24"/>
      <c r="X9" s="24"/>
      <c r="Y9" s="49"/>
      <c r="Z9" s="25"/>
      <c r="AA9" s="26"/>
      <c r="AB9" s="55">
        <v>0.20389887289868244</v>
      </c>
      <c r="AC9" s="55"/>
      <c r="AD9" s="55"/>
      <c r="AF9" s="111"/>
      <c r="AG9" s="111"/>
      <c r="AH9" s="133">
        <f>X102-X78</f>
        <v>99000000</v>
      </c>
      <c r="AI9" s="134">
        <f>X103-X79</f>
        <v>115000000</v>
      </c>
      <c r="AJ9" s="134">
        <f>X104-X80</f>
        <v>89000000</v>
      </c>
      <c r="AK9" s="135">
        <f t="shared" si="6"/>
        <v>101000000</v>
      </c>
      <c r="AL9" s="136">
        <f t="shared" si="7"/>
        <v>13114877.048604002</v>
      </c>
      <c r="AM9" s="133">
        <f>X78</f>
        <v>102000000</v>
      </c>
      <c r="AN9" s="134">
        <f>X79</f>
        <v>107000000</v>
      </c>
      <c r="AO9" s="134">
        <f>X80</f>
        <v>99000000</v>
      </c>
      <c r="AP9" s="135">
        <f t="shared" si="8"/>
        <v>102666666.66666667</v>
      </c>
      <c r="AQ9" s="136">
        <f t="shared" si="9"/>
        <v>4041451.88432738</v>
      </c>
      <c r="AR9" s="23">
        <f t="shared" si="10"/>
        <v>0.4925373134328358</v>
      </c>
      <c r="AS9" s="24">
        <f t="shared" si="10"/>
        <v>0.51801801801801806</v>
      </c>
      <c r="AT9" s="24">
        <f t="shared" si="10"/>
        <v>0.47340425531914893</v>
      </c>
      <c r="AU9" s="25">
        <f t="shared" si="11"/>
        <v>0.49465319559000093</v>
      </c>
      <c r="AV9" s="26">
        <f t="shared" si="12"/>
        <v>2.2382016743694232E-2</v>
      </c>
      <c r="AW9" s="23">
        <f t="shared" si="15"/>
        <v>0.5074626865671642</v>
      </c>
      <c r="AX9" s="24">
        <f t="shared" si="0"/>
        <v>0.481981981981982</v>
      </c>
      <c r="AY9" s="24">
        <f t="shared" si="0"/>
        <v>0.52659574468085102</v>
      </c>
      <c r="AZ9" s="25">
        <f t="shared" si="13"/>
        <v>0.50534680440999902</v>
      </c>
      <c r="BA9" s="26">
        <f t="shared" si="14"/>
        <v>2.2382016743694177E-2</v>
      </c>
    </row>
    <row r="10" spans="1:53" x14ac:dyDescent="0.25">
      <c r="A10" s="5" t="s">
        <v>24</v>
      </c>
      <c r="B10" s="17">
        <v>42787.021527777775</v>
      </c>
      <c r="C10" s="112">
        <f t="shared" si="1"/>
        <v>10.933333333348855</v>
      </c>
      <c r="D10" s="20">
        <v>0.17299999999999999</v>
      </c>
      <c r="E10" s="20">
        <v>0.183</v>
      </c>
      <c r="F10" s="20">
        <v>0.16</v>
      </c>
      <c r="G10" s="20">
        <v>0</v>
      </c>
      <c r="H10" s="21">
        <f t="shared" si="2"/>
        <v>0.17200000000000001</v>
      </c>
      <c r="I10" s="22">
        <f t="shared" si="3"/>
        <v>1.1532562594670791E-2</v>
      </c>
      <c r="J10" s="23">
        <v>5.24</v>
      </c>
      <c r="K10" s="24">
        <v>4.9800000000000004</v>
      </c>
      <c r="L10" s="24">
        <v>5.17</v>
      </c>
      <c r="M10" s="24">
        <v>7.37</v>
      </c>
      <c r="N10" s="25">
        <f t="shared" si="4"/>
        <v>5.13</v>
      </c>
      <c r="O10" s="26">
        <f t="shared" si="5"/>
        <v>0.13453624047073695</v>
      </c>
      <c r="P10" s="23"/>
      <c r="Q10" s="24"/>
      <c r="R10" s="24"/>
      <c r="S10" s="24"/>
      <c r="T10" s="25"/>
      <c r="U10" s="26"/>
      <c r="V10" s="23"/>
      <c r="W10" s="24"/>
      <c r="Y10" s="49"/>
      <c r="Z10" s="25"/>
      <c r="AA10" s="26"/>
      <c r="AB10" s="55"/>
      <c r="AC10" s="55"/>
      <c r="AF10" s="111"/>
      <c r="AG10" s="111"/>
      <c r="AH10" s="133">
        <f>X105-X81</f>
        <v>106000000</v>
      </c>
      <c r="AI10" s="134">
        <f>X106-X82</f>
        <v>117000000</v>
      </c>
      <c r="AJ10" s="134">
        <f>X107-X83</f>
        <v>122000000</v>
      </c>
      <c r="AK10" s="135">
        <f t="shared" si="6"/>
        <v>115000000</v>
      </c>
      <c r="AL10" s="136">
        <f t="shared" si="7"/>
        <v>8185352.7718724497</v>
      </c>
      <c r="AM10" s="133">
        <f>X81</f>
        <v>134000000</v>
      </c>
      <c r="AN10" s="134">
        <f>X82</f>
        <v>137000000</v>
      </c>
      <c r="AO10" s="134">
        <f>X83</f>
        <v>94000000</v>
      </c>
      <c r="AP10" s="135">
        <f t="shared" si="8"/>
        <v>121666666.66666667</v>
      </c>
      <c r="AQ10" s="136">
        <f t="shared" si="9"/>
        <v>24006943.440041091</v>
      </c>
      <c r="AR10" s="23">
        <f t="shared" si="10"/>
        <v>0.44166666666666665</v>
      </c>
      <c r="AS10" s="24">
        <f t="shared" si="10"/>
        <v>0.46062992125984253</v>
      </c>
      <c r="AT10" s="24">
        <f t="shared" si="10"/>
        <v>0.56481481481481477</v>
      </c>
      <c r="AU10" s="25">
        <f t="shared" si="11"/>
        <v>0.48903713424710799</v>
      </c>
      <c r="AV10" s="26">
        <f t="shared" si="12"/>
        <v>6.6306816469783231E-2</v>
      </c>
      <c r="AW10" s="23">
        <f t="shared" si="15"/>
        <v>0.55833333333333335</v>
      </c>
      <c r="AX10" s="24">
        <f t="shared" si="0"/>
        <v>0.53937007874015752</v>
      </c>
      <c r="AY10" s="24">
        <f t="shared" si="0"/>
        <v>0.43518518518518517</v>
      </c>
      <c r="AZ10" s="25">
        <f t="shared" si="13"/>
        <v>0.51096286575289207</v>
      </c>
      <c r="BA10" s="26">
        <f t="shared" si="14"/>
        <v>6.6306816469782384E-2</v>
      </c>
    </row>
    <row r="11" spans="1:53" x14ac:dyDescent="0.25">
      <c r="A11" s="5" t="s">
        <v>40</v>
      </c>
      <c r="B11" s="17">
        <v>42787.156944444447</v>
      </c>
      <c r="C11" s="112">
        <f t="shared" si="1"/>
        <v>14.183333333465271</v>
      </c>
      <c r="D11" s="20">
        <v>0.188</v>
      </c>
      <c r="E11" s="20">
        <v>0.20499999999999999</v>
      </c>
      <c r="F11" s="20">
        <v>0.17299999999999999</v>
      </c>
      <c r="G11" s="20">
        <v>1E-3</v>
      </c>
      <c r="H11" s="21">
        <f t="shared" si="2"/>
        <v>0.18866666666666668</v>
      </c>
      <c r="I11" s="22">
        <f t="shared" si="3"/>
        <v>1.6010413278030437E-2</v>
      </c>
      <c r="J11" s="23">
        <v>4.91</v>
      </c>
      <c r="K11" s="24">
        <v>4.8499999999999996</v>
      </c>
      <c r="L11" s="24">
        <v>4.84</v>
      </c>
      <c r="M11" s="24">
        <v>7.34</v>
      </c>
      <c r="N11" s="25">
        <f t="shared" si="4"/>
        <v>4.8666666666666663</v>
      </c>
      <c r="O11" s="26">
        <f t="shared" si="5"/>
        <v>3.7859388972002035E-2</v>
      </c>
      <c r="P11" s="23"/>
      <c r="Q11" s="24"/>
      <c r="R11" s="24"/>
      <c r="S11" s="24"/>
      <c r="T11" s="25"/>
      <c r="U11" s="26"/>
      <c r="V11" s="23"/>
      <c r="W11" s="24"/>
      <c r="X11" s="24"/>
      <c r="Y11" s="49"/>
      <c r="Z11" s="25"/>
      <c r="AA11" s="26"/>
      <c r="AB11" s="55"/>
      <c r="AC11" s="55"/>
      <c r="AD11" s="55"/>
      <c r="AF11" s="111"/>
      <c r="AG11" s="111"/>
      <c r="AH11" s="133">
        <f>X108-X84</f>
        <v>113000000</v>
      </c>
      <c r="AI11" s="134">
        <f>X109-X85</f>
        <v>120000000</v>
      </c>
      <c r="AJ11" s="134">
        <f>X110-X86</f>
        <v>50000000</v>
      </c>
      <c r="AK11" s="135">
        <f t="shared" si="6"/>
        <v>94333333.333333328</v>
      </c>
      <c r="AL11" s="136">
        <f t="shared" si="7"/>
        <v>38552993.83100272</v>
      </c>
      <c r="AM11" s="133">
        <f>X84</f>
        <v>171000000</v>
      </c>
      <c r="AN11" s="134">
        <f>X85</f>
        <v>151000000</v>
      </c>
      <c r="AO11" s="134">
        <f>X86</f>
        <v>128000000</v>
      </c>
      <c r="AP11" s="135">
        <f t="shared" si="8"/>
        <v>150000000</v>
      </c>
      <c r="AQ11" s="136">
        <f t="shared" si="9"/>
        <v>21517434.791350015</v>
      </c>
      <c r="AR11" s="23">
        <f t="shared" si="10"/>
        <v>0.397887323943662</v>
      </c>
      <c r="AS11" s="24">
        <f t="shared" si="10"/>
        <v>0.44280442804428044</v>
      </c>
      <c r="AT11" s="24">
        <f t="shared" si="10"/>
        <v>0.2808988764044944</v>
      </c>
      <c r="AU11" s="25">
        <f t="shared" si="11"/>
        <v>0.37386354279747896</v>
      </c>
      <c r="AV11" s="26">
        <f t="shared" si="12"/>
        <v>8.3583541791225957E-2</v>
      </c>
      <c r="AW11" s="23">
        <f t="shared" si="15"/>
        <v>0.602112676056338</v>
      </c>
      <c r="AX11" s="24">
        <f t="shared" si="0"/>
        <v>0.55719557195571956</v>
      </c>
      <c r="AY11" s="24">
        <f t="shared" si="0"/>
        <v>0.7191011235955056</v>
      </c>
      <c r="AZ11" s="25">
        <f t="shared" si="13"/>
        <v>0.62613645720252109</v>
      </c>
      <c r="BA11" s="26">
        <f t="shared" si="14"/>
        <v>8.3583541791225957E-2</v>
      </c>
    </row>
    <row r="12" spans="1:53" x14ac:dyDescent="0.25">
      <c r="A12" s="5" t="s">
        <v>46</v>
      </c>
      <c r="B12" s="17">
        <v>42787.363194444442</v>
      </c>
      <c r="C12" s="112">
        <f t="shared" si="1"/>
        <v>19.133333333360497</v>
      </c>
      <c r="D12" s="20">
        <v>0.21099999999999999</v>
      </c>
      <c r="E12" s="20">
        <v>0.23100000000000001</v>
      </c>
      <c r="F12" s="20">
        <v>0.19800000000000001</v>
      </c>
      <c r="G12" s="20">
        <v>0</v>
      </c>
      <c r="H12" s="21">
        <f t="shared" si="2"/>
        <v>0.21333333333333335</v>
      </c>
      <c r="I12" s="22">
        <f t="shared" si="3"/>
        <v>1.662327685305558E-2</v>
      </c>
      <c r="J12" s="23">
        <v>4.97</v>
      </c>
      <c r="K12" s="24">
        <v>4.96</v>
      </c>
      <c r="L12" s="24">
        <v>4.92</v>
      </c>
      <c r="M12" s="24">
        <v>7.29</v>
      </c>
      <c r="N12" s="25">
        <f t="shared" si="4"/>
        <v>4.95</v>
      </c>
      <c r="O12" s="26">
        <f t="shared" si="5"/>
        <v>2.6457513110645845E-2</v>
      </c>
      <c r="P12" s="23"/>
      <c r="Q12" s="24"/>
      <c r="R12" s="24"/>
      <c r="S12" s="24"/>
      <c r="T12" s="25"/>
      <c r="U12" s="26"/>
      <c r="V12" s="23"/>
      <c r="W12" s="24"/>
      <c r="Y12" s="49"/>
      <c r="Z12" s="25"/>
      <c r="AA12" s="26"/>
      <c r="AB12" s="55"/>
      <c r="AC12" s="55"/>
      <c r="AF12" s="111"/>
      <c r="AG12" s="111"/>
      <c r="AH12" s="133"/>
      <c r="AI12" s="134"/>
      <c r="AJ12" s="134"/>
      <c r="AK12" s="135"/>
      <c r="AL12" s="136"/>
      <c r="AM12" s="133"/>
      <c r="AN12" s="134"/>
      <c r="AO12" s="134"/>
      <c r="AP12" s="135"/>
      <c r="AQ12" s="136"/>
      <c r="AR12" s="23"/>
      <c r="AS12" s="24"/>
      <c r="AT12" s="24"/>
      <c r="AU12" s="25"/>
      <c r="AV12" s="26"/>
      <c r="AW12" s="23"/>
      <c r="AX12" s="24"/>
      <c r="AY12" s="24"/>
      <c r="AZ12" s="25"/>
      <c r="BA12" s="86"/>
    </row>
    <row r="13" spans="1:53" x14ac:dyDescent="0.25">
      <c r="A13" s="5" t="s">
        <v>65</v>
      </c>
      <c r="B13" s="17">
        <v>42787.51458333333</v>
      </c>
      <c r="C13" s="112">
        <f t="shared" si="1"/>
        <v>22.766666666662786</v>
      </c>
      <c r="D13" s="20">
        <v>0.22500000000000001</v>
      </c>
      <c r="E13" s="20">
        <v>0.246</v>
      </c>
      <c r="F13" s="20">
        <v>0.21</v>
      </c>
      <c r="G13" s="20">
        <v>0</v>
      </c>
      <c r="H13" s="21">
        <f t="shared" si="2"/>
        <v>0.22699999999999998</v>
      </c>
      <c r="I13" s="22">
        <f t="shared" si="3"/>
        <v>1.8083141320025125E-2</v>
      </c>
      <c r="J13" s="23">
        <v>5.07</v>
      </c>
      <c r="K13" s="24">
        <v>5.0599999999999996</v>
      </c>
      <c r="L13" s="24">
        <v>5.01</v>
      </c>
      <c r="M13" s="24">
        <v>7.26</v>
      </c>
      <c r="N13" s="25">
        <f t="shared" si="4"/>
        <v>5.046666666666666</v>
      </c>
      <c r="O13" s="26">
        <f t="shared" si="5"/>
        <v>3.2145502536643326E-2</v>
      </c>
      <c r="P13" s="23"/>
      <c r="Q13" s="24"/>
      <c r="R13" s="24"/>
      <c r="S13" s="24"/>
      <c r="T13" s="25"/>
      <c r="U13" s="26"/>
      <c r="V13" s="23"/>
      <c r="W13" s="24"/>
      <c r="X13" s="24"/>
      <c r="Y13" s="49"/>
      <c r="Z13" s="25"/>
      <c r="AA13" s="26"/>
      <c r="AB13" s="55"/>
      <c r="AC13" s="55"/>
      <c r="AD13" s="55"/>
      <c r="AF13" s="111"/>
      <c r="AG13" s="111"/>
      <c r="AH13" s="133"/>
      <c r="AI13" s="134"/>
      <c r="AJ13" s="134"/>
      <c r="AK13" s="135"/>
      <c r="AL13" s="136"/>
      <c r="AM13" s="133"/>
      <c r="AN13" s="134"/>
      <c r="AO13" s="134"/>
      <c r="AP13" s="135"/>
      <c r="AQ13" s="136"/>
      <c r="AR13" s="23"/>
      <c r="AS13" s="24"/>
      <c r="AT13" s="24"/>
      <c r="AU13" s="25"/>
      <c r="AV13" s="26"/>
      <c r="AW13" s="23"/>
      <c r="AX13" s="24"/>
      <c r="AY13" s="24"/>
      <c r="AZ13" s="25"/>
      <c r="BA13" s="86"/>
    </row>
    <row r="14" spans="1:53" x14ac:dyDescent="0.25">
      <c r="A14" s="6" t="s">
        <v>66</v>
      </c>
      <c r="B14" s="17">
        <v>42787.668055555558</v>
      </c>
      <c r="C14" s="112">
        <f t="shared" si="1"/>
        <v>26.450000000128057</v>
      </c>
      <c r="D14" s="20">
        <v>0.23899999999999999</v>
      </c>
      <c r="E14" s="20">
        <v>0.26400000000000001</v>
      </c>
      <c r="F14" s="20">
        <v>0.22500000000000001</v>
      </c>
      <c r="G14" s="20">
        <v>1E-3</v>
      </c>
      <c r="H14" s="21">
        <f t="shared" si="2"/>
        <v>0.24266666666666667</v>
      </c>
      <c r="I14" s="22">
        <f t="shared" si="3"/>
        <v>1.9756855350316599E-2</v>
      </c>
      <c r="J14" s="23">
        <v>5.19</v>
      </c>
      <c r="K14" s="24">
        <v>5.22</v>
      </c>
      <c r="L14" s="24">
        <v>5.12</v>
      </c>
      <c r="M14" s="24">
        <v>7.22</v>
      </c>
      <c r="N14" s="25">
        <f t="shared" si="4"/>
        <v>5.1766666666666667</v>
      </c>
      <c r="O14" s="26">
        <f t="shared" si="5"/>
        <v>5.1316014394468729E-2</v>
      </c>
      <c r="P14" s="55">
        <v>24.896875793078273</v>
      </c>
      <c r="Q14" s="24"/>
      <c r="R14" s="24"/>
      <c r="S14" s="24"/>
      <c r="T14" s="25"/>
      <c r="U14" s="26"/>
      <c r="V14" s="24">
        <v>2.0768989671002909</v>
      </c>
      <c r="W14" s="24"/>
      <c r="Y14" s="49"/>
      <c r="Z14" s="25"/>
      <c r="AA14" s="26"/>
      <c r="AB14" s="55">
        <v>3.4906120626506598</v>
      </c>
      <c r="AC14" s="55"/>
      <c r="AD14" s="55"/>
      <c r="AF14" s="111"/>
      <c r="AG14" s="111"/>
      <c r="AH14" s="133"/>
      <c r="AI14" s="134"/>
      <c r="AJ14" s="134"/>
      <c r="AK14" s="135"/>
      <c r="AL14" s="136"/>
      <c r="AM14" s="133"/>
      <c r="AN14" s="134"/>
      <c r="AO14" s="134"/>
      <c r="AP14" s="135"/>
      <c r="AQ14" s="136"/>
      <c r="AR14" s="23"/>
      <c r="AS14" s="24"/>
      <c r="AT14" s="24"/>
      <c r="AU14" s="25"/>
      <c r="AV14" s="26"/>
      <c r="AW14" s="23"/>
      <c r="AX14" s="24"/>
      <c r="AY14" s="24"/>
      <c r="AZ14" s="25"/>
      <c r="BA14" s="86"/>
    </row>
    <row r="15" spans="1:53" x14ac:dyDescent="0.25">
      <c r="A15" s="5" t="s">
        <v>142</v>
      </c>
      <c r="B15" s="17">
        <v>42787.911805555559</v>
      </c>
      <c r="C15" s="112">
        <f t="shared" si="1"/>
        <v>32.300000000162981</v>
      </c>
      <c r="D15" s="20">
        <v>0.26700000000000002</v>
      </c>
      <c r="E15" s="20">
        <v>0.29699999999999999</v>
      </c>
      <c r="F15" s="20">
        <v>0.248</v>
      </c>
      <c r="G15" s="20">
        <v>-1E-3</v>
      </c>
      <c r="H15" s="21">
        <f t="shared" si="2"/>
        <v>0.27066666666666667</v>
      </c>
      <c r="I15" s="22">
        <f t="shared" si="3"/>
        <v>2.4704925284917034E-2</v>
      </c>
      <c r="J15" s="23">
        <v>5.48</v>
      </c>
      <c r="K15" s="24">
        <v>5.52</v>
      </c>
      <c r="L15" s="24">
        <v>5.35</v>
      </c>
      <c r="M15" s="24">
        <v>7.19</v>
      </c>
      <c r="N15" s="25">
        <f t="shared" si="4"/>
        <v>5.45</v>
      </c>
      <c r="O15" s="26">
        <f t="shared" si="5"/>
        <v>8.8881944173155994E-2</v>
      </c>
      <c r="P15" s="23"/>
      <c r="Q15" s="24"/>
      <c r="R15" s="24"/>
      <c r="S15" s="24"/>
      <c r="T15" s="25"/>
      <c r="U15" s="26"/>
      <c r="V15" s="23"/>
      <c r="W15" s="24"/>
      <c r="X15" s="24"/>
      <c r="Y15" s="49"/>
      <c r="Z15" s="25"/>
      <c r="AA15" s="26"/>
      <c r="AB15" s="55"/>
      <c r="AC15" s="55"/>
      <c r="AD15" s="55"/>
      <c r="AF15" s="111"/>
      <c r="AG15" s="111"/>
      <c r="AH15" s="133"/>
      <c r="AI15" s="134"/>
      <c r="AJ15" s="134"/>
      <c r="AK15" s="135"/>
      <c r="AL15" s="136"/>
      <c r="AM15" s="133"/>
      <c r="AN15" s="134"/>
      <c r="AO15" s="134"/>
      <c r="AP15" s="135"/>
      <c r="AQ15" s="136"/>
      <c r="AR15" s="23"/>
      <c r="AS15" s="24"/>
      <c r="AT15" s="24"/>
      <c r="AU15" s="25"/>
      <c r="AV15" s="26"/>
      <c r="AW15" s="23"/>
      <c r="AX15" s="24"/>
      <c r="AY15" s="24"/>
      <c r="AZ15" s="25"/>
      <c r="BA15" s="86"/>
    </row>
    <row r="16" spans="1:53" x14ac:dyDescent="0.25">
      <c r="A16" s="5" t="s">
        <v>143</v>
      </c>
      <c r="B16" s="17">
        <v>42788.057638888888</v>
      </c>
      <c r="C16" s="112">
        <f t="shared" si="1"/>
        <v>35.800000000046566</v>
      </c>
      <c r="D16" s="20">
        <v>0.27900000000000003</v>
      </c>
      <c r="E16" s="20">
        <f>0.157*2</f>
        <v>0.314</v>
      </c>
      <c r="F16" s="20">
        <v>0.26200000000000001</v>
      </c>
      <c r="G16" s="20">
        <v>1E-3</v>
      </c>
      <c r="H16" s="21">
        <f t="shared" si="2"/>
        <v>0.28499999999999998</v>
      </c>
      <c r="I16" s="22">
        <f t="shared" si="3"/>
        <v>2.6514147167125697E-2</v>
      </c>
      <c r="J16" s="23">
        <v>5.62</v>
      </c>
      <c r="K16" s="24">
        <v>5.67</v>
      </c>
      <c r="L16" s="24">
        <v>5.49</v>
      </c>
      <c r="M16" s="24">
        <v>7.16</v>
      </c>
      <c r="N16" s="25">
        <f t="shared" si="4"/>
        <v>5.5933333333333337</v>
      </c>
      <c r="O16" s="26">
        <f t="shared" si="5"/>
        <v>9.2915732431775561E-2</v>
      </c>
      <c r="P16" s="23"/>
      <c r="Q16" s="24"/>
      <c r="R16" s="24"/>
      <c r="S16" s="24"/>
      <c r="T16" s="25"/>
      <c r="U16" s="26"/>
      <c r="V16" s="23"/>
      <c r="W16" s="24"/>
      <c r="X16" s="24"/>
      <c r="Y16" s="49"/>
      <c r="Z16" s="25"/>
      <c r="AA16" s="26"/>
      <c r="AB16" s="55"/>
      <c r="AC16" s="55"/>
      <c r="AD16" s="55"/>
      <c r="AF16" s="111"/>
      <c r="AG16" s="111"/>
      <c r="AH16" s="133"/>
      <c r="AI16" s="134"/>
      <c r="AJ16" s="134"/>
      <c r="AK16" s="135"/>
      <c r="AL16" s="136"/>
      <c r="AM16" s="133"/>
      <c r="AN16" s="134"/>
      <c r="AO16" s="134"/>
      <c r="AP16" s="135"/>
      <c r="AQ16" s="136"/>
      <c r="AR16" s="23"/>
      <c r="AS16" s="24"/>
      <c r="AT16" s="24"/>
      <c r="AU16" s="25"/>
      <c r="AV16" s="26"/>
      <c r="AW16" s="23"/>
      <c r="AX16" s="24"/>
      <c r="AY16" s="24"/>
      <c r="AZ16" s="25"/>
      <c r="BA16" s="86"/>
    </row>
    <row r="17" spans="1:53" x14ac:dyDescent="0.25">
      <c r="A17" s="5" t="s">
        <v>144</v>
      </c>
      <c r="B17" s="17">
        <v>42788.353472222225</v>
      </c>
      <c r="C17" s="112">
        <f t="shared" si="1"/>
        <v>42.900000000139698</v>
      </c>
      <c r="D17" s="20">
        <v>0.29399999999999998</v>
      </c>
      <c r="E17" s="20">
        <f>0.167*2</f>
        <v>0.33400000000000002</v>
      </c>
      <c r="F17" s="20">
        <v>0.28000000000000003</v>
      </c>
      <c r="G17" s="20">
        <v>1E-3</v>
      </c>
      <c r="H17" s="21">
        <f t="shared" si="2"/>
        <v>0.30266666666666669</v>
      </c>
      <c r="I17" s="22">
        <f t="shared" si="3"/>
        <v>2.8023799409311604E-2</v>
      </c>
      <c r="J17" s="23">
        <v>5.87</v>
      </c>
      <c r="K17" s="24">
        <v>5.88</v>
      </c>
      <c r="L17" s="24">
        <v>5.77</v>
      </c>
      <c r="M17" s="24">
        <v>7.12</v>
      </c>
      <c r="N17" s="25">
        <f t="shared" si="4"/>
        <v>5.84</v>
      </c>
      <c r="O17" s="26">
        <f t="shared" si="5"/>
        <v>6.0827625302982434E-2</v>
      </c>
      <c r="P17" s="23"/>
      <c r="Q17" s="24"/>
      <c r="R17" s="24"/>
      <c r="S17" s="24"/>
      <c r="T17" s="25"/>
      <c r="U17" s="26"/>
      <c r="V17" s="23"/>
      <c r="W17" s="24"/>
      <c r="X17" s="24"/>
      <c r="Y17" s="49"/>
      <c r="Z17" s="25"/>
      <c r="AA17" s="26"/>
      <c r="AB17" s="55"/>
      <c r="AC17" s="55"/>
      <c r="AD17" s="55"/>
      <c r="AF17" s="111"/>
      <c r="AG17" s="111"/>
      <c r="AH17" s="133"/>
      <c r="AI17" s="134"/>
      <c r="AJ17" s="134"/>
      <c r="AK17" s="135"/>
      <c r="AL17" s="136"/>
      <c r="AM17" s="133"/>
      <c r="AN17" s="134"/>
      <c r="AO17" s="134"/>
      <c r="AP17" s="135"/>
      <c r="AQ17" s="136"/>
      <c r="AR17" s="23"/>
      <c r="AS17" s="24"/>
      <c r="AT17" s="24"/>
      <c r="AU17" s="25"/>
      <c r="AV17" s="26"/>
      <c r="AW17" s="23"/>
      <c r="AX17" s="24"/>
      <c r="AY17" s="24"/>
      <c r="AZ17" s="25"/>
      <c r="BA17" s="86"/>
    </row>
    <row r="18" spans="1:53" x14ac:dyDescent="0.25">
      <c r="A18" s="5" t="s">
        <v>145</v>
      </c>
      <c r="B18" s="17">
        <v>42788.884027777778</v>
      </c>
      <c r="C18" s="112">
        <f t="shared" si="1"/>
        <v>55.633333333418705</v>
      </c>
      <c r="D18" s="20">
        <f>0.163*2</f>
        <v>0.32600000000000001</v>
      </c>
      <c r="E18" s="20">
        <f>0.185*2</f>
        <v>0.37</v>
      </c>
      <c r="F18" s="20">
        <f>0.156*2</f>
        <v>0.312</v>
      </c>
      <c r="G18" s="20">
        <v>1E-3</v>
      </c>
      <c r="H18" s="21">
        <f t="shared" si="2"/>
        <v>0.33600000000000002</v>
      </c>
      <c r="I18" s="22">
        <f t="shared" si="3"/>
        <v>3.0265491900843107E-2</v>
      </c>
      <c r="J18" s="23">
        <v>6.08</v>
      </c>
      <c r="K18" s="24">
        <v>6.04</v>
      </c>
      <c r="L18" s="24">
        <v>6.12</v>
      </c>
      <c r="M18" s="24">
        <v>7.06</v>
      </c>
      <c r="N18" s="25">
        <f t="shared" si="4"/>
        <v>6.080000000000001</v>
      </c>
      <c r="O18" s="26">
        <f t="shared" si="5"/>
        <v>4.0000000000000036E-2</v>
      </c>
      <c r="P18" s="23"/>
      <c r="Q18" s="24"/>
      <c r="R18" s="24"/>
      <c r="S18" s="24"/>
      <c r="T18" s="25"/>
      <c r="U18" s="26"/>
      <c r="V18" s="23"/>
      <c r="W18" s="24"/>
      <c r="X18" s="24"/>
      <c r="Y18" s="49"/>
      <c r="Z18" s="25"/>
      <c r="AA18" s="26"/>
      <c r="AB18" s="55"/>
      <c r="AC18" s="55"/>
      <c r="AD18" s="55"/>
      <c r="AF18" s="111"/>
      <c r="AG18" s="111"/>
      <c r="AH18" s="133"/>
      <c r="AI18" s="134"/>
      <c r="AJ18" s="134"/>
      <c r="AK18" s="135"/>
      <c r="AL18" s="136"/>
      <c r="AM18" s="133"/>
      <c r="AN18" s="134"/>
      <c r="AO18" s="134"/>
      <c r="AP18" s="135"/>
      <c r="AQ18" s="136"/>
      <c r="AR18" s="23"/>
      <c r="AS18" s="24"/>
      <c r="AT18" s="24"/>
      <c r="AU18" s="25"/>
      <c r="AV18" s="26"/>
      <c r="AW18" s="23"/>
      <c r="AX18" s="24"/>
      <c r="AY18" s="24"/>
      <c r="AZ18" s="25"/>
      <c r="BA18" s="86"/>
    </row>
    <row r="19" spans="1:53" x14ac:dyDescent="0.25">
      <c r="A19" s="6" t="s">
        <v>146</v>
      </c>
      <c r="B19" s="17">
        <v>42789.499305555553</v>
      </c>
      <c r="C19" s="112">
        <f t="shared" si="1"/>
        <v>70.400000000023283</v>
      </c>
      <c r="D19" s="20">
        <f>0.178*2</f>
        <v>0.35599999999999998</v>
      </c>
      <c r="E19" s="20">
        <f>0.198*2</f>
        <v>0.39600000000000002</v>
      </c>
      <c r="F19" s="20">
        <f>0.17*2</f>
        <v>0.34</v>
      </c>
      <c r="G19" s="20">
        <v>1E-3</v>
      </c>
      <c r="H19" s="21">
        <f t="shared" si="2"/>
        <v>0.36400000000000005</v>
      </c>
      <c r="I19" s="22">
        <f t="shared" si="3"/>
        <v>2.8844410203711916E-2</v>
      </c>
      <c r="J19" s="23">
        <v>6.25</v>
      </c>
      <c r="K19" s="24">
        <v>6.2</v>
      </c>
      <c r="L19" s="24">
        <v>6.34</v>
      </c>
      <c r="M19" s="24">
        <v>6.97</v>
      </c>
      <c r="N19" s="25">
        <f t="shared" si="4"/>
        <v>6.2633333333333328</v>
      </c>
      <c r="O19" s="26">
        <f t="shared" si="5"/>
        <v>7.0945988845975722E-2</v>
      </c>
      <c r="P19" s="55">
        <v>25.209730809168967</v>
      </c>
      <c r="Q19" s="55">
        <v>26.286446913570678</v>
      </c>
      <c r="R19" s="55">
        <v>27.372297576974212</v>
      </c>
      <c r="S19" s="55">
        <v>33.639878552539201</v>
      </c>
      <c r="T19" s="25">
        <f t="shared" ref="T19" si="16">AVERAGE(P19:R19)</f>
        <v>26.289491766571285</v>
      </c>
      <c r="U19" s="26">
        <f t="shared" ref="U19" si="17">STDEV(P19:R19)</f>
        <v>1.0812865992193064</v>
      </c>
      <c r="V19" s="23">
        <v>1.8285912817495318</v>
      </c>
      <c r="W19" s="24">
        <v>2.1115999865973238</v>
      </c>
      <c r="X19" s="24">
        <v>1.3717684151783298</v>
      </c>
      <c r="Y19" s="49" t="s">
        <v>21</v>
      </c>
      <c r="Z19" s="25">
        <f t="shared" ref="Z19" si="18">AVERAGE(V19:X19)</f>
        <v>1.7706532278417282</v>
      </c>
      <c r="AA19" s="26">
        <f t="shared" ref="AA19" si="19">STDEV(V19:X19)</f>
        <v>0.37330323074552169</v>
      </c>
      <c r="AB19" s="55">
        <v>1.5469096828111413</v>
      </c>
      <c r="AC19" s="55">
        <v>1.3374246838824908</v>
      </c>
      <c r="AD19" s="55">
        <v>1.7819985605576383</v>
      </c>
      <c r="AE19" s="5" t="s">
        <v>21</v>
      </c>
      <c r="AF19" s="111">
        <f t="shared" ref="AF19" si="20">AVERAGE(AB19:AD19)</f>
        <v>1.5554443090837566</v>
      </c>
      <c r="AG19" s="111">
        <f t="shared" ref="AG19" si="21">STDEV(AB19:AD19)</f>
        <v>0.2224097858451877</v>
      </c>
      <c r="AH19" s="133"/>
      <c r="AI19" s="134"/>
      <c r="AJ19" s="134"/>
      <c r="AK19" s="135"/>
      <c r="AL19" s="136"/>
      <c r="AM19" s="133"/>
      <c r="AN19" s="134"/>
      <c r="AO19" s="134"/>
      <c r="AP19" s="135"/>
      <c r="AQ19" s="136"/>
      <c r="AR19" s="23"/>
      <c r="AS19" s="24"/>
      <c r="AT19" s="24"/>
      <c r="AU19" s="25"/>
      <c r="AV19" s="26"/>
      <c r="AW19" s="23"/>
      <c r="AX19" s="24"/>
      <c r="AY19" s="24"/>
      <c r="AZ19" s="25"/>
      <c r="BA19" s="86"/>
    </row>
    <row r="20" spans="1:53" x14ac:dyDescent="0.25">
      <c r="A20" s="5" t="s">
        <v>147</v>
      </c>
      <c r="B20" s="17">
        <v>42790.027083333334</v>
      </c>
      <c r="C20" s="112">
        <f t="shared" si="1"/>
        <v>83.06666666676756</v>
      </c>
      <c r="D20" s="20">
        <f>0.189*2</f>
        <v>0.378</v>
      </c>
      <c r="E20" s="20">
        <f>0.21*2</f>
        <v>0.42</v>
      </c>
      <c r="F20" s="20">
        <f>0.18*2</f>
        <v>0.36</v>
      </c>
      <c r="G20" s="20">
        <v>1E-3</v>
      </c>
      <c r="H20" s="21">
        <f t="shared" si="2"/>
        <v>0.38599999999999995</v>
      </c>
      <c r="I20" s="22">
        <f t="shared" si="3"/>
        <v>3.0789608636681301E-2</v>
      </c>
      <c r="J20" s="23">
        <v>6.38</v>
      </c>
      <c r="K20" s="24">
        <v>6.34</v>
      </c>
      <c r="L20" s="24">
        <v>6.47</v>
      </c>
      <c r="M20" s="24">
        <v>6.93</v>
      </c>
      <c r="N20" s="25">
        <f t="shared" si="4"/>
        <v>6.3966666666666656</v>
      </c>
      <c r="O20" s="26">
        <f t="shared" si="5"/>
        <v>6.6583281184793869E-2</v>
      </c>
      <c r="P20" s="84"/>
      <c r="Q20" s="49"/>
      <c r="R20" s="49"/>
      <c r="S20" s="49"/>
      <c r="T20" s="85"/>
      <c r="U20" s="86"/>
      <c r="V20" s="84"/>
      <c r="W20" s="49"/>
      <c r="X20" s="49"/>
      <c r="Y20" s="49"/>
      <c r="Z20" s="49"/>
      <c r="AA20" s="59"/>
      <c r="AF20" s="81"/>
      <c r="AG20" s="81"/>
      <c r="AH20" s="133">
        <f>X111-X87</f>
        <v>-59000000</v>
      </c>
      <c r="AI20" s="134">
        <f>X112-X88</f>
        <v>-51000000</v>
      </c>
      <c r="AJ20" s="134">
        <f>X113-X89</f>
        <v>-80000000</v>
      </c>
      <c r="AK20" s="135">
        <f t="shared" si="6"/>
        <v>-63333333.333333336</v>
      </c>
      <c r="AL20" s="136">
        <f t="shared" si="7"/>
        <v>14977761.292440636</v>
      </c>
      <c r="AM20" s="133">
        <f>X87</f>
        <v>276000000</v>
      </c>
      <c r="AN20" s="134">
        <f>X88</f>
        <v>300000000</v>
      </c>
      <c r="AO20" s="134">
        <f>X89</f>
        <v>224000000</v>
      </c>
      <c r="AP20" s="135">
        <f t="shared" si="8"/>
        <v>266666666.66666666</v>
      </c>
      <c r="AQ20" s="136">
        <f t="shared" si="9"/>
        <v>38850139.42488917</v>
      </c>
      <c r="AR20" s="23">
        <f t="shared" ref="AR20:AT20" si="22">AH20/(AH20+AM20)</f>
        <v>-0.27188940092165897</v>
      </c>
      <c r="AS20" s="24">
        <f t="shared" si="22"/>
        <v>-0.20481927710843373</v>
      </c>
      <c r="AT20" s="24">
        <f t="shared" si="22"/>
        <v>-0.55555555555555558</v>
      </c>
      <c r="AU20" s="25">
        <f t="shared" si="11"/>
        <v>-0.34408807786188272</v>
      </c>
      <c r="AV20" s="26">
        <f t="shared" si="12"/>
        <v>0.18618128522672026</v>
      </c>
      <c r="AW20" s="23">
        <f t="shared" si="15"/>
        <v>1.271889400921659</v>
      </c>
      <c r="AX20" s="24">
        <f t="shared" si="0"/>
        <v>1.2048192771084338</v>
      </c>
      <c r="AY20" s="24">
        <f t="shared" si="0"/>
        <v>1.5555555555555556</v>
      </c>
      <c r="AZ20" s="25">
        <f t="shared" si="13"/>
        <v>1.3440880778618827</v>
      </c>
      <c r="BA20" s="86">
        <f t="shared" si="14"/>
        <v>0.18618128522672064</v>
      </c>
    </row>
    <row r="21" spans="1:53" x14ac:dyDescent="0.25">
      <c r="A21" s="5" t="s">
        <v>168</v>
      </c>
      <c r="B21" s="17">
        <v>42790.669444444444</v>
      </c>
      <c r="C21" s="112">
        <f t="shared" si="1"/>
        <v>98.483333333395422</v>
      </c>
      <c r="D21" s="20">
        <f>0.202*2</f>
        <v>0.40400000000000003</v>
      </c>
      <c r="E21" s="20">
        <f>0.226*2</f>
        <v>0.45200000000000001</v>
      </c>
      <c r="F21" s="20">
        <f>0.192*2</f>
        <v>0.38400000000000001</v>
      </c>
      <c r="G21" s="20">
        <v>2E-3</v>
      </c>
      <c r="H21" s="21">
        <f t="shared" si="2"/>
        <v>0.41333333333333339</v>
      </c>
      <c r="I21" s="22">
        <f t="shared" si="3"/>
        <v>3.4947579792216417E-2</v>
      </c>
      <c r="J21" s="23">
        <v>6.58</v>
      </c>
      <c r="K21" s="24">
        <v>6.54</v>
      </c>
      <c r="L21" s="24">
        <v>6.68</v>
      </c>
      <c r="M21" s="24">
        <v>6.84</v>
      </c>
      <c r="N21" s="25">
        <f t="shared" si="4"/>
        <v>6.6000000000000005</v>
      </c>
      <c r="O21" s="26">
        <f t="shared" si="5"/>
        <v>7.21110255092796E-2</v>
      </c>
      <c r="P21" s="84"/>
      <c r="Q21" s="49"/>
      <c r="R21" s="49"/>
      <c r="S21" s="49"/>
      <c r="T21" s="85"/>
      <c r="U21" s="86"/>
      <c r="V21" s="84"/>
      <c r="W21" s="49"/>
      <c r="X21" s="49"/>
      <c r="Y21" s="49"/>
      <c r="Z21" s="49"/>
      <c r="AA21" s="59"/>
      <c r="AF21" s="81"/>
      <c r="AG21" s="81"/>
      <c r="AH21" s="84"/>
      <c r="AI21" s="49"/>
      <c r="AJ21" s="49"/>
      <c r="AK21" s="85"/>
      <c r="AL21" s="86"/>
      <c r="AM21" s="84"/>
      <c r="AN21" s="49"/>
      <c r="AO21" s="49"/>
      <c r="AP21" s="49"/>
      <c r="AQ21" s="59"/>
      <c r="AR21" s="84"/>
      <c r="AS21" s="49"/>
      <c r="AT21" s="49"/>
      <c r="AU21" s="49"/>
      <c r="AV21" s="27"/>
      <c r="AW21" s="23"/>
      <c r="AX21" s="24"/>
      <c r="AY21" s="24"/>
      <c r="AZ21" s="49"/>
      <c r="BA21" s="59"/>
    </row>
    <row r="22" spans="1:53" x14ac:dyDescent="0.25">
      <c r="A22" s="6" t="s">
        <v>169</v>
      </c>
      <c r="B22" s="17">
        <v>42791.438888888886</v>
      </c>
      <c r="C22" s="112">
        <f t="shared" si="1"/>
        <v>116.95000000001164</v>
      </c>
      <c r="D22" s="20">
        <f>0.224*2</f>
        <v>0.44800000000000001</v>
      </c>
      <c r="E22" s="20">
        <f>0.246*2</f>
        <v>0.49199999999999999</v>
      </c>
      <c r="F22" s="20">
        <f>0.213*2</f>
        <v>0.42599999999999999</v>
      </c>
      <c r="G22" s="20">
        <v>1E-3</v>
      </c>
      <c r="H22" s="21">
        <f t="shared" si="2"/>
        <v>0.45533333333333331</v>
      </c>
      <c r="I22" s="22">
        <f t="shared" si="3"/>
        <v>3.3605555096342825E-2</v>
      </c>
      <c r="J22" s="23">
        <v>6.77</v>
      </c>
      <c r="K22" s="24">
        <v>6.73</v>
      </c>
      <c r="L22" s="24">
        <v>6.85</v>
      </c>
      <c r="M22" s="24">
        <v>6.78</v>
      </c>
      <c r="N22" s="25">
        <f t="shared" si="4"/>
        <v>6.7833333333333341</v>
      </c>
      <c r="O22" s="26">
        <f t="shared" si="5"/>
        <v>6.1101009266077533E-2</v>
      </c>
      <c r="P22" s="55">
        <v>25.961015039024176</v>
      </c>
      <c r="Q22" s="49"/>
      <c r="R22" s="49"/>
      <c r="S22" s="49"/>
      <c r="T22" s="85"/>
      <c r="U22" s="86"/>
      <c r="V22" s="24">
        <v>0.62950524353722359</v>
      </c>
      <c r="W22" s="49"/>
      <c r="X22" s="49"/>
      <c r="Y22" s="49"/>
      <c r="Z22" s="49"/>
      <c r="AA22" s="59"/>
      <c r="AB22" s="5" t="s">
        <v>21</v>
      </c>
      <c r="AF22" s="81"/>
      <c r="AG22" s="81"/>
      <c r="AH22" s="84"/>
      <c r="AI22" s="49"/>
      <c r="AJ22" s="49"/>
      <c r="AK22" s="85"/>
      <c r="AL22" s="86"/>
      <c r="AM22" s="84"/>
      <c r="AN22" s="49"/>
      <c r="AO22" s="49"/>
      <c r="AP22" s="49"/>
      <c r="AQ22" s="59"/>
      <c r="AR22" s="84"/>
      <c r="AS22" s="49"/>
      <c r="AT22" s="49"/>
      <c r="AU22" s="49"/>
      <c r="AV22" s="59"/>
      <c r="AW22" s="84"/>
      <c r="AX22" s="49"/>
      <c r="AY22" s="49"/>
      <c r="AZ22" s="49"/>
      <c r="BA22" s="59"/>
    </row>
    <row r="23" spans="1:53" x14ac:dyDescent="0.25">
      <c r="A23" s="5" t="s">
        <v>170</v>
      </c>
      <c r="B23" s="17">
        <v>42791.981944444444</v>
      </c>
      <c r="C23" s="118">
        <f t="shared" si="1"/>
        <v>129.98333333339542</v>
      </c>
      <c r="D23" s="41">
        <f>0.24*2</f>
        <v>0.48</v>
      </c>
      <c r="E23" s="41">
        <f>0.265*2</f>
        <v>0.53</v>
      </c>
      <c r="F23" s="41">
        <f>0.227*2</f>
        <v>0.45400000000000001</v>
      </c>
      <c r="G23" s="41">
        <v>1E-3</v>
      </c>
      <c r="H23" s="42">
        <f t="shared" si="2"/>
        <v>0.48799999999999999</v>
      </c>
      <c r="I23" s="43">
        <f t="shared" si="3"/>
        <v>3.8626415831655943E-2</v>
      </c>
      <c r="J23" s="44">
        <v>6.78</v>
      </c>
      <c r="K23" s="45">
        <v>6.75</v>
      </c>
      <c r="L23" s="45">
        <v>6.77</v>
      </c>
      <c r="M23" s="45">
        <v>6.74</v>
      </c>
      <c r="N23" s="46">
        <f t="shared" si="4"/>
        <v>6.7666666666666666</v>
      </c>
      <c r="O23" s="47">
        <f t="shared" si="5"/>
        <v>1.5275252316519529E-2</v>
      </c>
      <c r="P23" s="64"/>
      <c r="Q23" s="62"/>
      <c r="R23" s="62"/>
      <c r="S23" s="62"/>
      <c r="T23" s="104"/>
      <c r="U23" s="80"/>
      <c r="V23" s="64"/>
      <c r="W23" s="62"/>
      <c r="X23" s="62"/>
      <c r="Y23" s="62"/>
      <c r="Z23" s="62"/>
      <c r="AA23" s="63"/>
      <c r="AB23" s="64"/>
      <c r="AC23" s="62"/>
      <c r="AD23" s="62"/>
      <c r="AE23" s="62"/>
      <c r="AF23" s="104"/>
      <c r="AG23" s="80"/>
      <c r="AH23" s="64"/>
      <c r="AI23" s="62"/>
      <c r="AJ23" s="62"/>
      <c r="AK23" s="104"/>
      <c r="AL23" s="80"/>
      <c r="AM23" s="64"/>
      <c r="AN23" s="62"/>
      <c r="AO23" s="62"/>
      <c r="AP23" s="62"/>
      <c r="AQ23" s="63"/>
      <c r="AR23" s="64"/>
      <c r="AS23" s="62"/>
      <c r="AT23" s="62"/>
      <c r="AU23" s="62"/>
      <c r="AV23" s="63"/>
      <c r="AW23" s="64"/>
      <c r="AX23" s="62"/>
      <c r="AY23" s="62"/>
      <c r="AZ23" s="62"/>
      <c r="BA23" s="63"/>
    </row>
    <row r="24" spans="1:53" ht="18.75" x14ac:dyDescent="0.35">
      <c r="C24" s="48" t="s">
        <v>25</v>
      </c>
      <c r="D24" s="55">
        <f>LN(LOGEST(D7:D9,$C$7:$C$9))</f>
        <v>0.13984956569524851</v>
      </c>
      <c r="E24" s="55">
        <f t="shared" ref="E24:F24" si="23">LN(LOGEST(E7:E9,$C$7:$C$9))</f>
        <v>0.1456310437856673</v>
      </c>
      <c r="F24" s="55">
        <f t="shared" si="23"/>
        <v>0.13501260970427736</v>
      </c>
      <c r="G24" s="55"/>
      <c r="H24" s="70">
        <f>AVERAGE(D24:F24)</f>
        <v>0.14016440639506439</v>
      </c>
      <c r="I24" s="243">
        <f>STDEV(D24:F24)</f>
        <v>5.3162137922492577E-3</v>
      </c>
      <c r="M24" s="50"/>
      <c r="O24" s="123" t="s">
        <v>87</v>
      </c>
      <c r="P24" s="55">
        <f>P7-P9</f>
        <v>4.1663381095764151</v>
      </c>
      <c r="T24" s="81"/>
      <c r="U24" s="120"/>
      <c r="V24" s="55">
        <f>V9-V7</f>
        <v>2.6720977333148581</v>
      </c>
      <c r="AA24" s="215"/>
      <c r="AG24" s="215"/>
      <c r="AL24" s="215"/>
      <c r="AQ24" s="215"/>
      <c r="AR24" s="84"/>
      <c r="AS24" s="49"/>
      <c r="AT24" s="49"/>
      <c r="AU24" s="49"/>
      <c r="AV24" s="59"/>
      <c r="AW24" s="84"/>
      <c r="AX24" s="49"/>
      <c r="AY24" s="49"/>
      <c r="AZ24" s="49"/>
      <c r="BA24" s="59"/>
    </row>
    <row r="25" spans="1:53" ht="18" x14ac:dyDescent="0.35">
      <c r="A25" s="52" t="s">
        <v>27</v>
      </c>
      <c r="B25" s="53"/>
      <c r="C25" s="54" t="s">
        <v>28</v>
      </c>
      <c r="D25" s="55">
        <f>D23*0.46</f>
        <v>0.2208</v>
      </c>
      <c r="E25" s="55">
        <f t="shared" ref="E25:F25" si="24">E23*0.46</f>
        <v>0.24380000000000002</v>
      </c>
      <c r="F25" s="55">
        <f t="shared" si="24"/>
        <v>0.20884000000000003</v>
      </c>
      <c r="G25" s="55"/>
      <c r="H25" s="70">
        <f>AVERAGE(D25:F25)</f>
        <v>0.22448000000000001</v>
      </c>
      <c r="I25" s="95">
        <f>STDEV(D25:F25)</f>
        <v>1.7768151282561727E-2</v>
      </c>
      <c r="M25" s="50"/>
      <c r="O25" s="54" t="s">
        <v>29</v>
      </c>
      <c r="P25" s="55">
        <f>(D9-D7)*0.46</f>
        <v>3.5879999999999995E-2</v>
      </c>
      <c r="Q25" s="55">
        <f t="shared" ref="Q25:R25" si="25">(E9-E7)*0.46</f>
        <v>3.9100000000000003E-2</v>
      </c>
      <c r="R25" s="55">
        <f t="shared" si="25"/>
        <v>3.3120000000000004E-2</v>
      </c>
      <c r="S25" s="55"/>
      <c r="T25" s="111">
        <f>AVERAGE(P25:R25)</f>
        <v>3.6033333333333334E-2</v>
      </c>
      <c r="U25" s="26">
        <f>STDEV(P25:R25)</f>
        <v>2.9929472653779472E-3</v>
      </c>
      <c r="AA25" s="59"/>
      <c r="AG25" s="59"/>
      <c r="AL25" s="59"/>
      <c r="AQ25" s="59"/>
      <c r="AR25" s="84"/>
      <c r="AS25" s="49"/>
      <c r="AT25" s="49"/>
      <c r="AU25" s="49"/>
      <c r="AV25" s="59"/>
      <c r="AW25" s="84"/>
      <c r="AX25" s="49"/>
      <c r="AY25" s="49"/>
      <c r="AZ25" s="49"/>
      <c r="BA25" s="59"/>
    </row>
    <row r="26" spans="1:53" ht="18" x14ac:dyDescent="0.35">
      <c r="C26" s="56"/>
      <c r="H26" s="55"/>
      <c r="I26" s="59"/>
      <c r="M26" s="50"/>
      <c r="O26" s="54" t="s">
        <v>30</v>
      </c>
      <c r="P26" s="55">
        <f>P25/(P24/1000*180.16)</f>
        <v>4.7801282629571458E-2</v>
      </c>
      <c r="T26" s="81"/>
      <c r="U26" s="86"/>
      <c r="V26" s="55">
        <f>(V24/1000*90.08)/(P24/1000*180.16)</f>
        <v>0.32067701456741904</v>
      </c>
      <c r="AA26" s="59"/>
      <c r="AG26" s="59"/>
      <c r="AL26" s="59"/>
      <c r="AQ26" s="59"/>
      <c r="AR26" s="84"/>
      <c r="AS26" s="49"/>
      <c r="AT26" s="49"/>
      <c r="AU26" s="49"/>
      <c r="AV26" s="59"/>
      <c r="AW26" s="84"/>
      <c r="AX26" s="49"/>
      <c r="AY26" s="49"/>
      <c r="AZ26" s="49"/>
      <c r="BA26" s="59"/>
    </row>
    <row r="27" spans="1:53" ht="18" x14ac:dyDescent="0.35">
      <c r="C27" s="56"/>
      <c r="I27" s="59"/>
      <c r="M27" s="98"/>
      <c r="O27" s="60" t="s">
        <v>31</v>
      </c>
      <c r="P27" s="55"/>
      <c r="T27" s="81"/>
      <c r="U27" s="86"/>
      <c r="V27" s="55">
        <f>(V24/1000*90.08)/P25</f>
        <v>6.7085441420569243</v>
      </c>
      <c r="AA27" s="59"/>
      <c r="AG27" s="59"/>
      <c r="AL27" s="59"/>
      <c r="AQ27" s="59"/>
      <c r="AR27" s="84"/>
      <c r="AS27" s="49"/>
      <c r="AT27" s="49"/>
      <c r="AU27" s="49"/>
      <c r="AV27" s="59"/>
      <c r="AW27" s="84"/>
      <c r="AX27" s="49"/>
      <c r="AY27" s="49"/>
      <c r="AZ27" s="49"/>
      <c r="BA27" s="59"/>
    </row>
    <row r="28" spans="1:53" ht="18.75" x14ac:dyDescent="0.35">
      <c r="C28" s="56"/>
      <c r="I28" s="59"/>
      <c r="M28" s="98"/>
      <c r="O28" s="54" t="s">
        <v>32</v>
      </c>
      <c r="P28" s="55">
        <f>D24*(P24)</f>
        <v>0.5826605751638243</v>
      </c>
      <c r="T28" s="81"/>
      <c r="U28" s="86"/>
      <c r="V28" s="55">
        <f>D24*(V24)</f>
        <v>0.37369170749934089</v>
      </c>
      <c r="AA28" s="59"/>
      <c r="AG28" s="59"/>
      <c r="AL28" s="59"/>
      <c r="AQ28" s="59"/>
      <c r="AR28" s="84"/>
      <c r="AS28" s="49"/>
      <c r="AT28" s="49"/>
      <c r="AU28" s="49"/>
      <c r="AV28" s="59"/>
      <c r="AW28" s="84"/>
      <c r="AX28" s="49"/>
      <c r="AY28" s="49"/>
      <c r="AZ28" s="49"/>
      <c r="BA28" s="59"/>
    </row>
    <row r="29" spans="1:53" ht="18.75" x14ac:dyDescent="0.35">
      <c r="C29" s="61"/>
      <c r="D29" s="62"/>
      <c r="E29" s="62"/>
      <c r="F29" s="62"/>
      <c r="G29" s="62"/>
      <c r="H29" s="62"/>
      <c r="I29" s="63"/>
      <c r="J29" s="62"/>
      <c r="K29" s="62"/>
      <c r="L29" s="62"/>
      <c r="M29" s="65"/>
      <c r="N29" s="62"/>
      <c r="O29" s="124" t="s">
        <v>118</v>
      </c>
      <c r="P29" s="45">
        <f>D24*(P24/P25)</f>
        <v>16.239146464989531</v>
      </c>
      <c r="Q29" s="45"/>
      <c r="R29" s="45"/>
      <c r="S29" s="45"/>
      <c r="T29" s="46"/>
      <c r="U29" s="47"/>
      <c r="V29" s="45">
        <f>D24*(V24/P25)</f>
        <v>10.415042015031799</v>
      </c>
      <c r="W29" s="62"/>
      <c r="X29" s="62"/>
      <c r="Y29" s="62"/>
      <c r="Z29" s="62"/>
      <c r="AA29" s="63"/>
      <c r="AB29" s="62"/>
      <c r="AC29" s="62"/>
      <c r="AD29" s="62"/>
      <c r="AE29" s="62"/>
      <c r="AF29" s="62"/>
      <c r="AG29" s="63"/>
      <c r="AH29" s="62"/>
      <c r="AI29" s="62"/>
      <c r="AJ29" s="62"/>
      <c r="AK29" s="62"/>
      <c r="AL29" s="63"/>
      <c r="AM29" s="62"/>
      <c r="AN29" s="62"/>
      <c r="AO29" s="62"/>
      <c r="AP29" s="62"/>
      <c r="AQ29" s="63"/>
      <c r="AR29" s="64"/>
      <c r="AS29" s="62"/>
      <c r="AT29" s="62"/>
      <c r="AU29" s="62"/>
      <c r="AV29" s="63"/>
      <c r="AW29" s="64"/>
      <c r="AX29" s="62"/>
      <c r="AY29" s="62"/>
      <c r="AZ29" s="62"/>
      <c r="BA29" s="63"/>
    </row>
    <row r="30" spans="1:53" x14ac:dyDescent="0.25">
      <c r="I30" s="69" t="s">
        <v>34</v>
      </c>
      <c r="J30" s="55">
        <f>P25/(J7-J9)</f>
        <v>4.2714285714285719E-2</v>
      </c>
      <c r="K30" s="55">
        <f>Q25/(K7-K9)</f>
        <v>3.9494949494949493E-2</v>
      </c>
      <c r="L30" s="55">
        <f>R25/(L7-L9)</f>
        <v>3.9903614457831325E-2</v>
      </c>
      <c r="N30" s="111">
        <f>AVERAGE(J30:L30)</f>
        <v>4.070428322235551E-2</v>
      </c>
      <c r="O30" s="26">
        <f>STDEV(J30:L30)</f>
        <v>1.7526649069762399E-3</v>
      </c>
    </row>
    <row r="32" spans="1:53" x14ac:dyDescent="0.25">
      <c r="O32" s="9" t="s">
        <v>35</v>
      </c>
      <c r="P32" s="5">
        <f>P24/1000*6</f>
        <v>2.4998028657458489E-2</v>
      </c>
    </row>
    <row r="33" spans="15:16" x14ac:dyDescent="0.25">
      <c r="O33" s="9" t="s">
        <v>36</v>
      </c>
      <c r="P33" s="5">
        <f>P25*0.5/12.01</f>
        <v>1.4937552039966692E-3</v>
      </c>
    </row>
    <row r="34" spans="15:16" x14ac:dyDescent="0.25">
      <c r="O34" s="9" t="s">
        <v>37</v>
      </c>
      <c r="P34" s="5">
        <f>(P32-P33-P33)/P32</f>
        <v>0.88049015988698864</v>
      </c>
    </row>
    <row r="67" spans="1:48" x14ac:dyDescent="0.25">
      <c r="A67" s="145" t="s">
        <v>89</v>
      </c>
    </row>
    <row r="68" spans="1:48" x14ac:dyDescent="0.25">
      <c r="B68" s="73" t="s">
        <v>90</v>
      </c>
      <c r="C68" s="73">
        <v>1</v>
      </c>
      <c r="D68" s="73">
        <v>2</v>
      </c>
      <c r="E68" s="73">
        <v>3</v>
      </c>
      <c r="F68" s="73">
        <v>4</v>
      </c>
      <c r="G68" s="73">
        <v>5</v>
      </c>
      <c r="H68" s="73">
        <v>6</v>
      </c>
      <c r="I68" s="73">
        <v>7</v>
      </c>
      <c r="J68" s="73">
        <v>8</v>
      </c>
      <c r="K68" s="73">
        <v>9</v>
      </c>
      <c r="L68" s="73">
        <v>10</v>
      </c>
      <c r="M68" s="73"/>
      <c r="N68" s="73">
        <v>1</v>
      </c>
      <c r="O68" s="73">
        <v>2</v>
      </c>
      <c r="P68" s="73">
        <v>3</v>
      </c>
      <c r="Q68" s="73">
        <v>4</v>
      </c>
      <c r="R68" s="73">
        <v>5</v>
      </c>
      <c r="S68" s="73">
        <v>6</v>
      </c>
      <c r="T68" s="73">
        <v>7</v>
      </c>
      <c r="U68" s="73">
        <v>8</v>
      </c>
      <c r="V68" s="73">
        <v>9</v>
      </c>
      <c r="W68" s="73">
        <v>10</v>
      </c>
      <c r="X68" s="73" t="s">
        <v>17</v>
      </c>
      <c r="Y68" s="73"/>
      <c r="Z68" s="73" t="s">
        <v>90</v>
      </c>
      <c r="AA68" s="73">
        <v>1</v>
      </c>
      <c r="AB68" s="73">
        <v>2</v>
      </c>
      <c r="AC68" s="73">
        <v>3</v>
      </c>
      <c r="AD68" s="73">
        <v>4</v>
      </c>
      <c r="AE68" s="73">
        <v>5</v>
      </c>
      <c r="AF68" s="73">
        <v>6</v>
      </c>
      <c r="AG68" s="73">
        <v>7</v>
      </c>
      <c r="AH68" s="73">
        <v>8</v>
      </c>
      <c r="AI68" s="73">
        <v>9</v>
      </c>
      <c r="AJ68" s="73">
        <v>10</v>
      </c>
      <c r="AK68" s="73"/>
      <c r="AL68" s="73">
        <v>1</v>
      </c>
      <c r="AM68" s="73">
        <v>2</v>
      </c>
      <c r="AN68" s="73">
        <v>3</v>
      </c>
      <c r="AO68" s="73">
        <v>4</v>
      </c>
      <c r="AP68" s="73">
        <v>5</v>
      </c>
      <c r="AQ68" s="73">
        <v>6</v>
      </c>
      <c r="AR68" s="73">
        <v>7</v>
      </c>
      <c r="AS68" s="73">
        <v>8</v>
      </c>
      <c r="AT68" s="73">
        <v>9</v>
      </c>
      <c r="AU68" s="73">
        <v>10</v>
      </c>
      <c r="AV68" s="73" t="s">
        <v>17</v>
      </c>
    </row>
    <row r="69" spans="1:48" x14ac:dyDescent="0.25">
      <c r="A69" s="9" t="s">
        <v>92</v>
      </c>
      <c r="B69" s="5">
        <v>5</v>
      </c>
      <c r="C69" s="5">
        <v>6</v>
      </c>
      <c r="D69" s="5">
        <v>3</v>
      </c>
      <c r="E69" s="5">
        <v>7</v>
      </c>
      <c r="F69" s="5">
        <v>2</v>
      </c>
      <c r="G69" s="5">
        <v>6</v>
      </c>
      <c r="H69" s="5">
        <v>6</v>
      </c>
      <c r="I69" s="5">
        <v>3</v>
      </c>
      <c r="J69" s="5">
        <v>4</v>
      </c>
      <c r="K69" s="5">
        <v>5</v>
      </c>
      <c r="L69" s="5">
        <v>6</v>
      </c>
      <c r="N69" s="146">
        <f>(C69/0.01)*10^($B$69)</f>
        <v>60000000</v>
      </c>
      <c r="O69" s="146">
        <f t="shared" ref="O69:W69" si="26">(D69/0.01)*10^($B$69)</f>
        <v>30000000</v>
      </c>
      <c r="P69" s="146">
        <f t="shared" si="26"/>
        <v>70000000</v>
      </c>
      <c r="Q69" s="146">
        <f t="shared" si="26"/>
        <v>20000000</v>
      </c>
      <c r="R69" s="146">
        <f t="shared" si="26"/>
        <v>60000000</v>
      </c>
      <c r="S69" s="146">
        <f t="shared" si="26"/>
        <v>60000000</v>
      </c>
      <c r="T69" s="146">
        <f t="shared" si="26"/>
        <v>30000000</v>
      </c>
      <c r="U69" s="146">
        <f t="shared" si="26"/>
        <v>40000000</v>
      </c>
      <c r="V69" s="146">
        <f t="shared" si="26"/>
        <v>50000000</v>
      </c>
      <c r="W69" s="146">
        <f t="shared" si="26"/>
        <v>60000000</v>
      </c>
      <c r="X69" s="146">
        <f>AVERAGE(N69:W69)</f>
        <v>48000000</v>
      </c>
      <c r="Y69" s="9" t="s">
        <v>92</v>
      </c>
    </row>
    <row r="70" spans="1:48" x14ac:dyDescent="0.25">
      <c r="A70" s="9" t="s">
        <v>93</v>
      </c>
      <c r="B70" s="5">
        <v>5</v>
      </c>
      <c r="C70" s="5">
        <v>10</v>
      </c>
      <c r="D70" s="5">
        <v>5</v>
      </c>
      <c r="E70" s="5">
        <v>2</v>
      </c>
      <c r="F70" s="5">
        <v>5</v>
      </c>
      <c r="G70" s="5">
        <v>6</v>
      </c>
      <c r="H70" s="5">
        <v>6</v>
      </c>
      <c r="I70" s="5">
        <v>3</v>
      </c>
      <c r="J70" s="5">
        <v>3</v>
      </c>
      <c r="K70" s="5">
        <v>10</v>
      </c>
      <c r="L70" s="5">
        <v>4</v>
      </c>
      <c r="N70" s="146">
        <f>(C70/0.01)*10^($B$70)</f>
        <v>100000000</v>
      </c>
      <c r="O70" s="146">
        <f t="shared" ref="O70:W70" si="27">(D70/0.01)*10^($B$70)</f>
        <v>50000000</v>
      </c>
      <c r="P70" s="146">
        <f t="shared" si="27"/>
        <v>20000000</v>
      </c>
      <c r="Q70" s="146">
        <f t="shared" si="27"/>
        <v>50000000</v>
      </c>
      <c r="R70" s="146">
        <f t="shared" si="27"/>
        <v>60000000</v>
      </c>
      <c r="S70" s="146">
        <f t="shared" si="27"/>
        <v>60000000</v>
      </c>
      <c r="T70" s="146">
        <f t="shared" si="27"/>
        <v>30000000</v>
      </c>
      <c r="U70" s="146">
        <f t="shared" si="27"/>
        <v>30000000</v>
      </c>
      <c r="V70" s="146">
        <f t="shared" si="27"/>
        <v>100000000</v>
      </c>
      <c r="W70" s="146">
        <f t="shared" si="27"/>
        <v>40000000</v>
      </c>
      <c r="X70" s="146">
        <f t="shared" ref="X70:X113" si="28">AVERAGE(N70:W70)</f>
        <v>54000000</v>
      </c>
      <c r="Y70" s="9" t="s">
        <v>93</v>
      </c>
    </row>
    <row r="71" spans="1:48" x14ac:dyDescent="0.25">
      <c r="A71" s="9" t="s">
        <v>94</v>
      </c>
      <c r="B71" s="5">
        <v>5</v>
      </c>
      <c r="C71" s="5">
        <v>3</v>
      </c>
      <c r="D71" s="5">
        <v>0</v>
      </c>
      <c r="E71" s="5">
        <v>5</v>
      </c>
      <c r="F71" s="5">
        <v>6</v>
      </c>
      <c r="G71" s="5">
        <v>4</v>
      </c>
      <c r="H71" s="5">
        <v>5</v>
      </c>
      <c r="I71" s="5">
        <v>2</v>
      </c>
      <c r="J71" s="5">
        <v>5</v>
      </c>
      <c r="K71" s="5">
        <v>4</v>
      </c>
      <c r="L71" s="5">
        <v>2</v>
      </c>
      <c r="N71" s="146">
        <f>(C71/0.01)*10^($B$71)</f>
        <v>30000000</v>
      </c>
      <c r="O71" s="146">
        <f t="shared" ref="O71:W71" si="29">(D71/0.01)*10^($B$71)</f>
        <v>0</v>
      </c>
      <c r="P71" s="146">
        <f t="shared" si="29"/>
        <v>50000000</v>
      </c>
      <c r="Q71" s="146">
        <f t="shared" si="29"/>
        <v>60000000</v>
      </c>
      <c r="R71" s="146">
        <f t="shared" si="29"/>
        <v>40000000</v>
      </c>
      <c r="S71" s="146">
        <f t="shared" si="29"/>
        <v>50000000</v>
      </c>
      <c r="T71" s="146">
        <f t="shared" si="29"/>
        <v>20000000</v>
      </c>
      <c r="U71" s="146">
        <f t="shared" si="29"/>
        <v>50000000</v>
      </c>
      <c r="V71" s="146">
        <f t="shared" si="29"/>
        <v>40000000</v>
      </c>
      <c r="W71" s="146">
        <f t="shared" si="29"/>
        <v>20000000</v>
      </c>
      <c r="X71" s="146">
        <f t="shared" si="28"/>
        <v>36000000</v>
      </c>
      <c r="Y71" s="9" t="s">
        <v>94</v>
      </c>
    </row>
    <row r="72" spans="1:48" x14ac:dyDescent="0.25">
      <c r="A72" s="9" t="s">
        <v>95</v>
      </c>
      <c r="B72" s="5">
        <v>5</v>
      </c>
      <c r="C72" s="5">
        <v>6</v>
      </c>
      <c r="D72" s="5">
        <v>3</v>
      </c>
      <c r="E72" s="5">
        <v>8</v>
      </c>
      <c r="F72" s="5">
        <v>7</v>
      </c>
      <c r="G72" s="5">
        <v>3</v>
      </c>
      <c r="H72" s="5">
        <v>5</v>
      </c>
      <c r="I72" s="5">
        <v>7</v>
      </c>
      <c r="J72" s="5">
        <v>13</v>
      </c>
      <c r="K72" s="5">
        <v>1</v>
      </c>
      <c r="L72" s="5">
        <v>4</v>
      </c>
      <c r="N72" s="146">
        <f>(C72/0.01)*10^($B$72)</f>
        <v>60000000</v>
      </c>
      <c r="O72" s="146">
        <f t="shared" ref="O72:W72" si="30">(D72/0.01)*10^($B$72)</f>
        <v>30000000</v>
      </c>
      <c r="P72" s="146">
        <f t="shared" si="30"/>
        <v>80000000</v>
      </c>
      <c r="Q72" s="146">
        <f t="shared" si="30"/>
        <v>70000000</v>
      </c>
      <c r="R72" s="146">
        <f t="shared" si="30"/>
        <v>30000000</v>
      </c>
      <c r="S72" s="146">
        <f t="shared" si="30"/>
        <v>50000000</v>
      </c>
      <c r="T72" s="146">
        <f t="shared" si="30"/>
        <v>70000000</v>
      </c>
      <c r="U72" s="146">
        <f t="shared" si="30"/>
        <v>130000000</v>
      </c>
      <c r="V72" s="146">
        <f t="shared" si="30"/>
        <v>10000000</v>
      </c>
      <c r="W72" s="146">
        <f t="shared" si="30"/>
        <v>40000000</v>
      </c>
      <c r="X72" s="146">
        <f t="shared" si="28"/>
        <v>57000000</v>
      </c>
      <c r="Y72" s="9" t="s">
        <v>95</v>
      </c>
    </row>
    <row r="73" spans="1:48" x14ac:dyDescent="0.25">
      <c r="A73" s="9" t="s">
        <v>96</v>
      </c>
      <c r="B73" s="5">
        <v>5</v>
      </c>
      <c r="C73" s="5">
        <v>5</v>
      </c>
      <c r="D73" s="5">
        <v>4</v>
      </c>
      <c r="E73" s="5">
        <v>6</v>
      </c>
      <c r="F73" s="5">
        <v>5</v>
      </c>
      <c r="G73" s="5">
        <v>8</v>
      </c>
      <c r="H73" s="5">
        <v>4</v>
      </c>
      <c r="I73" s="5">
        <v>7</v>
      </c>
      <c r="J73" s="5">
        <v>2</v>
      </c>
      <c r="K73" s="5">
        <v>6</v>
      </c>
      <c r="L73" s="5">
        <v>6</v>
      </c>
      <c r="N73" s="146">
        <f>(C73/0.01)*10^($B$73)</f>
        <v>50000000</v>
      </c>
      <c r="O73" s="146">
        <f t="shared" ref="O73:W73" si="31">(D73/0.01)*10^($B$73)</f>
        <v>40000000</v>
      </c>
      <c r="P73" s="146">
        <f t="shared" si="31"/>
        <v>60000000</v>
      </c>
      <c r="Q73" s="146">
        <f t="shared" si="31"/>
        <v>50000000</v>
      </c>
      <c r="R73" s="146">
        <f t="shared" si="31"/>
        <v>80000000</v>
      </c>
      <c r="S73" s="146">
        <f t="shared" si="31"/>
        <v>40000000</v>
      </c>
      <c r="T73" s="146">
        <f t="shared" si="31"/>
        <v>70000000</v>
      </c>
      <c r="U73" s="146">
        <f t="shared" si="31"/>
        <v>20000000</v>
      </c>
      <c r="V73" s="146">
        <f t="shared" si="31"/>
        <v>60000000</v>
      </c>
      <c r="W73" s="146">
        <f t="shared" si="31"/>
        <v>60000000</v>
      </c>
      <c r="X73" s="146">
        <f t="shared" si="28"/>
        <v>53000000</v>
      </c>
      <c r="Y73" s="9" t="s">
        <v>96</v>
      </c>
    </row>
    <row r="74" spans="1:48" x14ac:dyDescent="0.25">
      <c r="A74" s="9" t="s">
        <v>97</v>
      </c>
      <c r="B74" s="5">
        <v>5</v>
      </c>
      <c r="C74" s="5">
        <v>11</v>
      </c>
      <c r="D74" s="5">
        <v>3</v>
      </c>
      <c r="E74" s="5">
        <v>7</v>
      </c>
      <c r="F74" s="5">
        <v>4</v>
      </c>
      <c r="G74" s="5">
        <v>3</v>
      </c>
      <c r="H74" s="5">
        <v>9</v>
      </c>
      <c r="I74" s="5">
        <v>3</v>
      </c>
      <c r="J74" s="5">
        <v>7</v>
      </c>
      <c r="K74" s="5">
        <v>4</v>
      </c>
      <c r="L74" s="5">
        <v>6</v>
      </c>
      <c r="N74" s="146">
        <f>(C74/0.01)*10^($B$74)</f>
        <v>110000000</v>
      </c>
      <c r="O74" s="146">
        <f t="shared" ref="O74:W74" si="32">(D74/0.01)*10^($B$74)</f>
        <v>30000000</v>
      </c>
      <c r="P74" s="146">
        <f t="shared" si="32"/>
        <v>70000000</v>
      </c>
      <c r="Q74" s="146">
        <f t="shared" si="32"/>
        <v>40000000</v>
      </c>
      <c r="R74" s="146">
        <f t="shared" si="32"/>
        <v>30000000</v>
      </c>
      <c r="S74" s="146">
        <f t="shared" si="32"/>
        <v>90000000</v>
      </c>
      <c r="T74" s="146">
        <f t="shared" si="32"/>
        <v>30000000</v>
      </c>
      <c r="U74" s="146">
        <f t="shared" si="32"/>
        <v>70000000</v>
      </c>
      <c r="V74" s="146">
        <f t="shared" si="32"/>
        <v>40000000</v>
      </c>
      <c r="W74" s="146">
        <f t="shared" si="32"/>
        <v>60000000</v>
      </c>
      <c r="X74" s="146">
        <f t="shared" si="28"/>
        <v>57000000</v>
      </c>
      <c r="Y74" s="9" t="s">
        <v>97</v>
      </c>
    </row>
    <row r="75" spans="1:48" x14ac:dyDescent="0.25">
      <c r="A75" s="9" t="s">
        <v>98</v>
      </c>
      <c r="B75" s="5">
        <v>5</v>
      </c>
      <c r="C75" s="5">
        <v>13</v>
      </c>
      <c r="D75" s="5">
        <v>6</v>
      </c>
      <c r="E75" s="5">
        <v>12</v>
      </c>
      <c r="F75" s="5">
        <v>9</v>
      </c>
      <c r="G75" s="5">
        <v>17</v>
      </c>
      <c r="H75" s="5">
        <v>6</v>
      </c>
      <c r="I75" s="5">
        <v>10</v>
      </c>
      <c r="J75" s="5">
        <v>7</v>
      </c>
      <c r="K75" s="5">
        <v>7</v>
      </c>
      <c r="L75" s="5">
        <v>8</v>
      </c>
      <c r="N75" s="146">
        <f>(C75/0.01)*10^($B$75)</f>
        <v>130000000</v>
      </c>
      <c r="O75" s="146">
        <f t="shared" ref="O75:W75" si="33">(D75/0.01)*10^($B$75)</f>
        <v>60000000</v>
      </c>
      <c r="P75" s="146">
        <f t="shared" si="33"/>
        <v>120000000</v>
      </c>
      <c r="Q75" s="146">
        <f t="shared" si="33"/>
        <v>90000000</v>
      </c>
      <c r="R75" s="146">
        <f t="shared" si="33"/>
        <v>170000000</v>
      </c>
      <c r="S75" s="146">
        <f t="shared" si="33"/>
        <v>60000000</v>
      </c>
      <c r="T75" s="146">
        <f t="shared" si="33"/>
        <v>100000000</v>
      </c>
      <c r="U75" s="146">
        <f t="shared" si="33"/>
        <v>70000000</v>
      </c>
      <c r="V75" s="146">
        <f t="shared" si="33"/>
        <v>70000000</v>
      </c>
      <c r="W75" s="146">
        <f t="shared" si="33"/>
        <v>80000000</v>
      </c>
      <c r="X75" s="146">
        <f t="shared" si="28"/>
        <v>95000000</v>
      </c>
      <c r="Y75" s="9" t="s">
        <v>98</v>
      </c>
    </row>
    <row r="76" spans="1:48" x14ac:dyDescent="0.25">
      <c r="A76" s="9" t="s">
        <v>99</v>
      </c>
      <c r="B76" s="5">
        <v>5</v>
      </c>
      <c r="C76" s="5">
        <v>6</v>
      </c>
      <c r="D76" s="5">
        <v>12</v>
      </c>
      <c r="E76" s="5">
        <v>5</v>
      </c>
      <c r="F76" s="5">
        <v>14</v>
      </c>
      <c r="G76" s="5">
        <v>8</v>
      </c>
      <c r="H76" s="5">
        <v>11</v>
      </c>
      <c r="I76" s="5">
        <v>5</v>
      </c>
      <c r="J76" s="5">
        <v>7</v>
      </c>
      <c r="K76" s="5">
        <v>7</v>
      </c>
      <c r="L76" s="5">
        <v>10</v>
      </c>
      <c r="N76" s="146">
        <f>(C76/0.01)*10^($B$76)</f>
        <v>60000000</v>
      </c>
      <c r="O76" s="146">
        <f t="shared" ref="O76:W76" si="34">(D76/0.01)*10^($B$76)</f>
        <v>120000000</v>
      </c>
      <c r="P76" s="146">
        <f t="shared" si="34"/>
        <v>50000000</v>
      </c>
      <c r="Q76" s="146">
        <f t="shared" si="34"/>
        <v>140000000</v>
      </c>
      <c r="R76" s="146">
        <f t="shared" si="34"/>
        <v>80000000</v>
      </c>
      <c r="S76" s="146">
        <f t="shared" si="34"/>
        <v>110000000</v>
      </c>
      <c r="T76" s="146">
        <f t="shared" si="34"/>
        <v>50000000</v>
      </c>
      <c r="U76" s="146">
        <f t="shared" si="34"/>
        <v>70000000</v>
      </c>
      <c r="V76" s="146">
        <f t="shared" si="34"/>
        <v>70000000</v>
      </c>
      <c r="W76" s="146">
        <f t="shared" si="34"/>
        <v>100000000</v>
      </c>
      <c r="X76" s="146">
        <f t="shared" si="28"/>
        <v>85000000</v>
      </c>
      <c r="Y76" s="9" t="s">
        <v>99</v>
      </c>
    </row>
    <row r="77" spans="1:48" x14ac:dyDescent="0.25">
      <c r="A77" s="9" t="s">
        <v>100</v>
      </c>
      <c r="B77" s="5">
        <v>5</v>
      </c>
      <c r="C77" s="5">
        <v>7</v>
      </c>
      <c r="D77" s="5">
        <v>9</v>
      </c>
      <c r="E77" s="5">
        <v>7</v>
      </c>
      <c r="F77" s="5">
        <v>14</v>
      </c>
      <c r="G77" s="5">
        <v>9</v>
      </c>
      <c r="H77" s="5">
        <v>4</v>
      </c>
      <c r="I77" s="5">
        <v>9</v>
      </c>
      <c r="J77" s="5">
        <v>4</v>
      </c>
      <c r="K77" s="5">
        <v>6</v>
      </c>
      <c r="L77" s="5">
        <v>11</v>
      </c>
      <c r="N77" s="146">
        <f>(C77/0.01)*10^($B$77)</f>
        <v>70000000</v>
      </c>
      <c r="O77" s="146">
        <f t="shared" ref="O77:W77" si="35">(D77/0.01)*10^($B$77)</f>
        <v>90000000</v>
      </c>
      <c r="P77" s="146">
        <f t="shared" si="35"/>
        <v>70000000</v>
      </c>
      <c r="Q77" s="146">
        <f t="shared" si="35"/>
        <v>140000000</v>
      </c>
      <c r="R77" s="146">
        <f t="shared" si="35"/>
        <v>90000000</v>
      </c>
      <c r="S77" s="146">
        <f t="shared" si="35"/>
        <v>40000000</v>
      </c>
      <c r="T77" s="146">
        <f t="shared" si="35"/>
        <v>90000000</v>
      </c>
      <c r="U77" s="146">
        <f t="shared" si="35"/>
        <v>40000000</v>
      </c>
      <c r="V77" s="146">
        <f t="shared" si="35"/>
        <v>60000000</v>
      </c>
      <c r="W77" s="146">
        <f t="shared" si="35"/>
        <v>110000000</v>
      </c>
      <c r="X77" s="146">
        <f t="shared" si="28"/>
        <v>80000000</v>
      </c>
      <c r="Y77" s="9" t="s">
        <v>100</v>
      </c>
    </row>
    <row r="78" spans="1:48" x14ac:dyDescent="0.25">
      <c r="A78" s="9" t="s">
        <v>101</v>
      </c>
      <c r="B78" s="5">
        <v>5</v>
      </c>
      <c r="C78" s="5">
        <v>9</v>
      </c>
      <c r="D78" s="5">
        <v>7</v>
      </c>
      <c r="E78" s="5">
        <v>13</v>
      </c>
      <c r="F78" s="5">
        <v>15</v>
      </c>
      <c r="G78" s="5">
        <v>7</v>
      </c>
      <c r="H78" s="5">
        <v>9</v>
      </c>
      <c r="I78" s="5">
        <v>6</v>
      </c>
      <c r="J78" s="5">
        <v>11</v>
      </c>
      <c r="K78" s="5">
        <v>13</v>
      </c>
      <c r="L78" s="5">
        <v>12</v>
      </c>
      <c r="N78" s="146">
        <f>(C78/0.01)*10^($B$78)</f>
        <v>90000000</v>
      </c>
      <c r="O78" s="146">
        <f t="shared" ref="O78:W78" si="36">(D78/0.01)*10^($B$78)</f>
        <v>70000000</v>
      </c>
      <c r="P78" s="146">
        <f t="shared" si="36"/>
        <v>130000000</v>
      </c>
      <c r="Q78" s="146">
        <f t="shared" si="36"/>
        <v>150000000</v>
      </c>
      <c r="R78" s="146">
        <f t="shared" si="36"/>
        <v>70000000</v>
      </c>
      <c r="S78" s="146">
        <f t="shared" si="36"/>
        <v>90000000</v>
      </c>
      <c r="T78" s="146">
        <f t="shared" si="36"/>
        <v>60000000</v>
      </c>
      <c r="U78" s="146">
        <f t="shared" si="36"/>
        <v>110000000</v>
      </c>
      <c r="V78" s="146">
        <f t="shared" si="36"/>
        <v>130000000</v>
      </c>
      <c r="W78" s="146">
        <f t="shared" si="36"/>
        <v>120000000</v>
      </c>
      <c r="X78" s="146">
        <f t="shared" si="28"/>
        <v>102000000</v>
      </c>
      <c r="Y78" s="9" t="s">
        <v>101</v>
      </c>
    </row>
    <row r="79" spans="1:48" x14ac:dyDescent="0.25">
      <c r="A79" s="9" t="s">
        <v>102</v>
      </c>
      <c r="B79" s="5">
        <v>5</v>
      </c>
      <c r="C79" s="5">
        <v>9</v>
      </c>
      <c r="D79" s="5">
        <v>14</v>
      </c>
      <c r="E79" s="5">
        <v>11</v>
      </c>
      <c r="F79" s="5">
        <v>10</v>
      </c>
      <c r="G79" s="5">
        <v>14</v>
      </c>
      <c r="H79" s="5">
        <v>12</v>
      </c>
      <c r="I79" s="5">
        <v>9</v>
      </c>
      <c r="J79" s="5">
        <v>8</v>
      </c>
      <c r="K79" s="5">
        <v>10</v>
      </c>
      <c r="L79" s="5">
        <v>10</v>
      </c>
      <c r="N79" s="146">
        <f>(C79/0.01)*10^($B$79)</f>
        <v>90000000</v>
      </c>
      <c r="O79" s="146">
        <f t="shared" ref="O79:W79" si="37">(D79/0.01)*10^($B$79)</f>
        <v>140000000</v>
      </c>
      <c r="P79" s="146">
        <f t="shared" si="37"/>
        <v>110000000</v>
      </c>
      <c r="Q79" s="146">
        <f t="shared" si="37"/>
        <v>100000000</v>
      </c>
      <c r="R79" s="146">
        <f t="shared" si="37"/>
        <v>140000000</v>
      </c>
      <c r="S79" s="146">
        <f t="shared" si="37"/>
        <v>120000000</v>
      </c>
      <c r="T79" s="146">
        <f t="shared" si="37"/>
        <v>90000000</v>
      </c>
      <c r="U79" s="146">
        <f>(J79/0.01)*10^($B$79)</f>
        <v>80000000</v>
      </c>
      <c r="V79" s="146">
        <f t="shared" si="37"/>
        <v>100000000</v>
      </c>
      <c r="W79" s="146">
        <f t="shared" si="37"/>
        <v>100000000</v>
      </c>
      <c r="X79" s="146">
        <f t="shared" si="28"/>
        <v>107000000</v>
      </c>
      <c r="Y79" s="9" t="s">
        <v>102</v>
      </c>
    </row>
    <row r="80" spans="1:48" x14ac:dyDescent="0.25">
      <c r="A80" s="9" t="s">
        <v>103</v>
      </c>
      <c r="B80" s="5">
        <v>5</v>
      </c>
      <c r="C80" s="5">
        <v>13</v>
      </c>
      <c r="D80" s="5">
        <v>7</v>
      </c>
      <c r="E80" s="5">
        <v>6</v>
      </c>
      <c r="F80" s="5">
        <v>12</v>
      </c>
      <c r="G80" s="5">
        <v>12</v>
      </c>
      <c r="H80" s="5">
        <v>8</v>
      </c>
      <c r="I80" s="5">
        <v>9</v>
      </c>
      <c r="J80" s="5">
        <v>11</v>
      </c>
      <c r="K80" s="5">
        <v>12</v>
      </c>
      <c r="L80" s="5">
        <v>9</v>
      </c>
      <c r="N80" s="146">
        <f>(C80/0.01)*10^($B$80)</f>
        <v>130000000</v>
      </c>
      <c r="O80" s="146">
        <f t="shared" ref="O80:W80" si="38">(D80/0.01)*10^($B$80)</f>
        <v>70000000</v>
      </c>
      <c r="P80" s="146">
        <f t="shared" si="38"/>
        <v>60000000</v>
      </c>
      <c r="Q80" s="146">
        <f t="shared" si="38"/>
        <v>120000000</v>
      </c>
      <c r="R80" s="146">
        <f t="shared" si="38"/>
        <v>120000000</v>
      </c>
      <c r="S80" s="146">
        <f t="shared" si="38"/>
        <v>80000000</v>
      </c>
      <c r="T80" s="146">
        <f t="shared" si="38"/>
        <v>90000000</v>
      </c>
      <c r="U80" s="146">
        <f t="shared" si="38"/>
        <v>110000000</v>
      </c>
      <c r="V80" s="146">
        <f t="shared" si="38"/>
        <v>120000000</v>
      </c>
      <c r="W80" s="146">
        <f t="shared" si="38"/>
        <v>90000000</v>
      </c>
      <c r="X80" s="146">
        <f t="shared" si="28"/>
        <v>99000000</v>
      </c>
      <c r="Y80" s="9" t="s">
        <v>103</v>
      </c>
    </row>
    <row r="81" spans="1:48" x14ac:dyDescent="0.25">
      <c r="A81" s="9" t="s">
        <v>104</v>
      </c>
      <c r="B81" s="5">
        <v>5</v>
      </c>
      <c r="C81" s="5">
        <v>9</v>
      </c>
      <c r="D81" s="5">
        <v>17</v>
      </c>
      <c r="E81" s="5">
        <v>13</v>
      </c>
      <c r="F81" s="5">
        <v>15</v>
      </c>
      <c r="G81" s="5">
        <v>6</v>
      </c>
      <c r="H81" s="5">
        <v>22</v>
      </c>
      <c r="I81" s="5">
        <v>9</v>
      </c>
      <c r="J81" s="5">
        <v>18</v>
      </c>
      <c r="K81" s="5">
        <v>14</v>
      </c>
      <c r="L81" s="5">
        <v>11</v>
      </c>
      <c r="N81" s="146">
        <f>(C81/0.01)*10^($B$81)</f>
        <v>90000000</v>
      </c>
      <c r="O81" s="146">
        <f t="shared" ref="O81:W81" si="39">(D81/0.01)*10^($B$81)</f>
        <v>170000000</v>
      </c>
      <c r="P81" s="146">
        <f t="shared" si="39"/>
        <v>130000000</v>
      </c>
      <c r="Q81" s="146">
        <f t="shared" si="39"/>
        <v>150000000</v>
      </c>
      <c r="R81" s="146">
        <f t="shared" si="39"/>
        <v>60000000</v>
      </c>
      <c r="S81" s="146">
        <f t="shared" si="39"/>
        <v>220000000</v>
      </c>
      <c r="T81" s="146">
        <f t="shared" si="39"/>
        <v>90000000</v>
      </c>
      <c r="U81" s="146">
        <f t="shared" si="39"/>
        <v>180000000</v>
      </c>
      <c r="V81" s="146">
        <f t="shared" si="39"/>
        <v>140000000</v>
      </c>
      <c r="W81" s="146">
        <f t="shared" si="39"/>
        <v>110000000</v>
      </c>
      <c r="X81" s="146">
        <f t="shared" si="28"/>
        <v>134000000</v>
      </c>
      <c r="Y81" s="9" t="s">
        <v>104</v>
      </c>
    </row>
    <row r="82" spans="1:48" x14ac:dyDescent="0.25">
      <c r="A82" s="9" t="s">
        <v>105</v>
      </c>
      <c r="B82" s="5">
        <v>5</v>
      </c>
      <c r="C82" s="5">
        <v>11</v>
      </c>
      <c r="D82" s="5">
        <v>19</v>
      </c>
      <c r="E82" s="5">
        <v>16</v>
      </c>
      <c r="F82" s="5">
        <v>10</v>
      </c>
      <c r="G82" s="5">
        <v>12</v>
      </c>
      <c r="H82" s="5">
        <v>16</v>
      </c>
      <c r="I82" s="5">
        <v>12</v>
      </c>
      <c r="J82" s="5">
        <v>20</v>
      </c>
      <c r="K82" s="5">
        <v>10</v>
      </c>
      <c r="L82" s="5">
        <v>11</v>
      </c>
      <c r="N82" s="146">
        <f>(C82/0.01)*10^($B$82)</f>
        <v>110000000</v>
      </c>
      <c r="O82" s="146">
        <f t="shared" ref="O82:W82" si="40">(D82/0.01)*10^($B$82)</f>
        <v>190000000</v>
      </c>
      <c r="P82" s="146">
        <f t="shared" si="40"/>
        <v>160000000</v>
      </c>
      <c r="Q82" s="146">
        <f t="shared" si="40"/>
        <v>100000000</v>
      </c>
      <c r="R82" s="146">
        <f t="shared" si="40"/>
        <v>120000000</v>
      </c>
      <c r="S82" s="146">
        <f t="shared" si="40"/>
        <v>160000000</v>
      </c>
      <c r="T82" s="146">
        <f t="shared" si="40"/>
        <v>120000000</v>
      </c>
      <c r="U82" s="146">
        <f t="shared" si="40"/>
        <v>200000000</v>
      </c>
      <c r="V82" s="146">
        <f t="shared" si="40"/>
        <v>100000000</v>
      </c>
      <c r="W82" s="146">
        <f t="shared" si="40"/>
        <v>110000000</v>
      </c>
      <c r="X82" s="146">
        <f t="shared" si="28"/>
        <v>137000000</v>
      </c>
      <c r="Y82" s="9" t="s">
        <v>105</v>
      </c>
    </row>
    <row r="83" spans="1:48" x14ac:dyDescent="0.25">
      <c r="A83" s="9" t="s">
        <v>106</v>
      </c>
      <c r="B83" s="5">
        <v>5</v>
      </c>
      <c r="C83" s="5">
        <v>11</v>
      </c>
      <c r="D83" s="5">
        <v>14</v>
      </c>
      <c r="E83" s="5">
        <v>5</v>
      </c>
      <c r="F83" s="5">
        <v>9</v>
      </c>
      <c r="G83" s="5">
        <v>10</v>
      </c>
      <c r="H83" s="5">
        <v>10</v>
      </c>
      <c r="I83" s="5">
        <v>9</v>
      </c>
      <c r="J83" s="5">
        <v>10</v>
      </c>
      <c r="K83" s="5">
        <v>8</v>
      </c>
      <c r="L83" s="5">
        <v>8</v>
      </c>
      <c r="N83" s="146">
        <f>(C83/0.01)*10^($B$83)</f>
        <v>110000000</v>
      </c>
      <c r="O83" s="146">
        <f t="shared" ref="O83:W83" si="41">(D83/0.01)*10^($B$83)</f>
        <v>140000000</v>
      </c>
      <c r="P83" s="146">
        <f t="shared" si="41"/>
        <v>50000000</v>
      </c>
      <c r="Q83" s="146">
        <f t="shared" si="41"/>
        <v>90000000</v>
      </c>
      <c r="R83" s="146">
        <f t="shared" si="41"/>
        <v>100000000</v>
      </c>
      <c r="S83" s="146">
        <f t="shared" si="41"/>
        <v>100000000</v>
      </c>
      <c r="T83" s="146">
        <f t="shared" si="41"/>
        <v>90000000</v>
      </c>
      <c r="U83" s="146">
        <f t="shared" si="41"/>
        <v>100000000</v>
      </c>
      <c r="V83" s="146">
        <f t="shared" si="41"/>
        <v>80000000</v>
      </c>
      <c r="W83" s="146">
        <f t="shared" si="41"/>
        <v>80000000</v>
      </c>
      <c r="X83" s="146">
        <f t="shared" si="28"/>
        <v>94000000</v>
      </c>
      <c r="Y83" s="9" t="s">
        <v>106</v>
      </c>
    </row>
    <row r="84" spans="1:48" x14ac:dyDescent="0.25">
      <c r="A84" s="9" t="s">
        <v>107</v>
      </c>
      <c r="B84" s="5">
        <v>5</v>
      </c>
      <c r="C84" s="5">
        <v>14</v>
      </c>
      <c r="D84" s="5">
        <v>20</v>
      </c>
      <c r="E84" s="5">
        <v>16</v>
      </c>
      <c r="F84" s="5">
        <v>21</v>
      </c>
      <c r="G84" s="5">
        <v>19</v>
      </c>
      <c r="H84" s="5">
        <v>18</v>
      </c>
      <c r="I84" s="5">
        <v>23</v>
      </c>
      <c r="J84" s="5">
        <v>12</v>
      </c>
      <c r="K84" s="5">
        <v>13</v>
      </c>
      <c r="L84" s="5">
        <v>15</v>
      </c>
      <c r="N84" s="146">
        <f>(C84/0.01)*10^($B$84)</f>
        <v>140000000</v>
      </c>
      <c r="O84" s="146">
        <f t="shared" ref="O84:W84" si="42">(D84/0.01)*10^($B$84)</f>
        <v>200000000</v>
      </c>
      <c r="P84" s="146">
        <f t="shared" si="42"/>
        <v>160000000</v>
      </c>
      <c r="Q84" s="146">
        <f t="shared" si="42"/>
        <v>210000000</v>
      </c>
      <c r="R84" s="146">
        <f t="shared" si="42"/>
        <v>190000000</v>
      </c>
      <c r="S84" s="146">
        <f t="shared" si="42"/>
        <v>180000000</v>
      </c>
      <c r="T84" s="146">
        <f t="shared" si="42"/>
        <v>230000000</v>
      </c>
      <c r="U84" s="146">
        <f t="shared" si="42"/>
        <v>120000000</v>
      </c>
      <c r="V84" s="146">
        <f t="shared" si="42"/>
        <v>130000000</v>
      </c>
      <c r="W84" s="146">
        <f t="shared" si="42"/>
        <v>150000000</v>
      </c>
      <c r="X84" s="146">
        <f t="shared" si="28"/>
        <v>171000000</v>
      </c>
      <c r="Y84" s="9" t="s">
        <v>107</v>
      </c>
    </row>
    <row r="85" spans="1:48" x14ac:dyDescent="0.25">
      <c r="A85" s="9" t="s">
        <v>108</v>
      </c>
      <c r="B85" s="5">
        <v>5</v>
      </c>
      <c r="C85" s="5">
        <v>12</v>
      </c>
      <c r="D85" s="5">
        <v>15</v>
      </c>
      <c r="E85" s="5">
        <v>14</v>
      </c>
      <c r="F85" s="5">
        <v>16</v>
      </c>
      <c r="G85" s="5">
        <v>21</v>
      </c>
      <c r="H85" s="5">
        <v>13</v>
      </c>
      <c r="I85" s="5">
        <v>18</v>
      </c>
      <c r="J85" s="5">
        <v>13</v>
      </c>
      <c r="K85" s="5">
        <v>15</v>
      </c>
      <c r="L85" s="5">
        <v>14</v>
      </c>
      <c r="N85" s="146">
        <f>(C85/0.01)*10^($B$85)</f>
        <v>120000000</v>
      </c>
      <c r="O85" s="146">
        <f t="shared" ref="O85:W85" si="43">(D85/0.01)*10^($B$85)</f>
        <v>150000000</v>
      </c>
      <c r="P85" s="146">
        <f t="shared" si="43"/>
        <v>140000000</v>
      </c>
      <c r="Q85" s="146">
        <f t="shared" si="43"/>
        <v>160000000</v>
      </c>
      <c r="R85" s="146">
        <f t="shared" si="43"/>
        <v>210000000</v>
      </c>
      <c r="S85" s="146">
        <f t="shared" si="43"/>
        <v>130000000</v>
      </c>
      <c r="T85" s="146">
        <f t="shared" si="43"/>
        <v>180000000</v>
      </c>
      <c r="U85" s="146">
        <f t="shared" si="43"/>
        <v>130000000</v>
      </c>
      <c r="V85" s="146">
        <f t="shared" si="43"/>
        <v>150000000</v>
      </c>
      <c r="W85" s="146">
        <f t="shared" si="43"/>
        <v>140000000</v>
      </c>
      <c r="X85" s="146">
        <f t="shared" si="28"/>
        <v>151000000</v>
      </c>
      <c r="Y85" s="9" t="s">
        <v>108</v>
      </c>
    </row>
    <row r="86" spans="1:48" x14ac:dyDescent="0.25">
      <c r="A86" s="9" t="s">
        <v>109</v>
      </c>
      <c r="B86" s="5">
        <v>5</v>
      </c>
      <c r="C86" s="5">
        <v>14</v>
      </c>
      <c r="D86" s="5">
        <v>15</v>
      </c>
      <c r="E86" s="5">
        <v>12</v>
      </c>
      <c r="F86" s="5">
        <v>17</v>
      </c>
      <c r="G86" s="5">
        <v>13</v>
      </c>
      <c r="H86" s="5">
        <v>12</v>
      </c>
      <c r="I86" s="5">
        <v>11</v>
      </c>
      <c r="J86" s="5">
        <v>8</v>
      </c>
      <c r="K86" s="5">
        <v>12</v>
      </c>
      <c r="L86" s="5">
        <v>14</v>
      </c>
      <c r="N86" s="146">
        <f>(C86/0.01)*10^($B$86)</f>
        <v>140000000</v>
      </c>
      <c r="O86" s="146">
        <f t="shared" ref="O86:W86" si="44">(D86/0.01)*10^($B$86)</f>
        <v>150000000</v>
      </c>
      <c r="P86" s="146">
        <f t="shared" si="44"/>
        <v>120000000</v>
      </c>
      <c r="Q86" s="146">
        <f t="shared" si="44"/>
        <v>170000000</v>
      </c>
      <c r="R86" s="146">
        <f t="shared" si="44"/>
        <v>130000000</v>
      </c>
      <c r="S86" s="146">
        <f t="shared" si="44"/>
        <v>120000000</v>
      </c>
      <c r="T86" s="146">
        <f t="shared" si="44"/>
        <v>110000000</v>
      </c>
      <c r="U86" s="146">
        <f t="shared" si="44"/>
        <v>80000000</v>
      </c>
      <c r="V86" s="146">
        <f t="shared" si="44"/>
        <v>120000000</v>
      </c>
      <c r="W86" s="146">
        <f t="shared" si="44"/>
        <v>140000000</v>
      </c>
      <c r="X86" s="146">
        <f t="shared" si="28"/>
        <v>128000000</v>
      </c>
      <c r="Y86" s="9" t="s">
        <v>109</v>
      </c>
    </row>
    <row r="87" spans="1:48" x14ac:dyDescent="0.25">
      <c r="A87" s="9" t="s">
        <v>171</v>
      </c>
      <c r="B87" s="5">
        <v>5</v>
      </c>
      <c r="C87" s="5">
        <v>28</v>
      </c>
      <c r="D87" s="5">
        <v>31</v>
      </c>
      <c r="E87" s="5">
        <v>26</v>
      </c>
      <c r="F87" s="5">
        <v>36</v>
      </c>
      <c r="G87" s="5">
        <v>22</v>
      </c>
      <c r="H87" s="5">
        <v>28</v>
      </c>
      <c r="I87" s="5">
        <v>34</v>
      </c>
      <c r="J87" s="5">
        <v>26</v>
      </c>
      <c r="K87" s="5">
        <v>24</v>
      </c>
      <c r="L87" s="5">
        <v>21</v>
      </c>
      <c r="N87" s="146">
        <f>(C87/0.01)*10^($B$87)</f>
        <v>280000000</v>
      </c>
      <c r="O87" s="146">
        <f t="shared" ref="O87:W87" si="45">(D87/0.01)*10^($B$87)</f>
        <v>310000000</v>
      </c>
      <c r="P87" s="146">
        <f t="shared" si="45"/>
        <v>260000000</v>
      </c>
      <c r="Q87" s="146">
        <f t="shared" si="45"/>
        <v>360000000</v>
      </c>
      <c r="R87" s="146">
        <f t="shared" si="45"/>
        <v>220000000</v>
      </c>
      <c r="S87" s="146">
        <f t="shared" si="45"/>
        <v>280000000</v>
      </c>
      <c r="T87" s="146">
        <f t="shared" si="45"/>
        <v>340000000</v>
      </c>
      <c r="U87" s="146">
        <f t="shared" si="45"/>
        <v>260000000</v>
      </c>
      <c r="V87" s="146">
        <f t="shared" si="45"/>
        <v>240000000</v>
      </c>
      <c r="W87" s="146">
        <f t="shared" si="45"/>
        <v>210000000</v>
      </c>
      <c r="X87" s="146">
        <f t="shared" si="28"/>
        <v>276000000</v>
      </c>
      <c r="Y87" s="9" t="s">
        <v>171</v>
      </c>
      <c r="Z87" s="5">
        <v>6</v>
      </c>
      <c r="AA87" s="5">
        <v>2</v>
      </c>
      <c r="AB87" s="5">
        <v>5</v>
      </c>
      <c r="AC87" s="5">
        <v>5</v>
      </c>
      <c r="AD87" s="5">
        <v>4</v>
      </c>
      <c r="AE87" s="5">
        <v>2</v>
      </c>
      <c r="AF87" s="5">
        <v>5</v>
      </c>
      <c r="AG87" s="5">
        <v>3</v>
      </c>
      <c r="AH87" s="5">
        <v>2</v>
      </c>
      <c r="AI87" s="5">
        <v>0</v>
      </c>
      <c r="AJ87" s="5">
        <v>1</v>
      </c>
      <c r="AL87" s="146">
        <f>(AA87/0.01)*10^($Z$87)</f>
        <v>200000000</v>
      </c>
      <c r="AM87" s="146">
        <f t="shared" ref="AM87:AU87" si="46">(AB87/0.01)*10^($Z$87)</f>
        <v>500000000</v>
      </c>
      <c r="AN87" s="146">
        <f t="shared" si="46"/>
        <v>500000000</v>
      </c>
      <c r="AO87" s="146">
        <f t="shared" si="46"/>
        <v>400000000</v>
      </c>
      <c r="AP87" s="146">
        <f t="shared" si="46"/>
        <v>200000000</v>
      </c>
      <c r="AQ87" s="146">
        <f t="shared" si="46"/>
        <v>500000000</v>
      </c>
      <c r="AR87" s="146">
        <f t="shared" si="46"/>
        <v>300000000</v>
      </c>
      <c r="AS87" s="146">
        <f t="shared" si="46"/>
        <v>200000000</v>
      </c>
      <c r="AT87" s="146">
        <f t="shared" si="46"/>
        <v>0</v>
      </c>
      <c r="AU87" s="146">
        <f t="shared" si="46"/>
        <v>100000000</v>
      </c>
      <c r="AV87" s="146">
        <f>AVERAGE(AL87:AU87)</f>
        <v>290000000</v>
      </c>
    </row>
    <row r="88" spans="1:48" x14ac:dyDescent="0.25">
      <c r="A88" s="9" t="s">
        <v>172</v>
      </c>
      <c r="B88" s="5">
        <v>5</v>
      </c>
      <c r="C88" s="5">
        <v>28</v>
      </c>
      <c r="D88" s="5">
        <v>35</v>
      </c>
      <c r="E88" s="5">
        <v>36</v>
      </c>
      <c r="F88" s="5">
        <v>32</v>
      </c>
      <c r="G88" s="5">
        <v>27</v>
      </c>
      <c r="H88" s="5">
        <v>28</v>
      </c>
      <c r="I88" s="5">
        <v>26</v>
      </c>
      <c r="J88" s="5">
        <v>31</v>
      </c>
      <c r="K88" s="5">
        <v>33</v>
      </c>
      <c r="L88" s="5">
        <v>24</v>
      </c>
      <c r="N88" s="146">
        <f>(C88/0.01)*10^($B$88)</f>
        <v>280000000</v>
      </c>
      <c r="O88" s="146">
        <f t="shared" ref="O88:W88" si="47">(D88/0.01)*10^($B$88)</f>
        <v>350000000</v>
      </c>
      <c r="P88" s="146">
        <f t="shared" si="47"/>
        <v>360000000</v>
      </c>
      <c r="Q88" s="146">
        <f t="shared" si="47"/>
        <v>320000000</v>
      </c>
      <c r="R88" s="146">
        <f t="shared" si="47"/>
        <v>270000000</v>
      </c>
      <c r="S88" s="146">
        <f t="shared" si="47"/>
        <v>280000000</v>
      </c>
      <c r="T88" s="146">
        <f t="shared" si="47"/>
        <v>260000000</v>
      </c>
      <c r="U88" s="146">
        <f t="shared" si="47"/>
        <v>310000000</v>
      </c>
      <c r="V88" s="146">
        <f t="shared" si="47"/>
        <v>330000000</v>
      </c>
      <c r="W88" s="146">
        <f t="shared" si="47"/>
        <v>240000000</v>
      </c>
      <c r="X88" s="146">
        <f t="shared" si="28"/>
        <v>300000000</v>
      </c>
      <c r="Y88" s="9" t="s">
        <v>172</v>
      </c>
      <c r="Z88" s="5">
        <v>6</v>
      </c>
      <c r="AA88" s="5">
        <v>3</v>
      </c>
      <c r="AB88" s="5">
        <v>4</v>
      </c>
      <c r="AC88" s="5">
        <v>4</v>
      </c>
      <c r="AD88" s="5">
        <v>1</v>
      </c>
      <c r="AE88" s="5">
        <v>4</v>
      </c>
      <c r="AF88" s="5">
        <v>2</v>
      </c>
      <c r="AG88" s="5">
        <v>2</v>
      </c>
      <c r="AH88" s="5">
        <v>1</v>
      </c>
      <c r="AI88" s="5">
        <v>4</v>
      </c>
      <c r="AJ88" s="5">
        <v>5</v>
      </c>
      <c r="AL88" s="146">
        <f>(AA88/0.01)*10^($Z$88)</f>
        <v>300000000</v>
      </c>
      <c r="AM88" s="146">
        <f t="shared" ref="AM88:AU88" si="48">(AB88/0.01)*10^($Z$88)</f>
        <v>400000000</v>
      </c>
      <c r="AN88" s="146">
        <f t="shared" si="48"/>
        <v>400000000</v>
      </c>
      <c r="AO88" s="146">
        <f t="shared" si="48"/>
        <v>100000000</v>
      </c>
      <c r="AP88" s="146">
        <f t="shared" si="48"/>
        <v>400000000</v>
      </c>
      <c r="AQ88" s="146">
        <f t="shared" si="48"/>
        <v>200000000</v>
      </c>
      <c r="AR88" s="146">
        <f t="shared" si="48"/>
        <v>200000000</v>
      </c>
      <c r="AS88" s="146">
        <f t="shared" si="48"/>
        <v>100000000</v>
      </c>
      <c r="AT88" s="146">
        <f t="shared" si="48"/>
        <v>400000000</v>
      </c>
      <c r="AU88" s="146">
        <f t="shared" si="48"/>
        <v>500000000</v>
      </c>
      <c r="AV88" s="146">
        <f t="shared" ref="AV88:AV89" si="49">AVERAGE(AL88:AU88)</f>
        <v>300000000</v>
      </c>
    </row>
    <row r="89" spans="1:48" x14ac:dyDescent="0.25">
      <c r="A89" s="9" t="s">
        <v>173</v>
      </c>
      <c r="B89" s="5">
        <v>5</v>
      </c>
      <c r="C89" s="5">
        <v>25</v>
      </c>
      <c r="D89" s="5">
        <v>20</v>
      </c>
      <c r="E89" s="5">
        <v>23</v>
      </c>
      <c r="F89" s="5">
        <v>29</v>
      </c>
      <c r="G89" s="5">
        <v>20</v>
      </c>
      <c r="H89" s="5">
        <v>16</v>
      </c>
      <c r="I89" s="5">
        <v>24</v>
      </c>
      <c r="J89" s="5">
        <v>20</v>
      </c>
      <c r="K89" s="5">
        <v>19</v>
      </c>
      <c r="L89" s="5">
        <v>28</v>
      </c>
      <c r="N89" s="146">
        <f>(C89/0.01)*10^($B$89)</f>
        <v>250000000</v>
      </c>
      <c r="O89" s="146">
        <f t="shared" ref="O89:W89" si="50">(D89/0.01)*10^($B$89)</f>
        <v>200000000</v>
      </c>
      <c r="P89" s="146">
        <f t="shared" si="50"/>
        <v>230000000</v>
      </c>
      <c r="Q89" s="146">
        <f t="shared" si="50"/>
        <v>290000000</v>
      </c>
      <c r="R89" s="146">
        <f t="shared" si="50"/>
        <v>200000000</v>
      </c>
      <c r="S89" s="146">
        <f t="shared" si="50"/>
        <v>160000000</v>
      </c>
      <c r="T89" s="146">
        <f t="shared" si="50"/>
        <v>240000000</v>
      </c>
      <c r="U89" s="146">
        <f t="shared" si="50"/>
        <v>200000000</v>
      </c>
      <c r="V89" s="146">
        <f t="shared" si="50"/>
        <v>190000000</v>
      </c>
      <c r="W89" s="146">
        <f t="shared" si="50"/>
        <v>280000000</v>
      </c>
      <c r="X89" s="146">
        <f t="shared" si="28"/>
        <v>224000000</v>
      </c>
      <c r="Y89" s="9" t="s">
        <v>173</v>
      </c>
      <c r="Z89" s="5">
        <v>6</v>
      </c>
      <c r="AA89" s="5">
        <v>2</v>
      </c>
      <c r="AB89" s="5">
        <v>0</v>
      </c>
      <c r="AC89" s="5">
        <v>1</v>
      </c>
      <c r="AD89" s="5">
        <v>4</v>
      </c>
      <c r="AE89" s="5">
        <v>4</v>
      </c>
      <c r="AF89" s="5">
        <v>1</v>
      </c>
      <c r="AG89" s="5">
        <v>1</v>
      </c>
      <c r="AH89" s="5">
        <v>2</v>
      </c>
      <c r="AI89" s="5">
        <v>2</v>
      </c>
      <c r="AJ89" s="5">
        <v>6</v>
      </c>
      <c r="AL89" s="146">
        <f>(AA89/0.01)*10^($Z$89)</f>
        <v>200000000</v>
      </c>
      <c r="AM89" s="146">
        <f t="shared" ref="AM89:AU89" si="51">(AB89/0.01)*10^($Z$89)</f>
        <v>0</v>
      </c>
      <c r="AN89" s="146">
        <f t="shared" si="51"/>
        <v>100000000</v>
      </c>
      <c r="AO89" s="146">
        <f t="shared" si="51"/>
        <v>400000000</v>
      </c>
      <c r="AP89" s="146">
        <f t="shared" si="51"/>
        <v>400000000</v>
      </c>
      <c r="AQ89" s="146">
        <f t="shared" si="51"/>
        <v>100000000</v>
      </c>
      <c r="AR89" s="146">
        <f t="shared" si="51"/>
        <v>100000000</v>
      </c>
      <c r="AS89" s="146">
        <f t="shared" si="51"/>
        <v>200000000</v>
      </c>
      <c r="AT89" s="146">
        <f t="shared" si="51"/>
        <v>200000000</v>
      </c>
      <c r="AU89" s="146">
        <f t="shared" si="51"/>
        <v>600000000</v>
      </c>
      <c r="AV89" s="146">
        <f t="shared" si="49"/>
        <v>230000000</v>
      </c>
    </row>
    <row r="91" spans="1:48" x14ac:dyDescent="0.25">
      <c r="A91" s="145" t="s">
        <v>113</v>
      </c>
    </row>
    <row r="92" spans="1:48" x14ac:dyDescent="0.25">
      <c r="B92" s="9" t="s">
        <v>90</v>
      </c>
      <c r="C92" s="9">
        <v>1</v>
      </c>
      <c r="D92" s="9">
        <v>2</v>
      </c>
      <c r="E92" s="9">
        <v>3</v>
      </c>
      <c r="F92" s="9">
        <v>4</v>
      </c>
      <c r="G92" s="9">
        <v>5</v>
      </c>
      <c r="H92" s="9">
        <v>6</v>
      </c>
      <c r="I92" s="9">
        <v>7</v>
      </c>
      <c r="J92" s="9">
        <v>8</v>
      </c>
      <c r="K92" s="9">
        <v>9</v>
      </c>
      <c r="L92" s="9">
        <v>10</v>
      </c>
      <c r="N92" s="73">
        <v>1</v>
      </c>
      <c r="O92" s="73">
        <v>2</v>
      </c>
      <c r="P92" s="73">
        <v>3</v>
      </c>
      <c r="Q92" s="73">
        <v>4</v>
      </c>
      <c r="R92" s="73">
        <v>5</v>
      </c>
      <c r="S92" s="73">
        <v>6</v>
      </c>
      <c r="T92" s="73">
        <v>7</v>
      </c>
      <c r="U92" s="73">
        <v>8</v>
      </c>
      <c r="V92" s="73">
        <v>9</v>
      </c>
      <c r="W92" s="73">
        <v>10</v>
      </c>
      <c r="X92" s="73" t="s">
        <v>17</v>
      </c>
    </row>
    <row r="93" spans="1:48" x14ac:dyDescent="0.25">
      <c r="A93" s="9" t="s">
        <v>92</v>
      </c>
      <c r="B93" s="5">
        <v>5</v>
      </c>
      <c r="C93" s="5">
        <v>8</v>
      </c>
      <c r="D93" s="5">
        <v>11</v>
      </c>
      <c r="E93" s="5">
        <v>13</v>
      </c>
      <c r="F93" s="5">
        <v>9</v>
      </c>
      <c r="G93" s="5">
        <v>8</v>
      </c>
      <c r="H93" s="5">
        <v>11</v>
      </c>
      <c r="I93" s="5">
        <v>4</v>
      </c>
      <c r="J93" s="5">
        <v>7</v>
      </c>
      <c r="K93" s="5">
        <v>5</v>
      </c>
      <c r="L93" s="5">
        <v>9</v>
      </c>
      <c r="N93" s="146">
        <f>(C93/0.01)*10^($B$93)</f>
        <v>80000000</v>
      </c>
      <c r="O93" s="146">
        <f t="shared" ref="O93:W93" si="52">(D93/0.01)*10^($B$93)</f>
        <v>110000000</v>
      </c>
      <c r="P93" s="146">
        <f t="shared" si="52"/>
        <v>130000000</v>
      </c>
      <c r="Q93" s="146">
        <f t="shared" si="52"/>
        <v>90000000</v>
      </c>
      <c r="R93" s="146">
        <f t="shared" si="52"/>
        <v>80000000</v>
      </c>
      <c r="S93" s="146">
        <f t="shared" si="52"/>
        <v>110000000</v>
      </c>
      <c r="T93" s="146">
        <f t="shared" si="52"/>
        <v>40000000</v>
      </c>
      <c r="U93" s="146">
        <f t="shared" si="52"/>
        <v>70000000</v>
      </c>
      <c r="V93" s="146">
        <f t="shared" si="52"/>
        <v>50000000</v>
      </c>
      <c r="W93" s="146">
        <f t="shared" si="52"/>
        <v>90000000</v>
      </c>
      <c r="X93" s="146">
        <f t="shared" si="28"/>
        <v>85000000</v>
      </c>
      <c r="Y93" s="9" t="s">
        <v>92</v>
      </c>
    </row>
    <row r="94" spans="1:48" x14ac:dyDescent="0.25">
      <c r="A94" s="9" t="s">
        <v>93</v>
      </c>
      <c r="B94" s="5">
        <v>5</v>
      </c>
      <c r="C94" s="5">
        <v>9</v>
      </c>
      <c r="D94" s="5">
        <v>12</v>
      </c>
      <c r="E94" s="5">
        <v>7</v>
      </c>
      <c r="F94" s="5">
        <v>5</v>
      </c>
      <c r="G94" s="5">
        <v>6</v>
      </c>
      <c r="H94" s="5">
        <v>6</v>
      </c>
      <c r="I94" s="5">
        <v>6</v>
      </c>
      <c r="J94" s="5">
        <v>13</v>
      </c>
      <c r="K94" s="5">
        <v>5</v>
      </c>
      <c r="L94" s="5">
        <v>13</v>
      </c>
      <c r="N94" s="146">
        <f>(C94/0.01)*10^($B$94)</f>
        <v>90000000</v>
      </c>
      <c r="O94" s="146">
        <f t="shared" ref="O94:W94" si="53">(D94/0.01)*10^($B$94)</f>
        <v>120000000</v>
      </c>
      <c r="P94" s="146">
        <f t="shared" si="53"/>
        <v>70000000</v>
      </c>
      <c r="Q94" s="146">
        <f t="shared" si="53"/>
        <v>50000000</v>
      </c>
      <c r="R94" s="146">
        <f t="shared" si="53"/>
        <v>60000000</v>
      </c>
      <c r="S94" s="146">
        <f t="shared" si="53"/>
        <v>60000000</v>
      </c>
      <c r="T94" s="146">
        <f t="shared" si="53"/>
        <v>60000000</v>
      </c>
      <c r="U94" s="146">
        <f t="shared" si="53"/>
        <v>130000000</v>
      </c>
      <c r="V94" s="146">
        <f t="shared" si="53"/>
        <v>50000000</v>
      </c>
      <c r="W94" s="146">
        <f t="shared" si="53"/>
        <v>130000000</v>
      </c>
      <c r="X94" s="146">
        <f t="shared" si="28"/>
        <v>82000000</v>
      </c>
      <c r="Y94" s="9" t="s">
        <v>93</v>
      </c>
    </row>
    <row r="95" spans="1:48" x14ac:dyDescent="0.25">
      <c r="A95" s="9" t="s">
        <v>94</v>
      </c>
      <c r="B95" s="5">
        <v>5</v>
      </c>
      <c r="C95" s="5">
        <v>4</v>
      </c>
      <c r="D95" s="5">
        <v>11</v>
      </c>
      <c r="E95" s="5">
        <v>6</v>
      </c>
      <c r="F95" s="5">
        <v>6</v>
      </c>
      <c r="G95" s="5">
        <v>7</v>
      </c>
      <c r="H95" s="5">
        <v>8</v>
      </c>
      <c r="I95" s="5">
        <v>7</v>
      </c>
      <c r="J95" s="5">
        <v>12</v>
      </c>
      <c r="K95" s="5">
        <v>12</v>
      </c>
      <c r="L95" s="5">
        <v>4</v>
      </c>
      <c r="N95" s="146">
        <f>(C95/0.01)*10^($B$95)</f>
        <v>40000000</v>
      </c>
      <c r="O95" s="146">
        <f t="shared" ref="O95:W95" si="54">(D95/0.01)*10^($B$95)</f>
        <v>110000000</v>
      </c>
      <c r="P95" s="146">
        <f t="shared" si="54"/>
        <v>60000000</v>
      </c>
      <c r="Q95" s="146">
        <f t="shared" si="54"/>
        <v>60000000</v>
      </c>
      <c r="R95" s="146">
        <f t="shared" si="54"/>
        <v>70000000</v>
      </c>
      <c r="S95" s="146">
        <f t="shared" si="54"/>
        <v>80000000</v>
      </c>
      <c r="T95" s="146">
        <f t="shared" si="54"/>
        <v>70000000</v>
      </c>
      <c r="U95" s="146">
        <f t="shared" si="54"/>
        <v>120000000</v>
      </c>
      <c r="V95" s="146">
        <f t="shared" si="54"/>
        <v>120000000</v>
      </c>
      <c r="W95" s="146">
        <f t="shared" si="54"/>
        <v>40000000</v>
      </c>
      <c r="X95" s="146">
        <f t="shared" si="28"/>
        <v>77000000</v>
      </c>
      <c r="Y95" s="9" t="s">
        <v>94</v>
      </c>
    </row>
    <row r="96" spans="1:48" x14ac:dyDescent="0.25">
      <c r="A96" s="9" t="s">
        <v>95</v>
      </c>
      <c r="B96" s="5">
        <v>5</v>
      </c>
      <c r="C96" s="5">
        <v>9</v>
      </c>
      <c r="D96" s="5">
        <v>12</v>
      </c>
      <c r="E96" s="5">
        <v>10</v>
      </c>
      <c r="F96" s="5">
        <v>11</v>
      </c>
      <c r="G96" s="5">
        <v>11</v>
      </c>
      <c r="H96" s="5">
        <v>11</v>
      </c>
      <c r="I96" s="5">
        <v>7</v>
      </c>
      <c r="J96" s="5">
        <v>11</v>
      </c>
      <c r="K96" s="5">
        <v>7</v>
      </c>
      <c r="L96" s="5">
        <v>13</v>
      </c>
      <c r="N96" s="146">
        <f>(C96/0.01)*10^($B$96)</f>
        <v>90000000</v>
      </c>
      <c r="O96" s="146">
        <f t="shared" ref="O96:W96" si="55">(D96/0.01)*10^($B$96)</f>
        <v>120000000</v>
      </c>
      <c r="P96" s="146">
        <f t="shared" si="55"/>
        <v>100000000</v>
      </c>
      <c r="Q96" s="146">
        <f t="shared" si="55"/>
        <v>110000000</v>
      </c>
      <c r="R96" s="146">
        <f t="shared" si="55"/>
        <v>110000000</v>
      </c>
      <c r="S96" s="146">
        <f t="shared" si="55"/>
        <v>110000000</v>
      </c>
      <c r="T96" s="146">
        <f t="shared" si="55"/>
        <v>70000000</v>
      </c>
      <c r="U96" s="146">
        <f t="shared" si="55"/>
        <v>110000000</v>
      </c>
      <c r="V96" s="146">
        <f t="shared" si="55"/>
        <v>70000000</v>
      </c>
      <c r="W96" s="146">
        <f t="shared" si="55"/>
        <v>130000000</v>
      </c>
      <c r="X96" s="146">
        <f t="shared" si="28"/>
        <v>102000000</v>
      </c>
      <c r="Y96" s="9" t="s">
        <v>95</v>
      </c>
    </row>
    <row r="97" spans="1:48" x14ac:dyDescent="0.25">
      <c r="A97" s="9" t="s">
        <v>96</v>
      </c>
      <c r="B97" s="5">
        <v>5</v>
      </c>
      <c r="C97" s="5">
        <v>9</v>
      </c>
      <c r="D97" s="5">
        <v>9</v>
      </c>
      <c r="E97" s="5">
        <v>8</v>
      </c>
      <c r="F97" s="5">
        <v>6</v>
      </c>
      <c r="G97" s="5">
        <v>13</v>
      </c>
      <c r="H97" s="5">
        <v>12</v>
      </c>
      <c r="I97" s="5">
        <v>9</v>
      </c>
      <c r="J97" s="5">
        <v>8</v>
      </c>
      <c r="K97" s="5">
        <v>9</v>
      </c>
      <c r="L97" s="5">
        <v>12</v>
      </c>
      <c r="N97" s="146">
        <f>(C97/0.01)*10^($B$97)</f>
        <v>90000000</v>
      </c>
      <c r="O97" s="146">
        <f t="shared" ref="O97:W97" si="56">(D97/0.01)*10^($B$97)</f>
        <v>90000000</v>
      </c>
      <c r="P97" s="146">
        <f t="shared" si="56"/>
        <v>80000000</v>
      </c>
      <c r="Q97" s="146">
        <f t="shared" si="56"/>
        <v>60000000</v>
      </c>
      <c r="R97" s="146">
        <f t="shared" si="56"/>
        <v>130000000</v>
      </c>
      <c r="S97" s="146">
        <f t="shared" si="56"/>
        <v>120000000</v>
      </c>
      <c r="T97" s="146">
        <f t="shared" si="56"/>
        <v>90000000</v>
      </c>
      <c r="U97" s="146">
        <f t="shared" si="56"/>
        <v>80000000</v>
      </c>
      <c r="V97" s="146">
        <f t="shared" si="56"/>
        <v>90000000</v>
      </c>
      <c r="W97" s="146">
        <f t="shared" si="56"/>
        <v>120000000</v>
      </c>
      <c r="X97" s="146">
        <f t="shared" si="28"/>
        <v>95000000</v>
      </c>
      <c r="Y97" s="9" t="s">
        <v>96</v>
      </c>
    </row>
    <row r="98" spans="1:48" x14ac:dyDescent="0.25">
      <c r="A98" s="9" t="s">
        <v>97</v>
      </c>
      <c r="B98" s="5">
        <v>5</v>
      </c>
      <c r="C98" s="5">
        <v>4</v>
      </c>
      <c r="D98" s="5">
        <v>13</v>
      </c>
      <c r="E98" s="5">
        <v>12</v>
      </c>
      <c r="F98" s="5">
        <v>14</v>
      </c>
      <c r="G98" s="5">
        <v>12</v>
      </c>
      <c r="H98" s="5">
        <v>10</v>
      </c>
      <c r="I98" s="5">
        <v>9</v>
      </c>
      <c r="J98" s="5">
        <v>11</v>
      </c>
      <c r="K98" s="5">
        <v>6</v>
      </c>
      <c r="L98" s="5">
        <v>7</v>
      </c>
      <c r="N98" s="146">
        <f>(C98/0.01)*10^($B$98)</f>
        <v>40000000</v>
      </c>
      <c r="O98" s="146">
        <f t="shared" ref="O98:W98" si="57">(D98/0.01)*10^($B$98)</f>
        <v>130000000</v>
      </c>
      <c r="P98" s="146">
        <f t="shared" si="57"/>
        <v>120000000</v>
      </c>
      <c r="Q98" s="146">
        <f t="shared" si="57"/>
        <v>140000000</v>
      </c>
      <c r="R98" s="146">
        <f t="shared" si="57"/>
        <v>120000000</v>
      </c>
      <c r="S98" s="146">
        <f t="shared" si="57"/>
        <v>100000000</v>
      </c>
      <c r="T98" s="146">
        <f t="shared" si="57"/>
        <v>90000000</v>
      </c>
      <c r="U98" s="146">
        <f t="shared" si="57"/>
        <v>110000000</v>
      </c>
      <c r="V98" s="146">
        <f t="shared" si="57"/>
        <v>60000000</v>
      </c>
      <c r="W98" s="146">
        <f t="shared" si="57"/>
        <v>70000000</v>
      </c>
      <c r="X98" s="146">
        <f t="shared" si="28"/>
        <v>98000000</v>
      </c>
      <c r="Y98" s="9" t="s">
        <v>97</v>
      </c>
    </row>
    <row r="99" spans="1:48" x14ac:dyDescent="0.25">
      <c r="A99" s="9" t="s">
        <v>98</v>
      </c>
      <c r="B99" s="5">
        <v>5</v>
      </c>
      <c r="C99" s="5">
        <v>14</v>
      </c>
      <c r="D99" s="5">
        <v>18</v>
      </c>
      <c r="E99" s="5">
        <v>11</v>
      </c>
      <c r="F99" s="5">
        <v>14</v>
      </c>
      <c r="G99" s="5">
        <v>12</v>
      </c>
      <c r="H99" s="5">
        <v>14</v>
      </c>
      <c r="I99" s="5">
        <v>18</v>
      </c>
      <c r="J99" s="5">
        <v>10</v>
      </c>
      <c r="K99" s="5">
        <v>10</v>
      </c>
      <c r="L99" s="5">
        <v>16</v>
      </c>
      <c r="N99" s="146">
        <f>(C99/0.01)*10^($B$99)</f>
        <v>140000000</v>
      </c>
      <c r="O99" s="146">
        <f t="shared" ref="O99:W99" si="58">(D99/0.01)*10^($B$99)</f>
        <v>180000000</v>
      </c>
      <c r="P99" s="146">
        <f t="shared" si="58"/>
        <v>110000000</v>
      </c>
      <c r="Q99" s="146">
        <f t="shared" si="58"/>
        <v>140000000</v>
      </c>
      <c r="R99" s="146">
        <f t="shared" si="58"/>
        <v>120000000</v>
      </c>
      <c r="S99" s="146">
        <f t="shared" si="58"/>
        <v>140000000</v>
      </c>
      <c r="T99" s="146">
        <f t="shared" si="58"/>
        <v>180000000</v>
      </c>
      <c r="U99" s="146">
        <f t="shared" si="58"/>
        <v>100000000</v>
      </c>
      <c r="V99" s="146">
        <f t="shared" si="58"/>
        <v>100000000</v>
      </c>
      <c r="W99" s="146">
        <f t="shared" si="58"/>
        <v>160000000</v>
      </c>
      <c r="X99" s="146">
        <f t="shared" si="28"/>
        <v>137000000</v>
      </c>
      <c r="Y99" s="9" t="s">
        <v>98</v>
      </c>
    </row>
    <row r="100" spans="1:48" x14ac:dyDescent="0.25">
      <c r="A100" s="9" t="s">
        <v>99</v>
      </c>
      <c r="B100" s="5">
        <v>5</v>
      </c>
      <c r="C100" s="5">
        <v>12</v>
      </c>
      <c r="D100" s="5">
        <v>9</v>
      </c>
      <c r="E100" s="5">
        <v>15</v>
      </c>
      <c r="F100" s="5">
        <v>18</v>
      </c>
      <c r="G100" s="5">
        <v>12</v>
      </c>
      <c r="H100" s="5">
        <v>19</v>
      </c>
      <c r="I100" s="5">
        <v>14</v>
      </c>
      <c r="J100" s="5">
        <v>13</v>
      </c>
      <c r="K100" s="5">
        <v>14</v>
      </c>
      <c r="L100" s="5">
        <v>8</v>
      </c>
      <c r="N100" s="146">
        <f>(C100/0.01)*10^($B$100)</f>
        <v>120000000</v>
      </c>
      <c r="O100" s="146">
        <f t="shared" ref="O100:W100" si="59">(D100/0.01)*10^($B$100)</f>
        <v>90000000</v>
      </c>
      <c r="P100" s="146">
        <f t="shared" si="59"/>
        <v>150000000</v>
      </c>
      <c r="Q100" s="146">
        <f t="shared" si="59"/>
        <v>180000000</v>
      </c>
      <c r="R100" s="146">
        <f t="shared" si="59"/>
        <v>120000000</v>
      </c>
      <c r="S100" s="146">
        <f t="shared" si="59"/>
        <v>190000000</v>
      </c>
      <c r="T100" s="146">
        <f t="shared" si="59"/>
        <v>140000000</v>
      </c>
      <c r="U100" s="146">
        <f t="shared" si="59"/>
        <v>130000000</v>
      </c>
      <c r="V100" s="146">
        <f t="shared" si="59"/>
        <v>140000000</v>
      </c>
      <c r="W100" s="146">
        <f t="shared" si="59"/>
        <v>80000000</v>
      </c>
      <c r="X100" s="146">
        <f t="shared" si="28"/>
        <v>134000000</v>
      </c>
      <c r="Y100" s="9" t="s">
        <v>99</v>
      </c>
    </row>
    <row r="101" spans="1:48" x14ac:dyDescent="0.25">
      <c r="A101" s="9" t="s">
        <v>100</v>
      </c>
      <c r="B101" s="5">
        <v>5</v>
      </c>
      <c r="C101" s="5">
        <v>11</v>
      </c>
      <c r="D101" s="5">
        <v>16</v>
      </c>
      <c r="E101" s="5">
        <v>16</v>
      </c>
      <c r="F101" s="5">
        <v>16</v>
      </c>
      <c r="G101" s="5">
        <v>14</v>
      </c>
      <c r="H101" s="5">
        <v>16</v>
      </c>
      <c r="I101" s="5">
        <v>16</v>
      </c>
      <c r="J101" s="5">
        <v>14</v>
      </c>
      <c r="K101" s="5">
        <v>12</v>
      </c>
      <c r="L101" s="5">
        <v>12</v>
      </c>
      <c r="N101" s="146">
        <f>(C101/0.01)*10^($B$101)</f>
        <v>110000000</v>
      </c>
      <c r="O101" s="146">
        <f t="shared" ref="O101:W101" si="60">(D101/0.01)*10^($B$101)</f>
        <v>160000000</v>
      </c>
      <c r="P101" s="146">
        <f t="shared" si="60"/>
        <v>160000000</v>
      </c>
      <c r="Q101" s="146">
        <f t="shared" si="60"/>
        <v>160000000</v>
      </c>
      <c r="R101" s="146">
        <f t="shared" si="60"/>
        <v>140000000</v>
      </c>
      <c r="S101" s="146">
        <f t="shared" si="60"/>
        <v>160000000</v>
      </c>
      <c r="T101" s="146">
        <f t="shared" si="60"/>
        <v>160000000</v>
      </c>
      <c r="U101" s="146">
        <f t="shared" si="60"/>
        <v>140000000</v>
      </c>
      <c r="V101" s="146">
        <f t="shared" si="60"/>
        <v>120000000</v>
      </c>
      <c r="W101" s="146">
        <f t="shared" si="60"/>
        <v>120000000</v>
      </c>
      <c r="X101" s="146">
        <f t="shared" si="28"/>
        <v>143000000</v>
      </c>
      <c r="Y101" s="9" t="s">
        <v>100</v>
      </c>
    </row>
    <row r="102" spans="1:48" x14ac:dyDescent="0.25">
      <c r="A102" s="9" t="s">
        <v>101</v>
      </c>
      <c r="B102" s="5">
        <v>5</v>
      </c>
      <c r="C102" s="5">
        <v>18</v>
      </c>
      <c r="D102" s="5">
        <v>21</v>
      </c>
      <c r="E102" s="5">
        <v>23</v>
      </c>
      <c r="F102" s="5">
        <v>20</v>
      </c>
      <c r="G102" s="5">
        <v>21</v>
      </c>
      <c r="H102" s="5">
        <v>22</v>
      </c>
      <c r="I102" s="5">
        <v>28</v>
      </c>
      <c r="J102" s="5">
        <v>14</v>
      </c>
      <c r="K102" s="5">
        <v>18</v>
      </c>
      <c r="L102" s="5">
        <v>16</v>
      </c>
      <c r="N102" s="146">
        <f>(C102/0.01)*10^($B$102)</f>
        <v>180000000</v>
      </c>
      <c r="O102" s="146">
        <f t="shared" ref="O102:W102" si="61">(D102/0.01)*10^($B$102)</f>
        <v>210000000</v>
      </c>
      <c r="P102" s="146">
        <f t="shared" si="61"/>
        <v>230000000</v>
      </c>
      <c r="Q102" s="146">
        <f t="shared" si="61"/>
        <v>200000000</v>
      </c>
      <c r="R102" s="146">
        <f t="shared" si="61"/>
        <v>210000000</v>
      </c>
      <c r="S102" s="146">
        <f t="shared" si="61"/>
        <v>220000000</v>
      </c>
      <c r="T102" s="146">
        <f t="shared" si="61"/>
        <v>280000000</v>
      </c>
      <c r="U102" s="146">
        <f t="shared" si="61"/>
        <v>140000000</v>
      </c>
      <c r="V102" s="146">
        <f t="shared" si="61"/>
        <v>180000000</v>
      </c>
      <c r="W102" s="146">
        <f t="shared" si="61"/>
        <v>160000000</v>
      </c>
      <c r="X102" s="146">
        <f t="shared" si="28"/>
        <v>201000000</v>
      </c>
      <c r="Y102" s="9" t="s">
        <v>101</v>
      </c>
    </row>
    <row r="103" spans="1:48" x14ac:dyDescent="0.25">
      <c r="A103" s="9" t="s">
        <v>102</v>
      </c>
      <c r="B103" s="5">
        <v>5</v>
      </c>
      <c r="C103" s="5">
        <v>20</v>
      </c>
      <c r="D103" s="5">
        <v>17</v>
      </c>
      <c r="E103" s="5">
        <v>32</v>
      </c>
      <c r="F103" s="5">
        <v>22</v>
      </c>
      <c r="G103" s="5">
        <v>28</v>
      </c>
      <c r="H103" s="5">
        <v>16</v>
      </c>
      <c r="I103" s="5">
        <v>19</v>
      </c>
      <c r="J103" s="5">
        <v>20</v>
      </c>
      <c r="K103" s="5">
        <v>22</v>
      </c>
      <c r="L103" s="5">
        <v>26</v>
      </c>
      <c r="N103" s="146">
        <f>(C103/0.01)*10^($B$103)</f>
        <v>200000000</v>
      </c>
      <c r="O103" s="146">
        <f t="shared" ref="O103:W103" si="62">(D103/0.01)*10^($B$103)</f>
        <v>170000000</v>
      </c>
      <c r="P103" s="146">
        <f t="shared" si="62"/>
        <v>320000000</v>
      </c>
      <c r="Q103" s="146">
        <f t="shared" si="62"/>
        <v>220000000</v>
      </c>
      <c r="R103" s="146">
        <f t="shared" si="62"/>
        <v>280000000</v>
      </c>
      <c r="S103" s="146">
        <f t="shared" si="62"/>
        <v>160000000</v>
      </c>
      <c r="T103" s="146">
        <f t="shared" si="62"/>
        <v>190000000</v>
      </c>
      <c r="U103" s="146">
        <f t="shared" si="62"/>
        <v>200000000</v>
      </c>
      <c r="V103" s="146">
        <f t="shared" si="62"/>
        <v>220000000</v>
      </c>
      <c r="W103" s="146">
        <f t="shared" si="62"/>
        <v>260000000</v>
      </c>
      <c r="X103" s="146">
        <f t="shared" si="28"/>
        <v>222000000</v>
      </c>
      <c r="Y103" s="9" t="s">
        <v>102</v>
      </c>
    </row>
    <row r="104" spans="1:48" x14ac:dyDescent="0.25">
      <c r="A104" s="9" t="s">
        <v>103</v>
      </c>
      <c r="B104" s="5">
        <v>5</v>
      </c>
      <c r="C104" s="5">
        <v>21</v>
      </c>
      <c r="D104" s="5">
        <v>15</v>
      </c>
      <c r="E104" s="5">
        <v>19</v>
      </c>
      <c r="F104" s="5">
        <v>19</v>
      </c>
      <c r="G104" s="5">
        <v>20</v>
      </c>
      <c r="H104" s="5">
        <v>20</v>
      </c>
      <c r="I104" s="5">
        <v>21</v>
      </c>
      <c r="J104" s="5">
        <v>13</v>
      </c>
      <c r="K104" s="5">
        <v>21</v>
      </c>
      <c r="L104" s="5">
        <v>19</v>
      </c>
      <c r="N104" s="146">
        <f>(C104/0.01)*10^($B$104)</f>
        <v>210000000</v>
      </c>
      <c r="O104" s="146">
        <f t="shared" ref="O104:W104" si="63">(D104/0.01)*10^($B$104)</f>
        <v>150000000</v>
      </c>
      <c r="P104" s="146">
        <f t="shared" si="63"/>
        <v>190000000</v>
      </c>
      <c r="Q104" s="146">
        <f t="shared" si="63"/>
        <v>190000000</v>
      </c>
      <c r="R104" s="146">
        <f t="shared" si="63"/>
        <v>200000000</v>
      </c>
      <c r="S104" s="146">
        <f t="shared" si="63"/>
        <v>200000000</v>
      </c>
      <c r="T104" s="146">
        <f t="shared" si="63"/>
        <v>210000000</v>
      </c>
      <c r="U104" s="146">
        <f t="shared" si="63"/>
        <v>130000000</v>
      </c>
      <c r="V104" s="146">
        <f t="shared" si="63"/>
        <v>210000000</v>
      </c>
      <c r="W104" s="146">
        <f t="shared" si="63"/>
        <v>190000000</v>
      </c>
      <c r="X104" s="146">
        <f t="shared" si="28"/>
        <v>188000000</v>
      </c>
      <c r="Y104" s="9" t="s">
        <v>103</v>
      </c>
    </row>
    <row r="105" spans="1:48" x14ac:dyDescent="0.25">
      <c r="A105" s="9" t="s">
        <v>104</v>
      </c>
      <c r="B105" s="5">
        <v>5</v>
      </c>
      <c r="C105" s="5">
        <v>24</v>
      </c>
      <c r="D105" s="5">
        <v>21</v>
      </c>
      <c r="E105" s="5">
        <v>30</v>
      </c>
      <c r="F105" s="5">
        <v>20</v>
      </c>
      <c r="G105" s="5">
        <v>31</v>
      </c>
      <c r="H105" s="5">
        <v>18</v>
      </c>
      <c r="I105" s="5">
        <v>28</v>
      </c>
      <c r="J105" s="5">
        <v>25</v>
      </c>
      <c r="K105" s="5">
        <v>21</v>
      </c>
      <c r="L105" s="5">
        <v>22</v>
      </c>
      <c r="N105" s="146">
        <f>(C105/0.01)*10^($B$105)</f>
        <v>240000000</v>
      </c>
      <c r="O105" s="146">
        <f t="shared" ref="O105:W105" si="64">(D105/0.01)*10^($B$105)</f>
        <v>210000000</v>
      </c>
      <c r="P105" s="146">
        <f t="shared" si="64"/>
        <v>300000000</v>
      </c>
      <c r="Q105" s="146">
        <f t="shared" si="64"/>
        <v>200000000</v>
      </c>
      <c r="R105" s="146">
        <f t="shared" si="64"/>
        <v>310000000</v>
      </c>
      <c r="S105" s="146">
        <f t="shared" si="64"/>
        <v>180000000</v>
      </c>
      <c r="T105" s="146">
        <f t="shared" si="64"/>
        <v>280000000</v>
      </c>
      <c r="U105" s="146">
        <f t="shared" si="64"/>
        <v>250000000</v>
      </c>
      <c r="V105" s="146">
        <f t="shared" si="64"/>
        <v>210000000</v>
      </c>
      <c r="W105" s="146">
        <f t="shared" si="64"/>
        <v>220000000</v>
      </c>
      <c r="X105" s="146">
        <f t="shared" si="28"/>
        <v>240000000</v>
      </c>
      <c r="Y105" s="9" t="s">
        <v>104</v>
      </c>
    </row>
    <row r="106" spans="1:48" x14ac:dyDescent="0.25">
      <c r="A106" s="9" t="s">
        <v>105</v>
      </c>
      <c r="B106" s="5">
        <v>5</v>
      </c>
      <c r="C106" s="5">
        <v>26</v>
      </c>
      <c r="D106" s="5">
        <v>23</v>
      </c>
      <c r="E106" s="5">
        <v>37</v>
      </c>
      <c r="F106" s="5">
        <v>26</v>
      </c>
      <c r="G106" s="5">
        <v>30</v>
      </c>
      <c r="H106" s="5">
        <v>21</v>
      </c>
      <c r="I106" s="5">
        <v>23</v>
      </c>
      <c r="J106" s="5">
        <v>20</v>
      </c>
      <c r="K106" s="5">
        <v>17</v>
      </c>
      <c r="L106" s="5">
        <v>31</v>
      </c>
      <c r="N106" s="146">
        <f>(C106/0.01)*10^($B$106)</f>
        <v>260000000</v>
      </c>
      <c r="O106" s="146">
        <f t="shared" ref="O106:W106" si="65">(D106/0.01)*10^($B$106)</f>
        <v>230000000</v>
      </c>
      <c r="P106" s="146">
        <f t="shared" si="65"/>
        <v>370000000</v>
      </c>
      <c r="Q106" s="146">
        <f t="shared" si="65"/>
        <v>260000000</v>
      </c>
      <c r="R106" s="146">
        <f t="shared" si="65"/>
        <v>300000000</v>
      </c>
      <c r="S106" s="146">
        <f t="shared" si="65"/>
        <v>210000000</v>
      </c>
      <c r="T106" s="146">
        <f t="shared" si="65"/>
        <v>230000000</v>
      </c>
      <c r="U106" s="146">
        <f t="shared" si="65"/>
        <v>200000000</v>
      </c>
      <c r="V106" s="146">
        <f t="shared" si="65"/>
        <v>170000000</v>
      </c>
      <c r="W106" s="146">
        <f t="shared" si="65"/>
        <v>310000000</v>
      </c>
      <c r="X106" s="146">
        <f t="shared" si="28"/>
        <v>254000000</v>
      </c>
      <c r="Y106" s="9" t="s">
        <v>105</v>
      </c>
    </row>
    <row r="107" spans="1:48" x14ac:dyDescent="0.25">
      <c r="A107" s="9" t="s">
        <v>106</v>
      </c>
      <c r="B107" s="5">
        <v>5</v>
      </c>
      <c r="C107" s="5">
        <v>17</v>
      </c>
      <c r="D107" s="5">
        <v>24</v>
      </c>
      <c r="E107" s="5">
        <v>16</v>
      </c>
      <c r="F107" s="5">
        <v>20</v>
      </c>
      <c r="G107" s="5">
        <v>17</v>
      </c>
      <c r="H107" s="5">
        <v>24</v>
      </c>
      <c r="I107" s="5">
        <v>30</v>
      </c>
      <c r="J107" s="5">
        <v>22</v>
      </c>
      <c r="K107" s="5">
        <v>28</v>
      </c>
      <c r="L107" s="5">
        <v>18</v>
      </c>
      <c r="N107" s="146">
        <f>(C107/0.01)*10^($B$107)</f>
        <v>170000000</v>
      </c>
      <c r="O107" s="146">
        <f t="shared" ref="O107:W107" si="66">(D107/0.01)*10^($B$107)</f>
        <v>240000000</v>
      </c>
      <c r="P107" s="146">
        <f t="shared" si="66"/>
        <v>160000000</v>
      </c>
      <c r="Q107" s="146">
        <f t="shared" si="66"/>
        <v>200000000</v>
      </c>
      <c r="R107" s="146">
        <f t="shared" si="66"/>
        <v>170000000</v>
      </c>
      <c r="S107" s="146">
        <f t="shared" si="66"/>
        <v>240000000</v>
      </c>
      <c r="T107" s="146">
        <f t="shared" si="66"/>
        <v>300000000</v>
      </c>
      <c r="U107" s="146">
        <f t="shared" si="66"/>
        <v>220000000</v>
      </c>
      <c r="V107" s="146">
        <f t="shared" si="66"/>
        <v>280000000</v>
      </c>
      <c r="W107" s="146">
        <f t="shared" si="66"/>
        <v>180000000</v>
      </c>
      <c r="X107" s="146">
        <f t="shared" si="28"/>
        <v>216000000</v>
      </c>
      <c r="Y107" s="9" t="s">
        <v>106</v>
      </c>
    </row>
    <row r="108" spans="1:48" x14ac:dyDescent="0.25">
      <c r="A108" s="9" t="s">
        <v>107</v>
      </c>
      <c r="B108" s="5">
        <v>5</v>
      </c>
      <c r="C108" s="5">
        <v>29</v>
      </c>
      <c r="D108" s="5">
        <v>33</v>
      </c>
      <c r="E108" s="5">
        <v>30</v>
      </c>
      <c r="F108" s="5">
        <v>26</v>
      </c>
      <c r="G108" s="5">
        <v>28</v>
      </c>
      <c r="H108" s="5">
        <v>25</v>
      </c>
      <c r="I108" s="5">
        <v>27</v>
      </c>
      <c r="J108" s="5">
        <v>30</v>
      </c>
      <c r="K108" s="5">
        <v>23</v>
      </c>
      <c r="L108" s="5">
        <v>33</v>
      </c>
      <c r="N108" s="146">
        <f>(C108/0.01)*10^($B$108)</f>
        <v>290000000</v>
      </c>
      <c r="O108" s="146">
        <f t="shared" ref="O108:W108" si="67">(D108/0.01)*10^($B$108)</f>
        <v>330000000</v>
      </c>
      <c r="P108" s="146">
        <f t="shared" si="67"/>
        <v>300000000</v>
      </c>
      <c r="Q108" s="146">
        <f t="shared" si="67"/>
        <v>260000000</v>
      </c>
      <c r="R108" s="146">
        <f t="shared" si="67"/>
        <v>280000000</v>
      </c>
      <c r="S108" s="146">
        <f t="shared" si="67"/>
        <v>250000000</v>
      </c>
      <c r="T108" s="146">
        <f t="shared" si="67"/>
        <v>270000000</v>
      </c>
      <c r="U108" s="146">
        <f t="shared" si="67"/>
        <v>300000000</v>
      </c>
      <c r="V108" s="146">
        <f t="shared" si="67"/>
        <v>230000000</v>
      </c>
      <c r="W108" s="146">
        <f t="shared" si="67"/>
        <v>330000000</v>
      </c>
      <c r="X108" s="146">
        <f t="shared" si="28"/>
        <v>284000000</v>
      </c>
      <c r="Y108" s="9" t="s">
        <v>107</v>
      </c>
      <c r="Z108" s="5">
        <v>6</v>
      </c>
      <c r="AA108" s="5">
        <v>0</v>
      </c>
      <c r="AB108" s="5">
        <v>5</v>
      </c>
      <c r="AC108" s="5">
        <v>4</v>
      </c>
      <c r="AD108" s="5">
        <v>3</v>
      </c>
      <c r="AE108" s="5">
        <v>4</v>
      </c>
      <c r="AF108" s="5">
        <v>2</v>
      </c>
      <c r="AG108" s="5">
        <v>3</v>
      </c>
      <c r="AH108" s="5">
        <v>0</v>
      </c>
      <c r="AI108" s="5">
        <v>2</v>
      </c>
      <c r="AJ108" s="5">
        <v>0</v>
      </c>
      <c r="AL108" s="146">
        <f>(AA108/0.01)*10^($Z$108)</f>
        <v>0</v>
      </c>
      <c r="AM108" s="146">
        <f t="shared" ref="AM108:AU108" si="68">(AB108/0.01)*10^($Z$108)</f>
        <v>500000000</v>
      </c>
      <c r="AN108" s="146">
        <f t="shared" si="68"/>
        <v>400000000</v>
      </c>
      <c r="AO108" s="146">
        <f t="shared" si="68"/>
        <v>300000000</v>
      </c>
      <c r="AP108" s="146">
        <f t="shared" si="68"/>
        <v>400000000</v>
      </c>
      <c r="AQ108" s="146">
        <f t="shared" si="68"/>
        <v>200000000</v>
      </c>
      <c r="AR108" s="146">
        <f t="shared" si="68"/>
        <v>300000000</v>
      </c>
      <c r="AS108" s="146">
        <f t="shared" si="68"/>
        <v>0</v>
      </c>
      <c r="AT108" s="146">
        <f t="shared" si="68"/>
        <v>200000000</v>
      </c>
      <c r="AU108" s="146">
        <f t="shared" si="68"/>
        <v>0</v>
      </c>
      <c r="AV108" s="146">
        <f>AVERAGE(AL108:AU108)</f>
        <v>230000000</v>
      </c>
    </row>
    <row r="109" spans="1:48" x14ac:dyDescent="0.25">
      <c r="A109" s="9" t="s">
        <v>108</v>
      </c>
      <c r="B109" s="5">
        <v>5</v>
      </c>
      <c r="C109" s="5">
        <v>24</v>
      </c>
      <c r="D109" s="5">
        <v>23</v>
      </c>
      <c r="E109" s="5">
        <v>34</v>
      </c>
      <c r="F109" s="5">
        <v>26</v>
      </c>
      <c r="G109" s="5">
        <v>25</v>
      </c>
      <c r="H109" s="5">
        <v>29</v>
      </c>
      <c r="I109" s="5">
        <v>31</v>
      </c>
      <c r="J109" s="5">
        <v>31</v>
      </c>
      <c r="K109" s="5">
        <v>27</v>
      </c>
      <c r="L109" s="5">
        <v>21</v>
      </c>
      <c r="N109" s="146">
        <f>(C109/0.01)*10^($B$109)</f>
        <v>240000000</v>
      </c>
      <c r="O109" s="146">
        <f t="shared" ref="O109:W109" si="69">(D109/0.01)*10^($B$109)</f>
        <v>230000000</v>
      </c>
      <c r="P109" s="146">
        <f t="shared" si="69"/>
        <v>340000000</v>
      </c>
      <c r="Q109" s="146">
        <f t="shared" si="69"/>
        <v>260000000</v>
      </c>
      <c r="R109" s="146">
        <f t="shared" si="69"/>
        <v>250000000</v>
      </c>
      <c r="S109" s="146">
        <f t="shared" si="69"/>
        <v>290000000</v>
      </c>
      <c r="T109" s="146">
        <f t="shared" si="69"/>
        <v>310000000</v>
      </c>
      <c r="U109" s="146">
        <f t="shared" si="69"/>
        <v>310000000</v>
      </c>
      <c r="V109" s="146">
        <f t="shared" si="69"/>
        <v>270000000</v>
      </c>
      <c r="W109" s="146">
        <f t="shared" si="69"/>
        <v>210000000</v>
      </c>
      <c r="X109" s="146">
        <f t="shared" si="28"/>
        <v>271000000</v>
      </c>
      <c r="Y109" s="9" t="s">
        <v>108</v>
      </c>
      <c r="Z109" s="5">
        <v>6</v>
      </c>
      <c r="AA109" s="5">
        <v>1</v>
      </c>
      <c r="AB109" s="5">
        <v>4</v>
      </c>
      <c r="AC109" s="5">
        <v>4</v>
      </c>
      <c r="AD109" s="5">
        <v>0</v>
      </c>
      <c r="AE109" s="5">
        <v>8</v>
      </c>
      <c r="AF109" s="5">
        <v>5</v>
      </c>
      <c r="AG109" s="5">
        <v>6</v>
      </c>
      <c r="AH109" s="5">
        <v>0</v>
      </c>
      <c r="AI109" s="5">
        <v>1</v>
      </c>
      <c r="AJ109" s="5">
        <v>6</v>
      </c>
      <c r="AL109" s="146">
        <f>(AA109/0.01)*10^($Z$109)</f>
        <v>100000000</v>
      </c>
      <c r="AM109" s="146">
        <f t="shared" ref="AM109:AU109" si="70">(AB109/0.01)*10^($Z$109)</f>
        <v>400000000</v>
      </c>
      <c r="AN109" s="146">
        <f t="shared" si="70"/>
        <v>400000000</v>
      </c>
      <c r="AO109" s="146">
        <f t="shared" si="70"/>
        <v>0</v>
      </c>
      <c r="AP109" s="146">
        <f t="shared" si="70"/>
        <v>800000000</v>
      </c>
      <c r="AQ109" s="146">
        <f t="shared" si="70"/>
        <v>500000000</v>
      </c>
      <c r="AR109" s="146">
        <f t="shared" si="70"/>
        <v>600000000</v>
      </c>
      <c r="AS109" s="146">
        <f t="shared" si="70"/>
        <v>0</v>
      </c>
      <c r="AT109" s="146">
        <f t="shared" si="70"/>
        <v>100000000</v>
      </c>
      <c r="AU109" s="146">
        <f t="shared" si="70"/>
        <v>600000000</v>
      </c>
      <c r="AV109" s="146">
        <f t="shared" ref="AV109:AV113" si="71">AVERAGE(AL109:AU109)</f>
        <v>350000000</v>
      </c>
    </row>
    <row r="110" spans="1:48" x14ac:dyDescent="0.25">
      <c r="A110" s="9" t="s">
        <v>109</v>
      </c>
      <c r="B110" s="5">
        <v>5</v>
      </c>
      <c r="C110" s="5">
        <v>18</v>
      </c>
      <c r="D110" s="5">
        <v>19</v>
      </c>
      <c r="E110" s="5">
        <v>20</v>
      </c>
      <c r="F110" s="5">
        <v>17</v>
      </c>
      <c r="G110" s="5">
        <v>17</v>
      </c>
      <c r="H110" s="5">
        <v>20</v>
      </c>
      <c r="I110" s="5">
        <v>18</v>
      </c>
      <c r="J110" s="5">
        <v>16</v>
      </c>
      <c r="K110" s="5">
        <v>16</v>
      </c>
      <c r="L110" s="5">
        <v>17</v>
      </c>
      <c r="N110" s="146">
        <f>(C110/0.01)*10^($B$110)</f>
        <v>180000000</v>
      </c>
      <c r="O110" s="146">
        <f t="shared" ref="O110:W110" si="72">(D110/0.01)*10^($B$110)</f>
        <v>190000000</v>
      </c>
      <c r="P110" s="146">
        <f t="shared" si="72"/>
        <v>200000000</v>
      </c>
      <c r="Q110" s="146">
        <f t="shared" si="72"/>
        <v>170000000</v>
      </c>
      <c r="R110" s="146">
        <f t="shared" si="72"/>
        <v>170000000</v>
      </c>
      <c r="S110" s="146">
        <f t="shared" si="72"/>
        <v>200000000</v>
      </c>
      <c r="T110" s="146">
        <f t="shared" si="72"/>
        <v>180000000</v>
      </c>
      <c r="U110" s="146">
        <f t="shared" si="72"/>
        <v>160000000</v>
      </c>
      <c r="V110" s="146">
        <f t="shared" si="72"/>
        <v>160000000</v>
      </c>
      <c r="W110" s="146">
        <f t="shared" si="72"/>
        <v>170000000</v>
      </c>
      <c r="X110" s="146">
        <f t="shared" si="28"/>
        <v>178000000</v>
      </c>
      <c r="Y110" s="9" t="s">
        <v>109</v>
      </c>
      <c r="Z110" s="5">
        <v>6</v>
      </c>
      <c r="AA110" s="5">
        <v>4</v>
      </c>
      <c r="AB110" s="5">
        <v>1</v>
      </c>
      <c r="AC110" s="5">
        <v>0</v>
      </c>
      <c r="AD110" s="5">
        <v>5</v>
      </c>
      <c r="AE110" s="5">
        <v>0</v>
      </c>
      <c r="AF110" s="5">
        <v>2</v>
      </c>
      <c r="AG110" s="5">
        <v>1</v>
      </c>
      <c r="AH110" s="5">
        <v>1</v>
      </c>
      <c r="AI110" s="5">
        <v>2</v>
      </c>
      <c r="AJ110" s="5">
        <v>4</v>
      </c>
      <c r="AL110" s="146">
        <f>(AA110/0.01)*10^($Z$110)</f>
        <v>400000000</v>
      </c>
      <c r="AM110" s="146">
        <f t="shared" ref="AM110:AU110" si="73">(AB110/0.01)*10^($Z$110)</f>
        <v>100000000</v>
      </c>
      <c r="AN110" s="146">
        <f t="shared" si="73"/>
        <v>0</v>
      </c>
      <c r="AO110" s="146">
        <f t="shared" si="73"/>
        <v>500000000</v>
      </c>
      <c r="AP110" s="146">
        <f t="shared" si="73"/>
        <v>0</v>
      </c>
      <c r="AQ110" s="146">
        <f t="shared" si="73"/>
        <v>200000000</v>
      </c>
      <c r="AR110" s="146">
        <f t="shared" si="73"/>
        <v>100000000</v>
      </c>
      <c r="AS110" s="146">
        <f t="shared" si="73"/>
        <v>100000000</v>
      </c>
      <c r="AT110" s="146">
        <f t="shared" si="73"/>
        <v>200000000</v>
      </c>
      <c r="AU110" s="146">
        <f t="shared" si="73"/>
        <v>400000000</v>
      </c>
      <c r="AV110" s="146">
        <f t="shared" si="71"/>
        <v>200000000</v>
      </c>
    </row>
    <row r="111" spans="1:48" x14ac:dyDescent="0.25">
      <c r="A111" s="9" t="s">
        <v>171</v>
      </c>
      <c r="B111" s="5">
        <v>5</v>
      </c>
      <c r="C111" s="5">
        <v>25</v>
      </c>
      <c r="D111" s="5">
        <v>28</v>
      </c>
      <c r="E111" s="5">
        <v>21</v>
      </c>
      <c r="F111" s="5">
        <v>24</v>
      </c>
      <c r="G111" s="5">
        <v>14</v>
      </c>
      <c r="H111" s="5">
        <v>18</v>
      </c>
      <c r="I111" s="5">
        <v>26</v>
      </c>
      <c r="J111" s="5">
        <v>21</v>
      </c>
      <c r="K111" s="5">
        <v>17</v>
      </c>
      <c r="L111" s="5">
        <v>23</v>
      </c>
      <c r="N111" s="146">
        <f>(C111/0.01)*10^($B$111)</f>
        <v>250000000</v>
      </c>
      <c r="O111" s="146">
        <f t="shared" ref="O111:W111" si="74">(D111/0.01)*10^($B$111)</f>
        <v>280000000</v>
      </c>
      <c r="P111" s="146">
        <f t="shared" si="74"/>
        <v>210000000</v>
      </c>
      <c r="Q111" s="146">
        <f t="shared" si="74"/>
        <v>240000000</v>
      </c>
      <c r="R111" s="146">
        <f t="shared" si="74"/>
        <v>140000000</v>
      </c>
      <c r="S111" s="146">
        <f t="shared" si="74"/>
        <v>180000000</v>
      </c>
      <c r="T111" s="146">
        <f t="shared" si="74"/>
        <v>260000000</v>
      </c>
      <c r="U111" s="146">
        <f t="shared" si="74"/>
        <v>210000000</v>
      </c>
      <c r="V111" s="146">
        <f t="shared" si="74"/>
        <v>170000000</v>
      </c>
      <c r="W111" s="146">
        <f t="shared" si="74"/>
        <v>230000000</v>
      </c>
      <c r="X111" s="146">
        <f t="shared" si="28"/>
        <v>217000000</v>
      </c>
      <c r="Y111" s="9" t="s">
        <v>171</v>
      </c>
      <c r="Z111" s="5">
        <v>6</v>
      </c>
      <c r="AA111" s="5">
        <v>1</v>
      </c>
      <c r="AB111" s="5">
        <v>3</v>
      </c>
      <c r="AC111" s="5">
        <v>3</v>
      </c>
      <c r="AD111" s="5">
        <v>3</v>
      </c>
      <c r="AE111" s="5">
        <v>2</v>
      </c>
      <c r="AF111" s="5">
        <v>4</v>
      </c>
      <c r="AG111" s="5">
        <v>2</v>
      </c>
      <c r="AH111" s="5">
        <v>1</v>
      </c>
      <c r="AI111" s="5">
        <v>7</v>
      </c>
      <c r="AJ111" s="5">
        <v>5</v>
      </c>
      <c r="AL111" s="146">
        <f>(AA111/0.01)*10^($Z$111)</f>
        <v>100000000</v>
      </c>
      <c r="AM111" s="146">
        <f t="shared" ref="AM111:AU111" si="75">(AB111/0.01)*10^($Z$111)</f>
        <v>300000000</v>
      </c>
      <c r="AN111" s="146">
        <f t="shared" si="75"/>
        <v>300000000</v>
      </c>
      <c r="AO111" s="146">
        <f t="shared" si="75"/>
        <v>300000000</v>
      </c>
      <c r="AP111" s="146">
        <f t="shared" si="75"/>
        <v>200000000</v>
      </c>
      <c r="AQ111" s="146">
        <f t="shared" si="75"/>
        <v>400000000</v>
      </c>
      <c r="AR111" s="146">
        <f t="shared" si="75"/>
        <v>200000000</v>
      </c>
      <c r="AS111" s="146">
        <f t="shared" si="75"/>
        <v>100000000</v>
      </c>
      <c r="AT111" s="146">
        <f t="shared" si="75"/>
        <v>700000000</v>
      </c>
      <c r="AU111" s="146">
        <f t="shared" si="75"/>
        <v>500000000</v>
      </c>
      <c r="AV111" s="146">
        <f t="shared" si="71"/>
        <v>310000000</v>
      </c>
    </row>
    <row r="112" spans="1:48" x14ac:dyDescent="0.25">
      <c r="A112" s="9" t="s">
        <v>172</v>
      </c>
      <c r="B112" s="5">
        <v>5</v>
      </c>
      <c r="C112" s="5">
        <v>29</v>
      </c>
      <c r="D112" s="5">
        <v>25</v>
      </c>
      <c r="E112" s="5">
        <v>30</v>
      </c>
      <c r="F112" s="5">
        <v>17</v>
      </c>
      <c r="G112" s="5">
        <v>28</v>
      </c>
      <c r="H112" s="5">
        <v>20</v>
      </c>
      <c r="I112" s="5">
        <v>26</v>
      </c>
      <c r="J112" s="5">
        <v>25</v>
      </c>
      <c r="K112" s="5">
        <v>20</v>
      </c>
      <c r="L112" s="5">
        <v>29</v>
      </c>
      <c r="N112" s="146">
        <f>(C112/0.01)*10^($B$112)</f>
        <v>290000000</v>
      </c>
      <c r="O112" s="146">
        <f t="shared" ref="O112:W112" si="76">(D112/0.01)*10^($B$112)</f>
        <v>250000000</v>
      </c>
      <c r="P112" s="146">
        <f t="shared" si="76"/>
        <v>300000000</v>
      </c>
      <c r="Q112" s="146">
        <f t="shared" si="76"/>
        <v>170000000</v>
      </c>
      <c r="R112" s="146">
        <f t="shared" si="76"/>
        <v>280000000</v>
      </c>
      <c r="S112" s="146">
        <f t="shared" si="76"/>
        <v>200000000</v>
      </c>
      <c r="T112" s="146">
        <f t="shared" si="76"/>
        <v>260000000</v>
      </c>
      <c r="U112" s="146">
        <f t="shared" si="76"/>
        <v>250000000</v>
      </c>
      <c r="V112" s="146">
        <f t="shared" si="76"/>
        <v>200000000</v>
      </c>
      <c r="W112" s="146">
        <f t="shared" si="76"/>
        <v>290000000</v>
      </c>
      <c r="X112" s="146">
        <f t="shared" si="28"/>
        <v>249000000</v>
      </c>
      <c r="Y112" s="9" t="s">
        <v>172</v>
      </c>
      <c r="Z112" s="5">
        <v>6</v>
      </c>
      <c r="AA112" s="5">
        <v>2</v>
      </c>
      <c r="AB112" s="5">
        <v>1</v>
      </c>
      <c r="AC112" s="5">
        <v>1</v>
      </c>
      <c r="AD112" s="5">
        <v>3</v>
      </c>
      <c r="AE112" s="5">
        <v>2</v>
      </c>
      <c r="AF112" s="5">
        <v>2</v>
      </c>
      <c r="AG112" s="5">
        <v>1</v>
      </c>
      <c r="AH112" s="5">
        <v>5</v>
      </c>
      <c r="AI112" s="5">
        <v>3</v>
      </c>
      <c r="AJ112" s="5">
        <v>2</v>
      </c>
      <c r="AL112" s="146">
        <f>(AA112/0.01)*10^($Z$112)</f>
        <v>200000000</v>
      </c>
      <c r="AM112" s="146">
        <f t="shared" ref="AM112:AU112" si="77">(AB112/0.01)*10^($Z$112)</f>
        <v>100000000</v>
      </c>
      <c r="AN112" s="146">
        <f t="shared" si="77"/>
        <v>100000000</v>
      </c>
      <c r="AO112" s="146">
        <f t="shared" si="77"/>
        <v>300000000</v>
      </c>
      <c r="AP112" s="146">
        <f t="shared" si="77"/>
        <v>200000000</v>
      </c>
      <c r="AQ112" s="146">
        <f t="shared" si="77"/>
        <v>200000000</v>
      </c>
      <c r="AR112" s="146">
        <f t="shared" si="77"/>
        <v>100000000</v>
      </c>
      <c r="AS112" s="146">
        <f t="shared" si="77"/>
        <v>500000000</v>
      </c>
      <c r="AT112" s="146">
        <f t="shared" si="77"/>
        <v>300000000</v>
      </c>
      <c r="AU112" s="146">
        <f t="shared" si="77"/>
        <v>200000000</v>
      </c>
      <c r="AV112" s="146">
        <f t="shared" si="71"/>
        <v>220000000</v>
      </c>
    </row>
    <row r="113" spans="1:48" x14ac:dyDescent="0.25">
      <c r="A113" s="9" t="s">
        <v>173</v>
      </c>
      <c r="B113" s="5">
        <v>5</v>
      </c>
      <c r="C113" s="5">
        <v>11</v>
      </c>
      <c r="D113" s="5">
        <v>12</v>
      </c>
      <c r="E113" s="5">
        <v>19</v>
      </c>
      <c r="F113" s="5">
        <v>15</v>
      </c>
      <c r="G113" s="5">
        <v>10</v>
      </c>
      <c r="H113" s="5">
        <v>12</v>
      </c>
      <c r="I113" s="5">
        <v>14</v>
      </c>
      <c r="J113" s="5">
        <v>16</v>
      </c>
      <c r="K113" s="5">
        <v>17</v>
      </c>
      <c r="L113" s="5">
        <v>18</v>
      </c>
      <c r="N113" s="146">
        <f>(C113/0.01)*10^($B$113)</f>
        <v>110000000</v>
      </c>
      <c r="O113" s="146">
        <f t="shared" ref="O113:W113" si="78">(D113/0.01)*10^($B$113)</f>
        <v>120000000</v>
      </c>
      <c r="P113" s="146">
        <f t="shared" si="78"/>
        <v>190000000</v>
      </c>
      <c r="Q113" s="146">
        <f t="shared" si="78"/>
        <v>150000000</v>
      </c>
      <c r="R113" s="146">
        <f t="shared" si="78"/>
        <v>100000000</v>
      </c>
      <c r="S113" s="146">
        <f t="shared" si="78"/>
        <v>120000000</v>
      </c>
      <c r="T113" s="146">
        <f t="shared" si="78"/>
        <v>140000000</v>
      </c>
      <c r="U113" s="146">
        <f t="shared" si="78"/>
        <v>160000000</v>
      </c>
      <c r="V113" s="146">
        <f t="shared" si="78"/>
        <v>170000000</v>
      </c>
      <c r="W113" s="146">
        <f t="shared" si="78"/>
        <v>180000000</v>
      </c>
      <c r="X113" s="146">
        <f t="shared" si="28"/>
        <v>144000000</v>
      </c>
      <c r="Y113" s="9" t="s">
        <v>173</v>
      </c>
      <c r="Z113" s="5">
        <v>6</v>
      </c>
      <c r="AA113" s="5">
        <v>3</v>
      </c>
      <c r="AB113" s="5">
        <v>0</v>
      </c>
      <c r="AC113" s="5">
        <v>1</v>
      </c>
      <c r="AD113" s="5">
        <v>0</v>
      </c>
      <c r="AE113" s="5">
        <v>1</v>
      </c>
      <c r="AF113" s="5">
        <v>2</v>
      </c>
      <c r="AG113" s="5">
        <v>5</v>
      </c>
      <c r="AH113" s="5">
        <v>4</v>
      </c>
      <c r="AI113" s="5">
        <v>3</v>
      </c>
      <c r="AJ113" s="5">
        <v>3</v>
      </c>
      <c r="AL113" s="146">
        <f>(AA113/0.01)*10^($Z$113)</f>
        <v>300000000</v>
      </c>
      <c r="AM113" s="146">
        <f t="shared" ref="AM113:AU113" si="79">(AB113/0.01)*10^($Z$113)</f>
        <v>0</v>
      </c>
      <c r="AN113" s="146">
        <f t="shared" si="79"/>
        <v>100000000</v>
      </c>
      <c r="AO113" s="146">
        <f t="shared" si="79"/>
        <v>0</v>
      </c>
      <c r="AP113" s="146">
        <f t="shared" si="79"/>
        <v>100000000</v>
      </c>
      <c r="AQ113" s="146">
        <f t="shared" si="79"/>
        <v>200000000</v>
      </c>
      <c r="AR113" s="146">
        <f t="shared" si="79"/>
        <v>500000000</v>
      </c>
      <c r="AS113" s="146">
        <f t="shared" si="79"/>
        <v>400000000</v>
      </c>
      <c r="AT113" s="146">
        <f t="shared" si="79"/>
        <v>300000000</v>
      </c>
      <c r="AU113" s="146">
        <f t="shared" si="79"/>
        <v>300000000</v>
      </c>
      <c r="AV113" s="146">
        <f t="shared" si="71"/>
        <v>220000000</v>
      </c>
    </row>
  </sheetData>
  <mergeCells count="9">
    <mergeCell ref="AM4:AQ4"/>
    <mergeCell ref="AR4:AV4"/>
    <mergeCell ref="AW4:BA4"/>
    <mergeCell ref="D4:I4"/>
    <mergeCell ref="J4:O4"/>
    <mergeCell ref="P4:U4"/>
    <mergeCell ref="V4:AA4"/>
    <mergeCell ref="AB4:AG4"/>
    <mergeCell ref="AH4:AL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3DB8-97C4-4420-A364-F2B63850CC35}">
  <dimension ref="A1:DU145"/>
  <sheetViews>
    <sheetView zoomScaleNormal="100" workbookViewId="0"/>
  </sheetViews>
  <sheetFormatPr defaultColWidth="8.7109375" defaultRowHeight="15" x14ac:dyDescent="0.25"/>
  <cols>
    <col min="1" max="1" width="8.7109375" style="5"/>
    <col min="2" max="2" width="14.85546875" style="5" bestFit="1" customWidth="1"/>
    <col min="3" max="4" width="10" style="5" bestFit="1" customWidth="1"/>
    <col min="5" max="15" width="8.7109375" style="5"/>
    <col min="16" max="17" width="9.140625" style="5" customWidth="1"/>
    <col min="18" max="20" width="8.7109375" style="5"/>
    <col min="21" max="21" width="9.140625" style="5" customWidth="1"/>
    <col min="22" max="44" width="8.7109375" style="5"/>
    <col min="45" max="45" width="10" style="5" bestFit="1" customWidth="1"/>
    <col min="46" max="54" width="8.7109375" style="5"/>
    <col min="55" max="55" width="10" style="5" bestFit="1" customWidth="1"/>
    <col min="56" max="58" width="8.7109375" style="5"/>
    <col min="59" max="59" width="11" style="5" bestFit="1" customWidth="1"/>
    <col min="60" max="63" width="8.7109375" style="5"/>
    <col min="64" max="64" width="9" style="5" bestFit="1" customWidth="1"/>
    <col min="65" max="65" width="8.85546875" style="5" bestFit="1" customWidth="1"/>
    <col min="66" max="68" width="8.7109375" style="5"/>
    <col min="69" max="69" width="11" style="5" bestFit="1" customWidth="1"/>
    <col min="70" max="16384" width="8.7109375" style="5"/>
  </cols>
  <sheetData>
    <row r="1" spans="1:125" x14ac:dyDescent="0.25">
      <c r="A1" s="8" t="s">
        <v>174</v>
      </c>
      <c r="E1" s="5">
        <v>20170620</v>
      </c>
      <c r="CH1" s="155"/>
    </row>
    <row r="2" spans="1:125" x14ac:dyDescent="0.25">
      <c r="A2" s="9" t="s">
        <v>82</v>
      </c>
      <c r="CH2" s="5" t="s">
        <v>120</v>
      </c>
    </row>
    <row r="3" spans="1:125" x14ac:dyDescent="0.25">
      <c r="A3" s="9" t="s">
        <v>175</v>
      </c>
      <c r="CH3" s="155" t="s">
        <v>122</v>
      </c>
      <c r="CI3" s="155">
        <f>SLOPE(Y6:Y23,C6:C23)</f>
        <v>6.8697906458501434E-2</v>
      </c>
      <c r="CJ3" s="155"/>
      <c r="CK3" s="155"/>
      <c r="CL3" s="155"/>
    </row>
    <row r="4" spans="1:125" x14ac:dyDescent="0.25">
      <c r="C4" s="59"/>
      <c r="D4" s="59"/>
      <c r="E4" s="383" t="s">
        <v>12</v>
      </c>
      <c r="F4" s="383"/>
      <c r="G4" s="383"/>
      <c r="H4" s="383"/>
      <c r="I4" s="383"/>
      <c r="J4" s="384"/>
      <c r="K4" s="382" t="s">
        <v>123</v>
      </c>
      <c r="L4" s="383"/>
      <c r="M4" s="383"/>
      <c r="N4" s="383"/>
      <c r="O4" s="384"/>
      <c r="P4" s="382" t="s">
        <v>5</v>
      </c>
      <c r="Q4" s="383"/>
      <c r="R4" s="383"/>
      <c r="S4" s="383"/>
      <c r="T4" s="383"/>
      <c r="U4" s="384"/>
      <c r="V4" s="382" t="s">
        <v>124</v>
      </c>
      <c r="W4" s="383"/>
      <c r="X4" s="383"/>
      <c r="Y4" s="383"/>
      <c r="Z4" s="383"/>
      <c r="AA4" s="384"/>
      <c r="AB4" s="382" t="s">
        <v>125</v>
      </c>
      <c r="AC4" s="383"/>
      <c r="AD4" s="383"/>
      <c r="AE4" s="383"/>
      <c r="AF4" s="384"/>
      <c r="AG4" s="382" t="s">
        <v>126</v>
      </c>
      <c r="AH4" s="383"/>
      <c r="AI4" s="383"/>
      <c r="AJ4" s="383"/>
      <c r="AK4" s="383"/>
      <c r="AL4" s="384"/>
      <c r="AM4" s="382" t="s">
        <v>127</v>
      </c>
      <c r="AN4" s="383"/>
      <c r="AO4" s="383"/>
      <c r="AP4" s="383"/>
      <c r="AQ4" s="384"/>
      <c r="AR4" s="382" t="s">
        <v>128</v>
      </c>
      <c r="AS4" s="383"/>
      <c r="AT4" s="383"/>
      <c r="AU4" s="383"/>
      <c r="AV4" s="383"/>
      <c r="AW4" s="384"/>
      <c r="AX4" s="382" t="s">
        <v>129</v>
      </c>
      <c r="AY4" s="383"/>
      <c r="AZ4" s="383"/>
      <c r="BA4" s="383"/>
      <c r="BB4" s="384"/>
      <c r="BC4" s="189"/>
      <c r="BD4" s="383" t="s">
        <v>83</v>
      </c>
      <c r="BE4" s="383"/>
      <c r="BF4" s="383"/>
      <c r="BG4" s="383"/>
      <c r="BH4" s="384"/>
      <c r="BI4" s="382" t="s">
        <v>130</v>
      </c>
      <c r="BJ4" s="383"/>
      <c r="BK4" s="383"/>
      <c r="BL4" s="383"/>
      <c r="BM4" s="384"/>
      <c r="BN4" s="382" t="s">
        <v>84</v>
      </c>
      <c r="BO4" s="383"/>
      <c r="BP4" s="383"/>
      <c r="BQ4" s="383"/>
      <c r="BR4" s="384"/>
      <c r="BS4" s="382" t="s">
        <v>131</v>
      </c>
      <c r="BT4" s="383"/>
      <c r="BU4" s="383"/>
      <c r="BV4" s="383"/>
      <c r="BW4" s="384"/>
      <c r="BX4" s="382" t="s">
        <v>132</v>
      </c>
      <c r="BY4" s="383"/>
      <c r="BZ4" s="383"/>
      <c r="CA4" s="383"/>
      <c r="CB4" s="384"/>
      <c r="CC4" s="382" t="s">
        <v>133</v>
      </c>
      <c r="CD4" s="383"/>
      <c r="CE4" s="383"/>
      <c r="CF4" s="383"/>
      <c r="CG4" s="384"/>
      <c r="CH4" s="5" t="s">
        <v>134</v>
      </c>
      <c r="CI4" s="155">
        <f>INTERCEPT(Y6:Y23,C6:C23)</f>
        <v>26.675200465110088</v>
      </c>
      <c r="CJ4" s="155"/>
      <c r="CK4" s="155"/>
      <c r="CL4" s="155"/>
      <c r="CV4" s="5" t="s">
        <v>127</v>
      </c>
      <c r="DA4" s="5" t="s">
        <v>5</v>
      </c>
      <c r="DG4" s="5" t="s">
        <v>135</v>
      </c>
      <c r="DL4" s="5" t="s">
        <v>129</v>
      </c>
      <c r="DQ4" s="5" t="s">
        <v>136</v>
      </c>
    </row>
    <row r="5" spans="1:125" x14ac:dyDescent="0.25">
      <c r="B5" s="9" t="s">
        <v>15</v>
      </c>
      <c r="C5" s="190" t="s">
        <v>16</v>
      </c>
      <c r="D5" s="190" t="s">
        <v>137</v>
      </c>
      <c r="E5" s="13">
        <v>1</v>
      </c>
      <c r="F5" s="13">
        <v>2</v>
      </c>
      <c r="G5" s="13">
        <v>3</v>
      </c>
      <c r="H5" s="13" t="s">
        <v>4</v>
      </c>
      <c r="I5" s="14" t="s">
        <v>17</v>
      </c>
      <c r="J5" s="15" t="s">
        <v>18</v>
      </c>
      <c r="K5" s="12">
        <v>1</v>
      </c>
      <c r="L5" s="13">
        <v>2</v>
      </c>
      <c r="M5" s="13">
        <v>3</v>
      </c>
      <c r="N5" s="14" t="s">
        <v>17</v>
      </c>
      <c r="O5" s="15" t="s">
        <v>18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5" t="s">
        <v>18</v>
      </c>
      <c r="V5" s="12">
        <v>1</v>
      </c>
      <c r="W5" s="13">
        <v>2</v>
      </c>
      <c r="X5" s="13">
        <v>3</v>
      </c>
      <c r="Y5" s="13" t="s">
        <v>4</v>
      </c>
      <c r="Z5" s="14" t="s">
        <v>17</v>
      </c>
      <c r="AA5" s="15" t="s">
        <v>18</v>
      </c>
      <c r="AB5" s="12">
        <v>1</v>
      </c>
      <c r="AC5" s="13">
        <v>2</v>
      </c>
      <c r="AD5" s="13">
        <v>3</v>
      </c>
      <c r="AE5" s="14" t="s">
        <v>17</v>
      </c>
      <c r="AF5" s="15" t="s">
        <v>18</v>
      </c>
      <c r="AG5" s="12">
        <v>1</v>
      </c>
      <c r="AH5" s="13">
        <v>2</v>
      </c>
      <c r="AI5" s="13">
        <v>3</v>
      </c>
      <c r="AJ5" s="13" t="s">
        <v>4</v>
      </c>
      <c r="AK5" s="14" t="s">
        <v>17</v>
      </c>
      <c r="AL5" s="15" t="s">
        <v>18</v>
      </c>
      <c r="AM5" s="12">
        <v>1</v>
      </c>
      <c r="AN5" s="13">
        <v>2</v>
      </c>
      <c r="AO5" s="13">
        <v>3</v>
      </c>
      <c r="AP5" s="14" t="s">
        <v>17</v>
      </c>
      <c r="AQ5" s="15" t="s">
        <v>18</v>
      </c>
      <c r="AR5" s="12">
        <v>1</v>
      </c>
      <c r="AS5" s="13">
        <v>2</v>
      </c>
      <c r="AT5" s="13">
        <v>3</v>
      </c>
      <c r="AU5" s="13" t="s">
        <v>4</v>
      </c>
      <c r="AV5" s="14" t="s">
        <v>17</v>
      </c>
      <c r="AW5" s="15" t="s">
        <v>18</v>
      </c>
      <c r="AX5" s="12">
        <v>1</v>
      </c>
      <c r="AY5" s="13">
        <v>2</v>
      </c>
      <c r="AZ5" s="13">
        <v>3</v>
      </c>
      <c r="BA5" s="14" t="s">
        <v>17</v>
      </c>
      <c r="BB5" s="15" t="s">
        <v>18</v>
      </c>
      <c r="BC5" s="197"/>
      <c r="BD5" s="194">
        <v>1</v>
      </c>
      <c r="BE5" s="194">
        <v>2</v>
      </c>
      <c r="BF5" s="194">
        <v>3</v>
      </c>
      <c r="BG5" s="195" t="s">
        <v>17</v>
      </c>
      <c r="BH5" s="196" t="s">
        <v>18</v>
      </c>
      <c r="BI5" s="193">
        <v>1</v>
      </c>
      <c r="BJ5" s="194">
        <v>2</v>
      </c>
      <c r="BK5" s="194">
        <v>3</v>
      </c>
      <c r="BL5" s="195" t="s">
        <v>17</v>
      </c>
      <c r="BM5" s="196" t="s">
        <v>18</v>
      </c>
      <c r="BN5" s="12">
        <v>1</v>
      </c>
      <c r="BO5" s="13">
        <v>2</v>
      </c>
      <c r="BP5" s="13">
        <v>3</v>
      </c>
      <c r="BQ5" s="14" t="s">
        <v>17</v>
      </c>
      <c r="BR5" s="15" t="s">
        <v>18</v>
      </c>
      <c r="BS5" s="12">
        <v>1</v>
      </c>
      <c r="BT5" s="13">
        <v>2</v>
      </c>
      <c r="BU5" s="13">
        <v>3</v>
      </c>
      <c r="BV5" s="14" t="s">
        <v>17</v>
      </c>
      <c r="BW5" s="15" t="s">
        <v>18</v>
      </c>
      <c r="BX5" s="193">
        <v>1</v>
      </c>
      <c r="BY5" s="194">
        <v>2</v>
      </c>
      <c r="BZ5" s="194">
        <v>3</v>
      </c>
      <c r="CA5" s="195" t="s">
        <v>17</v>
      </c>
      <c r="CB5" s="196" t="s">
        <v>18</v>
      </c>
      <c r="CC5" s="193">
        <v>1</v>
      </c>
      <c r="CD5" s="194">
        <v>2</v>
      </c>
      <c r="CE5" s="194">
        <v>3</v>
      </c>
      <c r="CF5" s="195" t="s">
        <v>17</v>
      </c>
      <c r="CG5" s="196" t="s">
        <v>18</v>
      </c>
      <c r="CH5" s="155" t="s">
        <v>16</v>
      </c>
      <c r="CI5" s="155" t="s">
        <v>138</v>
      </c>
      <c r="CJ5" s="155" t="s">
        <v>139</v>
      </c>
      <c r="CK5" s="155" t="s">
        <v>140</v>
      </c>
      <c r="CL5" s="155" t="s">
        <v>141</v>
      </c>
      <c r="CV5" s="5">
        <v>1</v>
      </c>
      <c r="CW5" s="5">
        <v>2</v>
      </c>
      <c r="CX5" s="5">
        <v>3</v>
      </c>
      <c r="CY5" s="5" t="s">
        <v>17</v>
      </c>
      <c r="CZ5" s="5" t="s">
        <v>18</v>
      </c>
      <c r="DA5" s="5">
        <v>1</v>
      </c>
      <c r="DB5" s="5">
        <v>2</v>
      </c>
      <c r="DC5" s="5">
        <v>3</v>
      </c>
      <c r="DD5" s="5" t="s">
        <v>4</v>
      </c>
      <c r="DE5" s="5" t="s">
        <v>17</v>
      </c>
      <c r="DF5" s="5" t="s">
        <v>18</v>
      </c>
      <c r="DG5" s="5">
        <v>1</v>
      </c>
      <c r="DH5" s="5">
        <v>2</v>
      </c>
      <c r="DI5" s="5">
        <v>3</v>
      </c>
      <c r="DJ5" s="5" t="s">
        <v>17</v>
      </c>
      <c r="DK5" s="5" t="s">
        <v>18</v>
      </c>
      <c r="DL5" s="5">
        <v>1</v>
      </c>
      <c r="DM5" s="5">
        <v>2</v>
      </c>
      <c r="DN5" s="5">
        <v>3</v>
      </c>
      <c r="DO5" s="5" t="s">
        <v>17</v>
      </c>
      <c r="DP5" s="5" t="s">
        <v>18</v>
      </c>
      <c r="DQ5" s="5">
        <v>1</v>
      </c>
      <c r="DR5" s="5">
        <v>2</v>
      </c>
      <c r="DS5" s="5">
        <v>3</v>
      </c>
      <c r="DT5" s="5" t="s">
        <v>17</v>
      </c>
      <c r="DU5" s="5" t="s">
        <v>18</v>
      </c>
    </row>
    <row r="6" spans="1:125" x14ac:dyDescent="0.25">
      <c r="A6" s="5" t="s">
        <v>19</v>
      </c>
      <c r="B6" s="17">
        <v>42906.397916666669</v>
      </c>
      <c r="C6" s="112">
        <f>(B6-$B$6)*24</f>
        <v>0</v>
      </c>
      <c r="D6" s="115">
        <f t="shared" ref="D6:D23" si="0">CL6</f>
        <v>1</v>
      </c>
      <c r="E6" s="244">
        <v>4.2999999999999997E-2</v>
      </c>
      <c r="F6" s="245">
        <v>4.2000000000000003E-2</v>
      </c>
      <c r="G6" s="245">
        <v>3.9E-2</v>
      </c>
      <c r="H6" s="245">
        <v>-2E-3</v>
      </c>
      <c r="I6" s="246">
        <f>AVERAGE(E6:G6)</f>
        <v>4.1333333333333333E-2</v>
      </c>
      <c r="J6" s="247">
        <f>STDEV(E6:G6)</f>
        <v>2.0816659994661317E-3</v>
      </c>
      <c r="K6" s="244">
        <f>E6*D6</f>
        <v>4.2999999999999997E-2</v>
      </c>
      <c r="L6" s="245">
        <f>F6*D6</f>
        <v>4.2000000000000003E-2</v>
      </c>
      <c r="M6" s="245">
        <f>G6*D6</f>
        <v>3.9E-2</v>
      </c>
      <c r="N6" s="246">
        <f>AVERAGE(K6:M6)</f>
        <v>4.1333333333333333E-2</v>
      </c>
      <c r="O6" s="247">
        <f>STDEV(K6:M6)</f>
        <v>2.0816659994661317E-3</v>
      </c>
      <c r="P6" s="248">
        <v>7.37</v>
      </c>
      <c r="Q6" s="249">
        <v>7.37</v>
      </c>
      <c r="R6" s="249">
        <v>7.38</v>
      </c>
      <c r="S6" s="249">
        <v>7.48</v>
      </c>
      <c r="T6" s="250">
        <f t="shared" ref="T6:T23" si="1">AVERAGE(P6:R6)</f>
        <v>7.373333333333334</v>
      </c>
      <c r="U6" s="251">
        <f t="shared" ref="U6:U23" si="2">STDEV(P6:R6)</f>
        <v>5.7735026918961348E-3</v>
      </c>
      <c r="V6" s="248">
        <v>26.716976249338707</v>
      </c>
      <c r="W6" s="249">
        <v>28.245051696423577</v>
      </c>
      <c r="X6" s="249">
        <v>26.430247020325076</v>
      </c>
      <c r="Y6" s="249">
        <v>27.636158055083314</v>
      </c>
      <c r="Z6" s="250">
        <f>AVERAGE(V6:X6)</f>
        <v>27.130758322029124</v>
      </c>
      <c r="AA6" s="251">
        <f>STDEV(V6:X6)</f>
        <v>0.9755976147250599</v>
      </c>
      <c r="AB6" s="248">
        <f>V6*D6</f>
        <v>26.716976249338707</v>
      </c>
      <c r="AC6" s="249">
        <f>W6*D6</f>
        <v>28.245051696423577</v>
      </c>
      <c r="AD6" s="249">
        <f>X6*D6</f>
        <v>26.430247020325076</v>
      </c>
      <c r="AE6" s="250">
        <f>AVERAGE(AB6:AD6)</f>
        <v>27.130758322029124</v>
      </c>
      <c r="AF6" s="251">
        <f>STDEV(AB6:AD6)</f>
        <v>0.9755976147250599</v>
      </c>
      <c r="AG6" s="248">
        <v>0</v>
      </c>
      <c r="AH6" s="249">
        <v>0</v>
      </c>
      <c r="AI6" s="249">
        <v>0</v>
      </c>
      <c r="AJ6" s="252">
        <v>0</v>
      </c>
      <c r="AK6" s="250">
        <f>AVERAGE(AG6:AI6)</f>
        <v>0</v>
      </c>
      <c r="AL6" s="251">
        <f>STDEV(AG6:AI6)</f>
        <v>0</v>
      </c>
      <c r="AM6" s="248">
        <f>AG6*D6</f>
        <v>0</v>
      </c>
      <c r="AN6" s="249">
        <f>AH6*D6</f>
        <v>0</v>
      </c>
      <c r="AO6" s="249">
        <f>AI6*D6</f>
        <v>0</v>
      </c>
      <c r="AP6" s="250">
        <f>AVERAGE(AM6:AO6)</f>
        <v>0</v>
      </c>
      <c r="AQ6" s="251">
        <f>STDEV(AM6:AO6)</f>
        <v>0</v>
      </c>
      <c r="AR6" s="248">
        <v>0</v>
      </c>
      <c r="AS6" s="249">
        <v>0</v>
      </c>
      <c r="AT6" s="249">
        <v>0</v>
      </c>
      <c r="AU6" s="252">
        <v>0</v>
      </c>
      <c r="AV6" s="250">
        <f>AVERAGE(AR6:AT6)</f>
        <v>0</v>
      </c>
      <c r="AW6" s="251">
        <f>STDEV(AR6:AT6)</f>
        <v>0</v>
      </c>
      <c r="AX6" s="248">
        <f>AR6*D6</f>
        <v>0</v>
      </c>
      <c r="AY6" s="249">
        <f>AS6*D6</f>
        <v>0</v>
      </c>
      <c r="AZ6" s="249">
        <f>AT6*D6</f>
        <v>0</v>
      </c>
      <c r="BA6" s="250">
        <f>AVERAGE(AX6:AZ6)</f>
        <v>0</v>
      </c>
      <c r="BB6" s="251">
        <f>STDEV(AX6:AZ6)</f>
        <v>0</v>
      </c>
      <c r="BC6" s="5" t="s">
        <v>19</v>
      </c>
      <c r="BD6" s="204">
        <v>15000000</v>
      </c>
      <c r="BE6" s="205">
        <v>26000000</v>
      </c>
      <c r="BF6" s="205">
        <v>21000000</v>
      </c>
      <c r="BG6" s="206">
        <f>AVERAGE(BD6:BF6)</f>
        <v>20666666.666666668</v>
      </c>
      <c r="BH6" s="207">
        <f>STDEV(BD6:BF6)</f>
        <v>5507570.5472861053</v>
      </c>
      <c r="BI6" s="204">
        <f>BD6*D6</f>
        <v>15000000</v>
      </c>
      <c r="BJ6" s="205">
        <f>BE6*D6</f>
        <v>26000000</v>
      </c>
      <c r="BK6" s="205">
        <f>BF6*D6</f>
        <v>21000000</v>
      </c>
      <c r="BL6" s="206">
        <f>AVERAGE(BI6:BK6)</f>
        <v>20666666.666666668</v>
      </c>
      <c r="BM6" s="207">
        <f>STDEV(BI6:BK6)</f>
        <v>5507570.5472861053</v>
      </c>
      <c r="BN6" s="204">
        <v>40000000</v>
      </c>
      <c r="BO6" s="205">
        <v>39000000</v>
      </c>
      <c r="BP6" s="205">
        <v>34000000</v>
      </c>
      <c r="BQ6" s="206">
        <f>AVERAGE(BN6:BP6)</f>
        <v>37666666.666666664</v>
      </c>
      <c r="BR6" s="207">
        <f>STDEV(BN6:BP6)</f>
        <v>3214550.253664318</v>
      </c>
      <c r="BS6" s="204">
        <f>BN6*D6</f>
        <v>40000000</v>
      </c>
      <c r="BT6" s="205">
        <f>BO6*D6</f>
        <v>39000000</v>
      </c>
      <c r="BU6" s="205">
        <f>BP6*D6</f>
        <v>34000000</v>
      </c>
      <c r="BV6" s="206">
        <f>AVERAGE(BS6:BU6)</f>
        <v>37666666.666666664</v>
      </c>
      <c r="BW6" s="207">
        <f>STDEV(BS6:BU6)</f>
        <v>3214550.253664318</v>
      </c>
      <c r="BX6" s="201">
        <v>0.27272727272727271</v>
      </c>
      <c r="BY6" s="119">
        <v>0.4</v>
      </c>
      <c r="BZ6" s="119">
        <v>0.38181818181818183</v>
      </c>
      <c r="CA6" s="202">
        <f>AVERAGE(BX6:BZ6)</f>
        <v>0.35151515151515156</v>
      </c>
      <c r="CB6" s="51">
        <f>STDEV(BX6:BZ6)</f>
        <v>6.8835252676366684E-2</v>
      </c>
      <c r="CC6" s="201">
        <v>0.72727272727272729</v>
      </c>
      <c r="CD6" s="119">
        <v>0.6</v>
      </c>
      <c r="CE6" s="119">
        <v>0.61818181818181817</v>
      </c>
      <c r="CF6" s="202">
        <f>AVERAGE(CC6:CE6)</f>
        <v>0.64848484848484844</v>
      </c>
      <c r="CG6" s="51">
        <f>STDEV(CC6:CE6)</f>
        <v>6.8835252676366976E-2</v>
      </c>
      <c r="CH6" s="122">
        <f t="shared" ref="CH6:CH23" si="3">C6</f>
        <v>0</v>
      </c>
      <c r="CI6" s="55">
        <f>CH6*$CI$3+$CI$4</f>
        <v>26.675200465110088</v>
      </c>
      <c r="CJ6" s="5">
        <f t="shared" ref="CJ6:CJ23" si="4">CI6/$CI$6</f>
        <v>1</v>
      </c>
      <c r="CK6" s="5">
        <f t="shared" ref="CK6:CK23" si="5">100/CJ6</f>
        <v>100</v>
      </c>
      <c r="CL6" s="5">
        <f t="shared" ref="CL6:CL23" si="6">CK6/100</f>
        <v>1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7.37</v>
      </c>
      <c r="DB6" s="5">
        <v>7.37</v>
      </c>
      <c r="DC6" s="5">
        <v>7.38</v>
      </c>
      <c r="DD6" s="5">
        <v>7.48</v>
      </c>
      <c r="DE6" s="5">
        <v>7.373333333333334</v>
      </c>
      <c r="DF6" s="5">
        <v>5.7735026918961348E-3</v>
      </c>
      <c r="DG6" s="5">
        <f>CV6/(1+10^(DA6-3.86))</f>
        <v>0</v>
      </c>
      <c r="DH6" s="5">
        <f t="shared" ref="DH6:DI19" si="7">CW6/(1+10^(DB6-3.86))</f>
        <v>0</v>
      </c>
      <c r="DI6" s="5">
        <f t="shared" si="7"/>
        <v>0</v>
      </c>
      <c r="DJ6" s="5">
        <f>AVERAGE(DG6:DI6)</f>
        <v>0</v>
      </c>
      <c r="DK6" s="5">
        <f>STDEV(DG6:DI6)</f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f>DL6/(1+10^(DA6-4.76))</f>
        <v>0</v>
      </c>
      <c r="DR6" s="5">
        <f t="shared" ref="DR6:DS19" si="8">DM6/(1+10^(DB6-4.76))</f>
        <v>0</v>
      </c>
      <c r="DS6" s="5">
        <f t="shared" si="8"/>
        <v>0</v>
      </c>
      <c r="DT6" s="5">
        <f>AVERAGE(DQ6:DS6)</f>
        <v>0</v>
      </c>
      <c r="DU6" s="5">
        <f>STDEV(DQ6:DS6)</f>
        <v>0</v>
      </c>
    </row>
    <row r="7" spans="1:125" x14ac:dyDescent="0.25">
      <c r="A7" s="5" t="s">
        <v>20</v>
      </c>
      <c r="B7" s="17">
        <v>42906.522222222222</v>
      </c>
      <c r="C7" s="112">
        <f t="shared" ref="C7:C23" si="9">(B7-$B$6)*24</f>
        <v>2.9833333332790062</v>
      </c>
      <c r="D7" s="115">
        <f t="shared" si="0"/>
        <v>0.99237546069437699</v>
      </c>
      <c r="E7" s="29">
        <v>7.3999999999999996E-2</v>
      </c>
      <c r="F7" s="30">
        <v>7.0999999999999994E-2</v>
      </c>
      <c r="G7" s="30">
        <v>6.6000000000000003E-2</v>
      </c>
      <c r="H7" s="30">
        <v>-1E-3</v>
      </c>
      <c r="I7" s="31">
        <f t="shared" ref="I7:I23" si="10">AVERAGE(E7:G7)</f>
        <v>7.0333333333333331E-2</v>
      </c>
      <c r="J7" s="32">
        <f t="shared" ref="J7:J23" si="11">STDEV(E7:G7)</f>
        <v>4.0414518843273767E-3</v>
      </c>
      <c r="K7" s="29">
        <f t="shared" ref="K7:K23" si="12">E7*D7</f>
        <v>7.3435784091383891E-2</v>
      </c>
      <c r="L7" s="30">
        <f t="shared" ref="L7:L23" si="13">F7*D7</f>
        <v>7.0458657709300765E-2</v>
      </c>
      <c r="M7" s="30">
        <f t="shared" ref="M7:M23" si="14">G7*D7</f>
        <v>6.5496780405828889E-2</v>
      </c>
      <c r="N7" s="31">
        <f t="shared" ref="N7:N23" si="15">AVERAGE(K7:M7)</f>
        <v>6.9797074068837853E-2</v>
      </c>
      <c r="O7" s="32">
        <f t="shared" ref="O7:O23" si="16">STDEV(K7:M7)</f>
        <v>4.0106376755835345E-3</v>
      </c>
      <c r="P7" s="33">
        <v>7.21</v>
      </c>
      <c r="Q7" s="34">
        <v>7.2</v>
      </c>
      <c r="R7" s="34">
        <v>7.21</v>
      </c>
      <c r="S7" s="34">
        <v>7.45</v>
      </c>
      <c r="T7" s="35">
        <f t="shared" si="1"/>
        <v>7.206666666666667</v>
      </c>
      <c r="U7" s="36">
        <f t="shared" si="2"/>
        <v>5.7735026918961348E-3</v>
      </c>
      <c r="V7" s="33">
        <v>27.654236728195784</v>
      </c>
      <c r="W7" s="34">
        <v>27.979095959596549</v>
      </c>
      <c r="X7" s="34">
        <v>26.990954385755671</v>
      </c>
      <c r="Y7" s="34">
        <v>27.951338371902708</v>
      </c>
      <c r="Z7" s="35">
        <f t="shared" ref="Z7:Z23" si="17">AVERAGE(V7:X7)</f>
        <v>27.541429024516002</v>
      </c>
      <c r="AA7" s="36">
        <f t="shared" ref="AA7:AA23" si="18">STDEV(V7:X7)</f>
        <v>0.50363689896125641</v>
      </c>
      <c r="AB7" s="33">
        <f t="shared" ref="AB7:AB23" si="19">V7*D7</f>
        <v>27.443385913294652</v>
      </c>
      <c r="AC7" s="34">
        <f t="shared" ref="AC7:AC23" si="20">W7*D7</f>
        <v>27.765768242716806</v>
      </c>
      <c r="AD7" s="34">
        <f t="shared" ref="AD7:AD23" si="21">X7*D7</f>
        <v>26.785160793145199</v>
      </c>
      <c r="AE7" s="35">
        <f t="shared" ref="AE7:AE29" si="22">AVERAGE(AB7:AD7)</f>
        <v>27.331438316385555</v>
      </c>
      <c r="AF7" s="36">
        <f t="shared" ref="AF7:AF29" si="23">STDEV(AB7:AD7)</f>
        <v>0.4997968996293643</v>
      </c>
      <c r="AG7" s="33">
        <v>0.50928020622318904</v>
      </c>
      <c r="AH7" s="34">
        <v>0.5641106535432725</v>
      </c>
      <c r="AI7" s="34">
        <v>0.59807175761133147</v>
      </c>
      <c r="AJ7" s="37">
        <v>0</v>
      </c>
      <c r="AK7" s="35">
        <f t="shared" ref="AK7:AK23" si="24">AVERAGE(AG7:AI7)</f>
        <v>0.55715420579259767</v>
      </c>
      <c r="AL7" s="36">
        <f t="shared" ref="AL7:AL23" si="25">STDEV(AG7:AI7)</f>
        <v>4.4802667593115325E-2</v>
      </c>
      <c r="AM7" s="33">
        <f t="shared" ref="AM7:AM23" si="26">AG7*D7</f>
        <v>0.50539717927326455</v>
      </c>
      <c r="AN7" s="34">
        <f t="shared" ref="AN7:AN23" si="27">AH7*D7</f>
        <v>0.55980956969261109</v>
      </c>
      <c r="AO7" s="34">
        <f t="shared" ref="AO7:AO23" si="28">AI7*D7</f>
        <v>0.59351173598784079</v>
      </c>
      <c r="AP7" s="35">
        <f t="shared" ref="AP7:AP23" si="29">AVERAGE(AM7:AO7)</f>
        <v>0.55290616165123885</v>
      </c>
      <c r="AQ7" s="36">
        <f t="shared" ref="AQ7:AQ23" si="30">STDEV(AM7:AO7)</f>
        <v>4.4461067893054824E-2</v>
      </c>
      <c r="AR7" s="33">
        <v>0.15402720776541479</v>
      </c>
      <c r="AS7" s="34">
        <v>0</v>
      </c>
      <c r="AT7" s="34">
        <v>9.6548023124881324E-2</v>
      </c>
      <c r="AU7" s="37">
        <v>0</v>
      </c>
      <c r="AV7" s="35">
        <f t="shared" ref="AV7:AV23" si="31">AVERAGE(AR7:AT7)</f>
        <v>8.3525076963432032E-2</v>
      </c>
      <c r="AW7" s="36">
        <f t="shared" ref="AW7:AW23" si="32">STDEV(AR7:AT7)</f>
        <v>7.7835037277858163E-2</v>
      </c>
      <c r="AX7" s="33">
        <f t="shared" ref="AX7:AX23" si="33">AR7*D7</f>
        <v>0.15285282126567201</v>
      </c>
      <c r="AY7" s="34">
        <f t="shared" ref="AY7:AY23" si="34">AS7*D7</f>
        <v>0</v>
      </c>
      <c r="AZ7" s="34">
        <f t="shared" ref="AZ7:AZ23" si="35">AT7*D7</f>
        <v>9.5811888927685468E-2</v>
      </c>
      <c r="BA7" s="35">
        <f t="shared" ref="BA7:BA23" si="36">AVERAGE(AX7:AZ7)</f>
        <v>8.2888236731119155E-2</v>
      </c>
      <c r="BB7" s="36">
        <f t="shared" ref="BB7:BB23" si="37">STDEV(AX7:AZ7)</f>
        <v>7.7241580976778496E-2</v>
      </c>
      <c r="BC7" s="5" t="s">
        <v>20</v>
      </c>
      <c r="BD7" s="133"/>
      <c r="BE7" s="134"/>
      <c r="BF7" s="134"/>
      <c r="BG7" s="135"/>
      <c r="BH7" s="136"/>
      <c r="BI7" s="133"/>
      <c r="BJ7" s="134"/>
      <c r="BK7" s="134"/>
      <c r="BL7" s="135"/>
      <c r="BM7" s="136"/>
      <c r="BN7" s="133"/>
      <c r="BO7" s="134"/>
      <c r="BP7" s="134"/>
      <c r="BQ7" s="135"/>
      <c r="BR7" s="136"/>
      <c r="BS7" s="133"/>
      <c r="BT7" s="134"/>
      <c r="BU7" s="134"/>
      <c r="BV7" s="135"/>
      <c r="BW7" s="136"/>
      <c r="BX7" s="23"/>
      <c r="BY7" s="24"/>
      <c r="BZ7" s="24"/>
      <c r="CA7" s="25"/>
      <c r="CB7" s="26"/>
      <c r="CC7" s="23"/>
      <c r="CD7" s="24"/>
      <c r="CE7" s="24"/>
      <c r="CF7" s="25"/>
      <c r="CG7" s="26"/>
      <c r="CH7" s="122">
        <f t="shared" si="3"/>
        <v>2.9833333332790062</v>
      </c>
      <c r="CI7" s="55">
        <f t="shared" ref="CI7:CI23" si="38">CH7*$CI$3+$CI$4</f>
        <v>26.880149219374218</v>
      </c>
      <c r="CJ7" s="55">
        <f t="shared" si="4"/>
        <v>1.0076831195526419</v>
      </c>
      <c r="CK7" s="55">
        <f t="shared" si="5"/>
        <v>99.237546069437698</v>
      </c>
      <c r="CL7" s="55">
        <f t="shared" si="6"/>
        <v>0.99237546069437699</v>
      </c>
      <c r="CV7" s="5">
        <v>0.50539717927326455</v>
      </c>
      <c r="CW7" s="5">
        <v>0.55980956969261109</v>
      </c>
      <c r="CX7" s="5">
        <v>0.59351173598784079</v>
      </c>
      <c r="CY7" s="5">
        <v>0.55290616165123885</v>
      </c>
      <c r="CZ7" s="5">
        <v>4.4461067893054824E-2</v>
      </c>
      <c r="DA7" s="5">
        <v>7.21</v>
      </c>
      <c r="DB7" s="5">
        <v>7.2</v>
      </c>
      <c r="DC7" s="5">
        <v>7.21</v>
      </c>
      <c r="DD7" s="5">
        <v>7.45</v>
      </c>
      <c r="DE7" s="5">
        <v>7.206666666666667</v>
      </c>
      <c r="DF7" s="5">
        <v>5.7735026918961348E-3</v>
      </c>
      <c r="DG7" s="5">
        <f t="shared" ref="DG7:DI23" si="39">CV7/(1+10^(DA7-3.86))</f>
        <v>2.256518325296161E-4</v>
      </c>
      <c r="DH7" s="5">
        <f t="shared" si="7"/>
        <v>2.5576543538005344E-4</v>
      </c>
      <c r="DI7" s="5">
        <f t="shared" si="7"/>
        <v>2.6499358592794325E-4</v>
      </c>
      <c r="DJ7" s="5">
        <f t="shared" ref="DJ7:DJ23" si="40">AVERAGE(DG7:DI7)</f>
        <v>2.4880361794587093E-4</v>
      </c>
      <c r="DK7" s="5">
        <f t="shared" ref="DK7:DK23" si="41">STDEV(DG7:DI7)</f>
        <v>2.0574099411732755E-5</v>
      </c>
      <c r="DL7" s="5">
        <v>0.15285282126567201</v>
      </c>
      <c r="DM7" s="5">
        <v>0</v>
      </c>
      <c r="DN7" s="5">
        <v>9.5811888927685468E-2</v>
      </c>
      <c r="DO7" s="5">
        <v>8.2888236731119155E-2</v>
      </c>
      <c r="DP7" s="5">
        <v>7.7241580976778496E-2</v>
      </c>
      <c r="DQ7" s="5">
        <f t="shared" ref="DQ7:DS23" si="42">DL7/(1+10^(DA7-4.76))</f>
        <v>5.4042477620715136E-4</v>
      </c>
      <c r="DR7" s="5">
        <f t="shared" si="8"/>
        <v>0</v>
      </c>
      <c r="DS7" s="5">
        <f t="shared" si="8"/>
        <v>3.3875147480419795E-4</v>
      </c>
      <c r="DT7" s="5">
        <f t="shared" ref="DT7:DT23" si="43">AVERAGE(DQ7:DS7)</f>
        <v>2.930587503371164E-4</v>
      </c>
      <c r="DU7" s="5">
        <f t="shared" ref="DU7:DU23" si="44">STDEV(DQ7:DS7)</f>
        <v>2.7309449552591841E-4</v>
      </c>
    </row>
    <row r="8" spans="1:125" x14ac:dyDescent="0.25">
      <c r="A8" s="5" t="s">
        <v>22</v>
      </c>
      <c r="B8" s="17">
        <v>42906.65</v>
      </c>
      <c r="C8" s="112">
        <f t="shared" si="9"/>
        <v>6.0499999999883585</v>
      </c>
      <c r="D8" s="115">
        <f t="shared" si="0"/>
        <v>0.98465818712284858</v>
      </c>
      <c r="E8" s="29">
        <v>0.122</v>
      </c>
      <c r="F8" s="30">
        <v>0.114</v>
      </c>
      <c r="G8" s="30">
        <v>0.105</v>
      </c>
      <c r="H8" s="30">
        <v>-1E-3</v>
      </c>
      <c r="I8" s="31">
        <f t="shared" si="10"/>
        <v>0.11366666666666665</v>
      </c>
      <c r="J8" s="32">
        <f t="shared" si="11"/>
        <v>8.5049005481153839E-3</v>
      </c>
      <c r="K8" s="29">
        <f t="shared" si="12"/>
        <v>0.12012829882898753</v>
      </c>
      <c r="L8" s="30">
        <f t="shared" si="13"/>
        <v>0.11225103333200474</v>
      </c>
      <c r="M8" s="30">
        <f t="shared" si="14"/>
        <v>0.1033891096478991</v>
      </c>
      <c r="N8" s="31">
        <f t="shared" si="15"/>
        <v>0.11192281393629712</v>
      </c>
      <c r="O8" s="32">
        <f t="shared" si="16"/>
        <v>8.3744199553674129E-3</v>
      </c>
      <c r="P8" s="33">
        <v>6.83</v>
      </c>
      <c r="Q8" s="34">
        <v>6.81</v>
      </c>
      <c r="R8" s="34">
        <v>6.79</v>
      </c>
      <c r="S8" s="34">
        <v>7.42</v>
      </c>
      <c r="T8" s="35">
        <f t="shared" si="1"/>
        <v>6.81</v>
      </c>
      <c r="U8" s="36">
        <f t="shared" si="2"/>
        <v>2.0000000000000018E-2</v>
      </c>
      <c r="V8" s="33"/>
      <c r="W8" s="34"/>
      <c r="X8" s="253"/>
      <c r="Y8" s="253"/>
      <c r="Z8" s="35"/>
      <c r="AA8" s="36"/>
      <c r="AB8" s="33"/>
      <c r="AC8" s="34"/>
      <c r="AD8" s="34"/>
      <c r="AE8" s="35"/>
      <c r="AF8" s="36"/>
      <c r="AG8" s="33"/>
      <c r="AH8" s="34"/>
      <c r="AI8" s="253"/>
      <c r="AJ8" s="253"/>
      <c r="AK8" s="35"/>
      <c r="AL8" s="36"/>
      <c r="AM8" s="33"/>
      <c r="AN8" s="34"/>
      <c r="AO8" s="34"/>
      <c r="AP8" s="35"/>
      <c r="AQ8" s="36"/>
      <c r="AR8" s="33"/>
      <c r="AS8" s="34"/>
      <c r="AT8" s="253"/>
      <c r="AU8" s="253"/>
      <c r="AV8" s="35"/>
      <c r="AW8" s="36"/>
      <c r="AX8" s="33"/>
      <c r="AY8" s="34"/>
      <c r="AZ8" s="34"/>
      <c r="BA8" s="35"/>
      <c r="BB8" s="36"/>
      <c r="BC8" s="5" t="s">
        <v>22</v>
      </c>
      <c r="BD8" s="133">
        <v>70000000</v>
      </c>
      <c r="BE8" s="134">
        <v>54000000</v>
      </c>
      <c r="BF8" s="134">
        <v>35000000</v>
      </c>
      <c r="BG8" s="135">
        <f t="shared" ref="BG8:BG23" si="45">AVERAGE(BD8:BF8)</f>
        <v>53000000</v>
      </c>
      <c r="BH8" s="136">
        <f t="shared" ref="BH8:BH23" si="46">STDEV(BD8:BF8)</f>
        <v>17521415.467935231</v>
      </c>
      <c r="BI8" s="133">
        <f t="shared" ref="BI8:BI23" si="47">BD8*D8</f>
        <v>68926073.098599404</v>
      </c>
      <c r="BJ8" s="134">
        <f t="shared" ref="BJ8:BJ23" si="48">BE8*D8</f>
        <v>53171542.104633823</v>
      </c>
      <c r="BK8" s="134">
        <f t="shared" ref="BK8:BK23" si="49">BF8*D8</f>
        <v>34463036.549299702</v>
      </c>
      <c r="BL8" s="135">
        <f t="shared" ref="BL8:BL23" si="50">AVERAGE(BI8:BK8)</f>
        <v>52186883.917510979</v>
      </c>
      <c r="BM8" s="136">
        <f t="shared" ref="BM8:BM23" si="51">STDEV(BI8:BK8)</f>
        <v>17252605.19048335</v>
      </c>
      <c r="BN8" s="133">
        <v>73000000</v>
      </c>
      <c r="BO8" s="134">
        <v>89000000</v>
      </c>
      <c r="BP8" s="134">
        <v>85000000</v>
      </c>
      <c r="BQ8" s="135">
        <f t="shared" ref="BQ8:BQ23" si="52">AVERAGE(BN8:BP8)</f>
        <v>82333333.333333328</v>
      </c>
      <c r="BR8" s="136">
        <f t="shared" ref="BR8:BR23" si="53">STDEV(BN8:BP8)</f>
        <v>8326663.9978645314</v>
      </c>
      <c r="BS8" s="133">
        <f t="shared" ref="BS8:BS23" si="54">BN8*D8</f>
        <v>71880047.659967944</v>
      </c>
      <c r="BT8" s="134">
        <f t="shared" ref="BT8:BT23" si="55">BO8*D8</f>
        <v>87634578.653933525</v>
      </c>
      <c r="BU8" s="134">
        <f t="shared" ref="BU8:BU23" si="56">BP8*D8</f>
        <v>83695945.905442134</v>
      </c>
      <c r="BV8" s="135">
        <f t="shared" ref="BV8:BV23" si="57">AVERAGE(BS8:BU8)</f>
        <v>81070190.739781201</v>
      </c>
      <c r="BW8" s="136">
        <f t="shared" ref="BW8:BW23" si="58">STDEV(BS8:BU8)</f>
        <v>8198917.876918382</v>
      </c>
      <c r="BX8" s="23">
        <v>0.48951048951048953</v>
      </c>
      <c r="BY8" s="24">
        <v>0.3776223776223776</v>
      </c>
      <c r="BZ8" s="24">
        <v>0.29166666666666669</v>
      </c>
      <c r="CA8" s="25">
        <f t="shared" ref="CA8:CA14" si="59">AVERAGE(BX8:BZ8)</f>
        <v>0.38626651126651129</v>
      </c>
      <c r="CB8" s="26">
        <f t="shared" ref="CB8:CB14" si="60">STDEV(BX8:BZ8)</f>
        <v>9.9204764725328243E-2</v>
      </c>
      <c r="CC8" s="23">
        <v>0.51048951048951052</v>
      </c>
      <c r="CD8" s="24">
        <v>0.6223776223776224</v>
      </c>
      <c r="CE8" s="24">
        <v>0.70833333333333337</v>
      </c>
      <c r="CF8" s="25">
        <f t="shared" ref="CF8" si="61">AVERAGE(CC8:CE8)</f>
        <v>0.61373348873348876</v>
      </c>
      <c r="CG8" s="26">
        <f t="shared" ref="CG8" si="62">STDEV(CC8:CE8)</f>
        <v>9.9204764725327826E-2</v>
      </c>
      <c r="CH8" s="122">
        <f t="shared" si="3"/>
        <v>6.0499999999883585</v>
      </c>
      <c r="CI8" s="55">
        <f t="shared" si="38"/>
        <v>27.090822799183222</v>
      </c>
      <c r="CJ8" s="55">
        <f t="shared" si="4"/>
        <v>1.0155808513835445</v>
      </c>
      <c r="CK8" s="55">
        <f t="shared" si="5"/>
        <v>98.465818712284857</v>
      </c>
      <c r="CL8" s="55">
        <f t="shared" si="6"/>
        <v>0.98465818712284858</v>
      </c>
      <c r="DA8" s="5">
        <v>6.83</v>
      </c>
      <c r="DB8" s="5">
        <v>6.81</v>
      </c>
      <c r="DC8" s="5">
        <v>6.79</v>
      </c>
      <c r="DD8" s="5">
        <v>7.42</v>
      </c>
      <c r="DE8" s="5">
        <v>6.81</v>
      </c>
      <c r="DF8" s="5">
        <v>2.0000000000000018E-2</v>
      </c>
    </row>
    <row r="9" spans="1:125" x14ac:dyDescent="0.25">
      <c r="A9" s="5" t="s">
        <v>23</v>
      </c>
      <c r="B9" s="17">
        <v>42906.782638888886</v>
      </c>
      <c r="C9" s="112">
        <f t="shared" si="9"/>
        <v>9.2333333332207985</v>
      </c>
      <c r="D9" s="115">
        <f t="shared" si="0"/>
        <v>0.97677326897225314</v>
      </c>
      <c r="E9" s="29">
        <v>0.16400000000000001</v>
      </c>
      <c r="F9" s="30">
        <v>0.16300000000000001</v>
      </c>
      <c r="G9" s="30">
        <v>0.14699999999999999</v>
      </c>
      <c r="H9" s="30">
        <v>0</v>
      </c>
      <c r="I9" s="31">
        <f t="shared" si="10"/>
        <v>0.158</v>
      </c>
      <c r="J9" s="32">
        <f t="shared" si="11"/>
        <v>9.5393920141694649E-3</v>
      </c>
      <c r="K9" s="29">
        <f t="shared" si="12"/>
        <v>0.16019081611144953</v>
      </c>
      <c r="L9" s="30">
        <f t="shared" si="13"/>
        <v>0.15921404284247725</v>
      </c>
      <c r="M9" s="30">
        <f t="shared" si="14"/>
        <v>0.14358567053892121</v>
      </c>
      <c r="N9" s="31">
        <f t="shared" si="15"/>
        <v>0.15433017649761602</v>
      </c>
      <c r="O9" s="32">
        <f t="shared" si="16"/>
        <v>9.3178231216881086E-3</v>
      </c>
      <c r="P9" s="33">
        <v>6.36</v>
      </c>
      <c r="Q9" s="34">
        <v>5.87</v>
      </c>
      <c r="R9" s="34">
        <v>5.89</v>
      </c>
      <c r="S9" s="34">
        <v>7.37</v>
      </c>
      <c r="T9" s="35">
        <f t="shared" si="1"/>
        <v>6.04</v>
      </c>
      <c r="U9" s="36">
        <f t="shared" si="2"/>
        <v>0.27730849247724121</v>
      </c>
      <c r="V9" s="33">
        <v>25.889604267449037</v>
      </c>
      <c r="W9" s="34">
        <v>25.998419608795217</v>
      </c>
      <c r="X9" s="34">
        <v>24.891098119824065</v>
      </c>
      <c r="Y9" s="34">
        <v>27.747017519269498</v>
      </c>
      <c r="Z9" s="35">
        <f t="shared" si="17"/>
        <v>25.593040665356103</v>
      </c>
      <c r="AA9" s="36">
        <f t="shared" si="18"/>
        <v>0.61032999070099214</v>
      </c>
      <c r="AB9" s="33">
        <f t="shared" si="19"/>
        <v>25.288273392714192</v>
      </c>
      <c r="AC9" s="34">
        <f t="shared" si="20"/>
        <v>25.394561309395232</v>
      </c>
      <c r="AD9" s="34">
        <f t="shared" si="21"/>
        <v>24.312959278809657</v>
      </c>
      <c r="AE9" s="35">
        <f t="shared" si="22"/>
        <v>24.998597993639692</v>
      </c>
      <c r="AF9" s="36">
        <f>STDEV(AB9:AD9)</f>
        <v>0.59615402016881269</v>
      </c>
      <c r="AG9" s="33">
        <v>3.1541212626768096</v>
      </c>
      <c r="AH9" s="34">
        <v>4.502544548842736</v>
      </c>
      <c r="AI9" s="34">
        <v>4.4765842805716556</v>
      </c>
      <c r="AJ9" s="37">
        <v>0</v>
      </c>
      <c r="AK9" s="35">
        <f t="shared" si="24"/>
        <v>4.0444166973637339</v>
      </c>
      <c r="AL9" s="36">
        <f t="shared" si="25"/>
        <v>0.77112771617317866</v>
      </c>
      <c r="AM9" s="33">
        <f t="shared" si="26"/>
        <v>3.0808613364797179</v>
      </c>
      <c r="AN9" s="34">
        <f t="shared" si="27"/>
        <v>4.3979651576663183</v>
      </c>
      <c r="AO9" s="34">
        <f t="shared" si="28"/>
        <v>4.372607861563778</v>
      </c>
      <c r="AP9" s="35">
        <f t="shared" si="29"/>
        <v>3.9504781185699378</v>
      </c>
      <c r="AQ9" s="36">
        <f t="shared" si="30"/>
        <v>0.7532169401215828</v>
      </c>
      <c r="AR9" s="33">
        <v>0.42444534432897058</v>
      </c>
      <c r="AS9" s="34">
        <v>0.28859169787237143</v>
      </c>
      <c r="AT9" s="34">
        <v>0.2341332957811405</v>
      </c>
      <c r="AU9" s="37">
        <v>0</v>
      </c>
      <c r="AV9" s="35">
        <f t="shared" si="31"/>
        <v>0.31572344599416086</v>
      </c>
      <c r="AW9" s="36">
        <f t="shared" si="32"/>
        <v>9.8014120272163163E-2</v>
      </c>
      <c r="AX9" s="33">
        <f t="shared" si="33"/>
        <v>0.41458686648026216</v>
      </c>
      <c r="AY9" s="34">
        <f t="shared" si="34"/>
        <v>0.28188865612904906</v>
      </c>
      <c r="AZ9" s="34">
        <f t="shared" si="35"/>
        <v>0.22869514469539207</v>
      </c>
      <c r="BA9" s="35">
        <f t="shared" si="36"/>
        <v>0.30839022243490111</v>
      </c>
      <c r="BB9" s="36">
        <f t="shared" si="37"/>
        <v>9.5737572663680506E-2</v>
      </c>
      <c r="BC9" s="5" t="s">
        <v>23</v>
      </c>
      <c r="BD9" s="133"/>
      <c r="BE9" s="134"/>
      <c r="BF9" s="134"/>
      <c r="BG9" s="135"/>
      <c r="BH9" s="136"/>
      <c r="BI9" s="133"/>
      <c r="BJ9" s="134"/>
      <c r="BK9" s="134"/>
      <c r="BL9" s="135"/>
      <c r="BM9" s="136"/>
      <c r="BN9" s="133"/>
      <c r="BO9" s="134"/>
      <c r="BP9" s="134"/>
      <c r="BQ9" s="135"/>
      <c r="BR9" s="136"/>
      <c r="BS9" s="133"/>
      <c r="BT9" s="134"/>
      <c r="BU9" s="134"/>
      <c r="BV9" s="135"/>
      <c r="BW9" s="136"/>
      <c r="BX9" s="23"/>
      <c r="BY9" s="24"/>
      <c r="BZ9" s="24"/>
      <c r="CA9" s="25"/>
      <c r="CB9" s="26"/>
      <c r="CC9" s="23"/>
      <c r="CD9" s="24"/>
      <c r="CE9" s="24"/>
      <c r="CF9" s="25"/>
      <c r="CG9" s="26"/>
      <c r="CH9" s="122">
        <f t="shared" si="3"/>
        <v>9.2333333332207985</v>
      </c>
      <c r="CI9" s="55">
        <f t="shared" si="38"/>
        <v>27.309511134735853</v>
      </c>
      <c r="CJ9" s="55">
        <f t="shared" si="4"/>
        <v>1.023779040403292</v>
      </c>
      <c r="CK9" s="55">
        <f t="shared" si="5"/>
        <v>97.677326897225313</v>
      </c>
      <c r="CL9" s="55">
        <f t="shared" si="6"/>
        <v>0.97677326897225314</v>
      </c>
      <c r="CV9" s="5">
        <v>3.0808613364797179</v>
      </c>
      <c r="CW9" s="5">
        <v>4.3979651576663183</v>
      </c>
      <c r="CX9" s="5">
        <v>4.372607861563778</v>
      </c>
      <c r="CY9" s="5">
        <v>3.9504781185699378</v>
      </c>
      <c r="CZ9" s="5">
        <v>0.7532169401215828</v>
      </c>
      <c r="DA9" s="5">
        <v>6.36</v>
      </c>
      <c r="DB9" s="5">
        <v>5.87</v>
      </c>
      <c r="DC9" s="5">
        <v>5.89</v>
      </c>
      <c r="DD9" s="5">
        <v>7.37</v>
      </c>
      <c r="DE9" s="5">
        <v>6.04</v>
      </c>
      <c r="DF9" s="5">
        <v>0.27730849247724121</v>
      </c>
      <c r="DG9" s="5">
        <f t="shared" si="39"/>
        <v>9.7118274833363268E-3</v>
      </c>
      <c r="DH9" s="5">
        <f t="shared" si="7"/>
        <v>4.2562614771622778E-2</v>
      </c>
      <c r="DI9" s="5">
        <f t="shared" si="7"/>
        <v>4.0430234027150624E-2</v>
      </c>
      <c r="DJ9" s="5">
        <f t="shared" si="40"/>
        <v>3.0901558760703246E-2</v>
      </c>
      <c r="DK9" s="5">
        <f t="shared" si="41"/>
        <v>1.8381792502776079E-2</v>
      </c>
      <c r="DL9" s="5">
        <v>0.41458686648026216</v>
      </c>
      <c r="DM9" s="5">
        <v>0.28188865612904906</v>
      </c>
      <c r="DN9" s="5">
        <v>0.22869514469539207</v>
      </c>
      <c r="DO9" s="5">
        <v>0.30839022243490111</v>
      </c>
      <c r="DP9" s="5">
        <v>9.5737572663680506E-2</v>
      </c>
      <c r="DQ9" s="5">
        <f t="shared" si="42"/>
        <v>1.015877437090792E-2</v>
      </c>
      <c r="DR9" s="5">
        <f t="shared" si="8"/>
        <v>2.0305330247378964E-2</v>
      </c>
      <c r="DS9" s="5">
        <f t="shared" si="8"/>
        <v>1.5783368051936697E-2</v>
      </c>
      <c r="DT9" s="5">
        <f t="shared" si="43"/>
        <v>1.5415824223407862E-2</v>
      </c>
      <c r="DU9" s="5">
        <f t="shared" si="44"/>
        <v>5.0832534255144547E-3</v>
      </c>
    </row>
    <row r="10" spans="1:125" x14ac:dyDescent="0.25">
      <c r="A10" s="5" t="s">
        <v>24</v>
      </c>
      <c r="B10" s="17">
        <v>42906.935416666667</v>
      </c>
      <c r="C10" s="117">
        <f t="shared" si="9"/>
        <v>12.899999999965075</v>
      </c>
      <c r="D10" s="55">
        <f t="shared" si="0"/>
        <v>0.96784623124692659</v>
      </c>
      <c r="E10" s="19">
        <v>0.185</v>
      </c>
      <c r="F10" s="20">
        <v>0.189</v>
      </c>
      <c r="G10" s="20">
        <v>0.16900000000000001</v>
      </c>
      <c r="H10" s="20">
        <v>-1E-3</v>
      </c>
      <c r="I10" s="21">
        <f t="shared" si="10"/>
        <v>0.18100000000000002</v>
      </c>
      <c r="J10" s="22">
        <f t="shared" si="11"/>
        <v>1.0583005244258356E-2</v>
      </c>
      <c r="K10" s="19">
        <f t="shared" si="12"/>
        <v>0.17905155278068141</v>
      </c>
      <c r="L10" s="20">
        <f t="shared" si="13"/>
        <v>0.18292293770566911</v>
      </c>
      <c r="M10" s="20">
        <f t="shared" si="14"/>
        <v>0.1635660130807306</v>
      </c>
      <c r="N10" s="21">
        <f t="shared" si="15"/>
        <v>0.17518016785569371</v>
      </c>
      <c r="O10" s="22">
        <f t="shared" si="16"/>
        <v>1.0242721740921907E-2</v>
      </c>
      <c r="P10" s="23">
        <v>5.7</v>
      </c>
      <c r="Q10" s="24">
        <v>4.8499999999999996</v>
      </c>
      <c r="R10" s="24">
        <v>4.8600000000000003</v>
      </c>
      <c r="S10" s="24">
        <v>7.32</v>
      </c>
      <c r="T10" s="25">
        <f t="shared" si="1"/>
        <v>5.1366666666666667</v>
      </c>
      <c r="U10" s="26">
        <f t="shared" si="2"/>
        <v>0.48788659884581115</v>
      </c>
      <c r="V10" s="23"/>
      <c r="W10" s="24"/>
      <c r="X10" s="208"/>
      <c r="Y10" s="208"/>
      <c r="Z10" s="25"/>
      <c r="AA10" s="26"/>
      <c r="AB10" s="23"/>
      <c r="AC10" s="24"/>
      <c r="AD10" s="24"/>
      <c r="AE10" s="25"/>
      <c r="AF10" s="26"/>
      <c r="AG10" s="23"/>
      <c r="AH10" s="24"/>
      <c r="AI10" s="208"/>
      <c r="AJ10" s="208"/>
      <c r="AK10" s="25"/>
      <c r="AL10" s="26"/>
      <c r="AM10" s="23"/>
      <c r="AN10" s="24"/>
      <c r="AO10" s="24"/>
      <c r="AP10" s="25"/>
      <c r="AQ10" s="26"/>
      <c r="AR10" s="23"/>
      <c r="AS10" s="24"/>
      <c r="AT10" s="208"/>
      <c r="AU10" s="208"/>
      <c r="AV10" s="25"/>
      <c r="AW10" s="26"/>
      <c r="AX10" s="23"/>
      <c r="AY10" s="24"/>
      <c r="AZ10" s="24"/>
      <c r="BA10" s="25"/>
      <c r="BB10" s="26"/>
      <c r="BC10" s="5" t="s">
        <v>24</v>
      </c>
      <c r="BD10" s="133">
        <v>81000000</v>
      </c>
      <c r="BE10" s="134">
        <v>88000000</v>
      </c>
      <c r="BF10" s="134">
        <v>80000000</v>
      </c>
      <c r="BG10" s="135">
        <f t="shared" si="45"/>
        <v>83000000</v>
      </c>
      <c r="BH10" s="136">
        <f t="shared" si="46"/>
        <v>4358898.9435406737</v>
      </c>
      <c r="BI10" s="133">
        <f t="shared" si="47"/>
        <v>78395544.731001049</v>
      </c>
      <c r="BJ10" s="134">
        <f t="shared" si="48"/>
        <v>85170468.349729538</v>
      </c>
      <c r="BK10" s="134">
        <f t="shared" si="49"/>
        <v>77427698.499754131</v>
      </c>
      <c r="BL10" s="135">
        <f t="shared" si="50"/>
        <v>80331237.193494901</v>
      </c>
      <c r="BM10" s="136">
        <f t="shared" si="51"/>
        <v>4218743.9148920495</v>
      </c>
      <c r="BN10" s="133">
        <v>216000000</v>
      </c>
      <c r="BO10" s="134">
        <v>135000000</v>
      </c>
      <c r="BP10" s="134">
        <v>110000000</v>
      </c>
      <c r="BQ10" s="135">
        <f t="shared" si="52"/>
        <v>153666666.66666666</v>
      </c>
      <c r="BR10" s="136">
        <f t="shared" si="53"/>
        <v>55410588.639116012</v>
      </c>
      <c r="BS10" s="133">
        <f t="shared" si="54"/>
        <v>209054785.94933614</v>
      </c>
      <c r="BT10" s="134">
        <f t="shared" si="55"/>
        <v>130659241.21833509</v>
      </c>
      <c r="BU10" s="134">
        <f t="shared" si="56"/>
        <v>106463085.43716192</v>
      </c>
      <c r="BV10" s="135">
        <f t="shared" si="57"/>
        <v>148725704.20161104</v>
      </c>
      <c r="BW10" s="136">
        <f t="shared" si="58"/>
        <v>53628929.385542244</v>
      </c>
      <c r="BX10" s="23">
        <v>0.27272727272727271</v>
      </c>
      <c r="BY10" s="24">
        <v>0.39461883408071746</v>
      </c>
      <c r="BZ10" s="24">
        <v>0.42105263157894735</v>
      </c>
      <c r="CA10" s="25">
        <f t="shared" si="59"/>
        <v>0.3627995794623125</v>
      </c>
      <c r="CB10" s="26">
        <f t="shared" si="60"/>
        <v>7.9116696992307861E-2</v>
      </c>
      <c r="CC10" s="23">
        <v>0.72727272727272729</v>
      </c>
      <c r="CD10" s="24">
        <v>0.60538116591928248</v>
      </c>
      <c r="CE10" s="24">
        <v>0.57894736842105265</v>
      </c>
      <c r="CF10" s="25">
        <f t="shared" ref="CF10" si="63">AVERAGE(CC10:CE10)</f>
        <v>0.63720042053768744</v>
      </c>
      <c r="CG10" s="26">
        <f t="shared" ref="CG10" si="64">STDEV(CC10:CE10)</f>
        <v>7.9116696992308208E-2</v>
      </c>
      <c r="CH10" s="122">
        <f t="shared" si="3"/>
        <v>12.899999999965075</v>
      </c>
      <c r="CI10" s="55">
        <f t="shared" si="38"/>
        <v>27.561403458422358</v>
      </c>
      <c r="CJ10" s="55">
        <f t="shared" si="4"/>
        <v>1.0332219806359613</v>
      </c>
      <c r="CK10" s="55">
        <f t="shared" si="5"/>
        <v>96.784623124692658</v>
      </c>
      <c r="CL10" s="55">
        <f t="shared" si="6"/>
        <v>0.96784623124692659</v>
      </c>
      <c r="DA10" s="5">
        <v>5.7</v>
      </c>
      <c r="DB10" s="5">
        <v>4.8499999999999996</v>
      </c>
      <c r="DC10" s="5">
        <v>4.8600000000000003</v>
      </c>
      <c r="DD10" s="5">
        <v>7.32</v>
      </c>
      <c r="DE10" s="5">
        <v>5.1366666666666667</v>
      </c>
      <c r="DF10" s="5">
        <v>0.48788659884581115</v>
      </c>
    </row>
    <row r="11" spans="1:125" x14ac:dyDescent="0.25">
      <c r="A11" s="5" t="s">
        <v>40</v>
      </c>
      <c r="B11" s="17">
        <v>42907.26666666667</v>
      </c>
      <c r="C11" s="117">
        <f t="shared" si="9"/>
        <v>20.850000000034925</v>
      </c>
      <c r="D11" s="55">
        <f t="shared" si="0"/>
        <v>0.94904033766080731</v>
      </c>
      <c r="E11" s="19">
        <v>0.20599999999999999</v>
      </c>
      <c r="F11" s="20">
        <v>0.24</v>
      </c>
      <c r="G11" s="20">
        <v>0.222</v>
      </c>
      <c r="H11" s="20">
        <v>-1E-3</v>
      </c>
      <c r="I11" s="21">
        <f t="shared" si="10"/>
        <v>0.22266666666666665</v>
      </c>
      <c r="J11" s="22">
        <f t="shared" si="11"/>
        <v>1.7009801096230768E-2</v>
      </c>
      <c r="K11" s="19">
        <f t="shared" si="12"/>
        <v>0.19550230955812631</v>
      </c>
      <c r="L11" s="20">
        <f t="shared" si="13"/>
        <v>0.22776968103859374</v>
      </c>
      <c r="M11" s="20">
        <f t="shared" si="14"/>
        <v>0.21068695496069922</v>
      </c>
      <c r="N11" s="21">
        <f t="shared" si="15"/>
        <v>0.21131964851913976</v>
      </c>
      <c r="O11" s="22">
        <f t="shared" si="16"/>
        <v>1.6142987375910009E-2</v>
      </c>
      <c r="P11" s="23">
        <v>5.18</v>
      </c>
      <c r="Q11" s="24">
        <v>5.05</v>
      </c>
      <c r="R11" s="24">
        <v>5.09</v>
      </c>
      <c r="S11" s="24">
        <v>7.26</v>
      </c>
      <c r="T11" s="25">
        <f t="shared" si="1"/>
        <v>5.1066666666666665</v>
      </c>
      <c r="U11" s="26">
        <f t="shared" si="2"/>
        <v>6.6583281184793869E-2</v>
      </c>
      <c r="V11" s="23">
        <v>24.54824797281411</v>
      </c>
      <c r="W11" s="24">
        <v>24.34736208993391</v>
      </c>
      <c r="X11" s="24">
        <v>23.54654965605928</v>
      </c>
      <c r="Y11" s="24">
        <v>28.534746073915777</v>
      </c>
      <c r="Z11" s="25">
        <f t="shared" si="17"/>
        <v>24.147386572935769</v>
      </c>
      <c r="AA11" s="26">
        <f t="shared" si="18"/>
        <v>0.52994578495952838</v>
      </c>
      <c r="AB11" s="23">
        <f t="shared" si="19"/>
        <v>23.29727754510073</v>
      </c>
      <c r="AC11" s="24">
        <f t="shared" si="20"/>
        <v>23.106628738980817</v>
      </c>
      <c r="AD11" s="24">
        <f t="shared" si="21"/>
        <v>22.346625436333465</v>
      </c>
      <c r="AE11" s="25">
        <f t="shared" si="22"/>
        <v>22.916843906805003</v>
      </c>
      <c r="AF11" s="26">
        <f t="shared" si="23"/>
        <v>0.50293992669991228</v>
      </c>
      <c r="AG11" s="23">
        <v>3.0891403263238555</v>
      </c>
      <c r="AH11" s="24">
        <v>3.3496377755760207</v>
      </c>
      <c r="AI11" s="24">
        <v>3.56595407842347</v>
      </c>
      <c r="AJ11" s="209">
        <v>0</v>
      </c>
      <c r="AK11" s="25">
        <f t="shared" si="24"/>
        <v>3.3349107267744489</v>
      </c>
      <c r="AL11" s="26">
        <f t="shared" si="25"/>
        <v>0.23874778118891718</v>
      </c>
      <c r="AM11" s="23">
        <f t="shared" si="26"/>
        <v>2.9317187783760081</v>
      </c>
      <c r="AN11" s="24">
        <f t="shared" si="27"/>
        <v>3.1789413655740622</v>
      </c>
      <c r="AO11" s="24">
        <f t="shared" si="28"/>
        <v>3.3842342626699429</v>
      </c>
      <c r="AP11" s="25">
        <f t="shared" si="29"/>
        <v>3.1649648022066708</v>
      </c>
      <c r="AQ11" s="26">
        <f t="shared" si="30"/>
        <v>0.22658127487529853</v>
      </c>
      <c r="AR11" s="23">
        <v>2.5397695796529769</v>
      </c>
      <c r="AS11" s="24">
        <v>2.5139736749815689</v>
      </c>
      <c r="AT11" s="24">
        <v>2.3003861774886118</v>
      </c>
      <c r="AU11" s="209">
        <v>0</v>
      </c>
      <c r="AV11" s="25">
        <f t="shared" si="31"/>
        <v>2.4513764773743856</v>
      </c>
      <c r="AW11" s="26">
        <f t="shared" si="32"/>
        <v>0.13139600514913333</v>
      </c>
      <c r="AX11" s="23">
        <f t="shared" si="33"/>
        <v>2.4103437794545077</v>
      </c>
      <c r="AY11" s="24">
        <f t="shared" si="34"/>
        <v>2.3858624253748886</v>
      </c>
      <c r="AZ11" s="24">
        <f t="shared" si="35"/>
        <v>2.183159274634046</v>
      </c>
      <c r="BA11" s="25">
        <f t="shared" si="36"/>
        <v>2.3264551598211471</v>
      </c>
      <c r="BB11" s="26">
        <f t="shared" si="37"/>
        <v>0.12470010909401456</v>
      </c>
      <c r="BC11" s="5" t="s">
        <v>40</v>
      </c>
      <c r="BD11" s="133"/>
      <c r="BE11" s="134"/>
      <c r="BF11" s="134"/>
      <c r="BG11" s="135"/>
      <c r="BH11" s="136"/>
      <c r="BI11" s="133"/>
      <c r="BJ11" s="134"/>
      <c r="BK11" s="134"/>
      <c r="BL11" s="135"/>
      <c r="BM11" s="136"/>
      <c r="BN11" s="133"/>
      <c r="BO11" s="134"/>
      <c r="BP11" s="134"/>
      <c r="BQ11" s="135"/>
      <c r="BR11" s="136"/>
      <c r="BS11" s="133"/>
      <c r="BT11" s="134"/>
      <c r="BU11" s="134"/>
      <c r="BV11" s="135"/>
      <c r="BW11" s="136"/>
      <c r="BX11" s="23"/>
      <c r="BY11" s="24"/>
      <c r="BZ11" s="24"/>
      <c r="CA11" s="25"/>
      <c r="CB11" s="26"/>
      <c r="CC11" s="23"/>
      <c r="CD11" s="24"/>
      <c r="CE11" s="24"/>
      <c r="CF11" s="25"/>
      <c r="CG11" s="26"/>
      <c r="CH11" s="122">
        <f t="shared" si="3"/>
        <v>20.850000000034925</v>
      </c>
      <c r="CI11" s="55">
        <f t="shared" si="38"/>
        <v>28.107551814772243</v>
      </c>
      <c r="CJ11" s="55">
        <f t="shared" si="4"/>
        <v>1.0536959919583586</v>
      </c>
      <c r="CK11" s="55">
        <f t="shared" si="5"/>
        <v>94.90403376608073</v>
      </c>
      <c r="CL11" s="55">
        <f t="shared" si="6"/>
        <v>0.94904033766080731</v>
      </c>
      <c r="CV11" s="5">
        <v>2.9317187783760081</v>
      </c>
      <c r="CW11" s="5">
        <v>3.1789413655740622</v>
      </c>
      <c r="CX11" s="5">
        <v>3.3842342626699429</v>
      </c>
      <c r="CY11" s="5">
        <v>3.1649648022066708</v>
      </c>
      <c r="CZ11" s="5">
        <v>0.22658127487529853</v>
      </c>
      <c r="DA11" s="5">
        <v>5.18</v>
      </c>
      <c r="DB11" s="5">
        <v>5.05</v>
      </c>
      <c r="DC11" s="5">
        <v>5.09</v>
      </c>
      <c r="DD11" s="5">
        <v>7.26</v>
      </c>
      <c r="DE11" s="5">
        <v>5.1066666666666665</v>
      </c>
      <c r="DF11" s="5">
        <v>6.6583281184793869E-2</v>
      </c>
      <c r="DG11" s="5">
        <f t="shared" si="39"/>
        <v>0.13391147670974743</v>
      </c>
      <c r="DH11" s="5">
        <f t="shared" si="7"/>
        <v>0.19280139034932897</v>
      </c>
      <c r="DI11" s="5">
        <f t="shared" si="7"/>
        <v>0.18819664721390908</v>
      </c>
      <c r="DJ11" s="5">
        <f t="shared" si="40"/>
        <v>0.17163650475766182</v>
      </c>
      <c r="DK11" s="5">
        <f t="shared" si="41"/>
        <v>3.2751858279306087E-2</v>
      </c>
      <c r="DL11" s="5">
        <v>2.4103437794545077</v>
      </c>
      <c r="DM11" s="5">
        <v>2.3858624253748886</v>
      </c>
      <c r="DN11" s="5">
        <v>2.183159274634046</v>
      </c>
      <c r="DO11" s="5">
        <v>2.3264551598211471</v>
      </c>
      <c r="DP11" s="5">
        <v>0.12470010909401456</v>
      </c>
      <c r="DQ11" s="5">
        <f t="shared" si="42"/>
        <v>0.66395753284210146</v>
      </c>
      <c r="DR11" s="5">
        <f t="shared" si="8"/>
        <v>0.80880953036325498</v>
      </c>
      <c r="DS11" s="5">
        <f t="shared" si="8"/>
        <v>0.69572519117984477</v>
      </c>
      <c r="DT11" s="5">
        <f t="shared" si="43"/>
        <v>0.72283075146173381</v>
      </c>
      <c r="DU11" s="5">
        <f t="shared" si="44"/>
        <v>7.6135135417975078E-2</v>
      </c>
    </row>
    <row r="12" spans="1:125" x14ac:dyDescent="0.25">
      <c r="A12" s="5" t="s">
        <v>46</v>
      </c>
      <c r="B12" s="17">
        <v>42907.625</v>
      </c>
      <c r="C12" s="117">
        <f t="shared" si="9"/>
        <v>29.449999999953434</v>
      </c>
      <c r="D12" s="55">
        <f t="shared" si="0"/>
        <v>0.92950280846865652</v>
      </c>
      <c r="E12" s="19">
        <v>0.23200000000000001</v>
      </c>
      <c r="F12" s="20">
        <v>0.28699999999999998</v>
      </c>
      <c r="G12" s="20">
        <v>0.26600000000000001</v>
      </c>
      <c r="H12" s="20">
        <v>-1E-3</v>
      </c>
      <c r="I12" s="21">
        <f t="shared" si="10"/>
        <v>0.26166666666666666</v>
      </c>
      <c r="J12" s="22">
        <f t="shared" si="11"/>
        <v>2.7754879450888136E-2</v>
      </c>
      <c r="K12" s="19">
        <f t="shared" si="12"/>
        <v>0.21564465156472831</v>
      </c>
      <c r="L12" s="20">
        <f t="shared" si="13"/>
        <v>0.26676730603050441</v>
      </c>
      <c r="M12" s="20">
        <f t="shared" si="14"/>
        <v>0.24724774705266264</v>
      </c>
      <c r="N12" s="21">
        <f t="shared" si="15"/>
        <v>0.24321990154929843</v>
      </c>
      <c r="O12" s="22">
        <f t="shared" si="16"/>
        <v>2.5798238398309536E-2</v>
      </c>
      <c r="P12" s="23">
        <v>5.48</v>
      </c>
      <c r="Q12" s="24">
        <v>5.47</v>
      </c>
      <c r="R12" s="24">
        <v>5.49</v>
      </c>
      <c r="S12" s="24">
        <v>7.16</v>
      </c>
      <c r="T12" s="25">
        <f t="shared" si="1"/>
        <v>5.4799999999999995</v>
      </c>
      <c r="U12" s="26">
        <f t="shared" si="2"/>
        <v>1.0000000000000231E-2</v>
      </c>
      <c r="V12" s="23"/>
      <c r="W12" s="24"/>
      <c r="X12" s="208"/>
      <c r="Y12" s="208"/>
      <c r="Z12" s="25"/>
      <c r="AA12" s="26"/>
      <c r="AB12" s="23"/>
      <c r="AC12" s="24"/>
      <c r="AD12" s="24"/>
      <c r="AE12" s="25"/>
      <c r="AF12" s="26"/>
      <c r="AG12" s="23"/>
      <c r="AH12" s="24"/>
      <c r="AI12" s="208"/>
      <c r="AJ12" s="208"/>
      <c r="AK12" s="25"/>
      <c r="AL12" s="26"/>
      <c r="AM12" s="23"/>
      <c r="AN12" s="24"/>
      <c r="AO12" s="24"/>
      <c r="AP12" s="25"/>
      <c r="AQ12" s="26"/>
      <c r="AR12" s="23"/>
      <c r="AS12" s="24"/>
      <c r="AT12" s="208"/>
      <c r="AU12" s="208"/>
      <c r="AV12" s="25"/>
      <c r="AW12" s="26"/>
      <c r="AX12" s="23"/>
      <c r="AY12" s="24"/>
      <c r="AZ12" s="24"/>
      <c r="BA12" s="25"/>
      <c r="BB12" s="26"/>
      <c r="BC12" s="5" t="s">
        <v>46</v>
      </c>
      <c r="BD12" s="133">
        <v>68000000</v>
      </c>
      <c r="BE12" s="134">
        <v>26000000</v>
      </c>
      <c r="BF12" s="134">
        <v>-1000000</v>
      </c>
      <c r="BG12" s="135">
        <f t="shared" si="45"/>
        <v>31000000</v>
      </c>
      <c r="BH12" s="136">
        <f t="shared" si="46"/>
        <v>34770677.301427417</v>
      </c>
      <c r="BI12" s="133">
        <f t="shared" si="47"/>
        <v>63206190.975868642</v>
      </c>
      <c r="BJ12" s="134">
        <f t="shared" si="48"/>
        <v>24167073.020185068</v>
      </c>
      <c r="BK12" s="134">
        <f t="shared" si="49"/>
        <v>-929502.8084686565</v>
      </c>
      <c r="BL12" s="135">
        <f t="shared" si="50"/>
        <v>28814587.062528353</v>
      </c>
      <c r="BM12" s="136">
        <f t="shared" si="51"/>
        <v>32319442.204034153</v>
      </c>
      <c r="BN12" s="133">
        <v>216000000</v>
      </c>
      <c r="BO12" s="134">
        <v>160000000</v>
      </c>
      <c r="BP12" s="134">
        <v>148000000</v>
      </c>
      <c r="BQ12" s="135">
        <f t="shared" si="52"/>
        <v>174666666.66666666</v>
      </c>
      <c r="BR12" s="136">
        <f t="shared" si="53"/>
        <v>36295086.9035099</v>
      </c>
      <c r="BS12" s="133">
        <f t="shared" si="54"/>
        <v>200772606.62922981</v>
      </c>
      <c r="BT12" s="134">
        <f t="shared" si="55"/>
        <v>148720449.35498503</v>
      </c>
      <c r="BU12" s="134">
        <f t="shared" si="56"/>
        <v>137566415.65336117</v>
      </c>
      <c r="BV12" s="135">
        <f t="shared" si="57"/>
        <v>162353157.21252534</v>
      </c>
      <c r="BW12" s="136">
        <f t="shared" si="58"/>
        <v>33736385.210426442</v>
      </c>
      <c r="BX12" s="23">
        <v>0.23943661971830985</v>
      </c>
      <c r="BY12" s="24">
        <v>0.13978494623655913</v>
      </c>
      <c r="BZ12" s="24">
        <v>-6.8027210884353739E-3</v>
      </c>
      <c r="CA12" s="25">
        <f t="shared" si="59"/>
        <v>0.12413961495547787</v>
      </c>
      <c r="CB12" s="26">
        <f t="shared" si="60"/>
        <v>0.1238629707919449</v>
      </c>
      <c r="CC12" s="23">
        <v>0.76056338028169013</v>
      </c>
      <c r="CD12" s="24">
        <v>0.86021505376344087</v>
      </c>
      <c r="CE12" s="24">
        <v>1.0068027210884354</v>
      </c>
      <c r="CF12" s="25">
        <f t="shared" ref="CF12" si="65">AVERAGE(CC12:CE12)</f>
        <v>0.87586038504452224</v>
      </c>
      <c r="CG12" s="26">
        <f t="shared" ref="CG12" si="66">STDEV(CC12:CE12)</f>
        <v>0.12386297079194396</v>
      </c>
      <c r="CH12" s="122">
        <f t="shared" si="3"/>
        <v>29.449999999953434</v>
      </c>
      <c r="CI12" s="55">
        <f t="shared" si="38"/>
        <v>28.698353810309754</v>
      </c>
      <c r="CJ12" s="55">
        <f t="shared" si="4"/>
        <v>1.0758439790488494</v>
      </c>
      <c r="CK12" s="55">
        <f t="shared" si="5"/>
        <v>92.950280846865653</v>
      </c>
      <c r="CL12" s="55">
        <f t="shared" si="6"/>
        <v>0.92950280846865652</v>
      </c>
      <c r="DA12" s="5">
        <v>5.48</v>
      </c>
      <c r="DB12" s="5">
        <v>5.47</v>
      </c>
      <c r="DC12" s="5">
        <v>5.49</v>
      </c>
      <c r="DD12" s="5">
        <v>7.16</v>
      </c>
      <c r="DE12" s="5">
        <v>5.4799999999999995</v>
      </c>
      <c r="DF12" s="5">
        <v>1.0000000000000231E-2</v>
      </c>
    </row>
    <row r="13" spans="1:125" x14ac:dyDescent="0.25">
      <c r="A13" s="5" t="s">
        <v>65</v>
      </c>
      <c r="B13" s="17">
        <v>42908.321527777778</v>
      </c>
      <c r="C13" s="117">
        <f t="shared" si="9"/>
        <v>46.166666666627862</v>
      </c>
      <c r="D13" s="55">
        <f t="shared" si="0"/>
        <v>0.89373875068603903</v>
      </c>
      <c r="E13" s="19">
        <v>0.26800000000000002</v>
      </c>
      <c r="F13" s="20">
        <f>0.172*2</f>
        <v>0.34399999999999997</v>
      </c>
      <c r="G13" s="20">
        <f>0.158*2</f>
        <v>0.316</v>
      </c>
      <c r="H13" s="20">
        <v>-1E-3</v>
      </c>
      <c r="I13" s="21">
        <f t="shared" si="10"/>
        <v>0.30933333333333329</v>
      </c>
      <c r="J13" s="22">
        <f t="shared" si="11"/>
        <v>3.8436094147732525E-2</v>
      </c>
      <c r="K13" s="19">
        <f t="shared" si="12"/>
        <v>0.23952198518385848</v>
      </c>
      <c r="L13" s="20">
        <f t="shared" si="13"/>
        <v>0.30744613023599743</v>
      </c>
      <c r="M13" s="20">
        <f t="shared" si="14"/>
        <v>0.28242144521678836</v>
      </c>
      <c r="N13" s="21">
        <f t="shared" si="15"/>
        <v>0.27646318687888144</v>
      </c>
      <c r="O13" s="22">
        <f t="shared" si="16"/>
        <v>3.4351826764845196E-2</v>
      </c>
      <c r="P13" s="23">
        <v>6.08</v>
      </c>
      <c r="Q13" s="24">
        <v>6</v>
      </c>
      <c r="R13" s="24">
        <v>6.05</v>
      </c>
      <c r="S13" s="24">
        <v>7.09</v>
      </c>
      <c r="T13" s="25">
        <f t="shared" si="1"/>
        <v>6.043333333333333</v>
      </c>
      <c r="U13" s="26">
        <f t="shared" si="2"/>
        <v>4.0414518843273822E-2</v>
      </c>
      <c r="V13" s="23">
        <v>24.388022236050855</v>
      </c>
      <c r="W13" s="24">
        <v>24.43877525053712</v>
      </c>
      <c r="X13" s="24">
        <v>23.612581781385479</v>
      </c>
      <c r="Y13" s="24">
        <v>29.603928931635842</v>
      </c>
      <c r="Z13" s="25">
        <f t="shared" si="17"/>
        <v>24.146459755991156</v>
      </c>
      <c r="AA13" s="26">
        <f t="shared" si="18"/>
        <v>0.46304776853652097</v>
      </c>
      <c r="AB13" s="23">
        <f t="shared" si="19"/>
        <v>21.796520524951433</v>
      </c>
      <c r="AC13" s="24">
        <f t="shared" si="20"/>
        <v>21.841880460711934</v>
      </c>
      <c r="AD13" s="24">
        <f t="shared" si="21"/>
        <v>21.103479341767386</v>
      </c>
      <c r="AE13" s="25">
        <f t="shared" si="22"/>
        <v>21.580626775810249</v>
      </c>
      <c r="AF13" s="26">
        <f t="shared" si="23"/>
        <v>0.41384373415978742</v>
      </c>
      <c r="AG13" s="23">
        <v>1.344560299916399</v>
      </c>
      <c r="AH13" s="24">
        <v>1.7936349443684878</v>
      </c>
      <c r="AI13" s="24">
        <v>1.7562901285093968</v>
      </c>
      <c r="AJ13" s="209">
        <v>0</v>
      </c>
      <c r="AK13" s="25">
        <f t="shared" si="24"/>
        <v>1.6314951242647613</v>
      </c>
      <c r="AL13" s="26">
        <f t="shared" si="25"/>
        <v>0.24919340658564046</v>
      </c>
      <c r="AM13" s="23">
        <f t="shared" si="26"/>
        <v>1.2016856426693283</v>
      </c>
      <c r="AN13" s="24">
        <f t="shared" si="27"/>
        <v>1.6030410543667155</v>
      </c>
      <c r="AO13" s="24">
        <f t="shared" si="28"/>
        <v>1.5696645452962112</v>
      </c>
      <c r="AP13" s="25">
        <f t="shared" si="29"/>
        <v>1.4581304141107516</v>
      </c>
      <c r="AQ13" s="26">
        <f t="shared" si="30"/>
        <v>0.22271380388104989</v>
      </c>
      <c r="AR13" s="23">
        <v>2.808115271247217</v>
      </c>
      <c r="AS13" s="24">
        <v>2.1875450005099442</v>
      </c>
      <c r="AT13" s="24">
        <v>2.1448465742287697</v>
      </c>
      <c r="AU13" s="209">
        <v>0</v>
      </c>
      <c r="AV13" s="25">
        <f t="shared" si="31"/>
        <v>2.3801689486619773</v>
      </c>
      <c r="AW13" s="26">
        <f t="shared" si="32"/>
        <v>0.37122679073902032</v>
      </c>
      <c r="AX13" s="23">
        <f t="shared" si="33"/>
        <v>2.5097214343068752</v>
      </c>
      <c r="AY13" s="24">
        <f t="shared" si="34"/>
        <v>1.955093735825248</v>
      </c>
      <c r="AZ13" s="24">
        <f t="shared" si="35"/>
        <v>1.9169324976644513</v>
      </c>
      <c r="BA13" s="25">
        <f t="shared" si="36"/>
        <v>2.127249222598858</v>
      </c>
      <c r="BB13" s="26">
        <f t="shared" si="37"/>
        <v>0.33177976817628269</v>
      </c>
      <c r="BC13" s="5" t="s">
        <v>65</v>
      </c>
      <c r="BD13" s="133"/>
      <c r="BE13" s="134"/>
      <c r="BF13" s="134"/>
      <c r="BG13" s="135"/>
      <c r="BH13" s="136"/>
      <c r="BI13" s="133"/>
      <c r="BJ13" s="134"/>
      <c r="BK13" s="134"/>
      <c r="BL13" s="135"/>
      <c r="BM13" s="136"/>
      <c r="BN13" s="133"/>
      <c r="BO13" s="134"/>
      <c r="BP13" s="134"/>
      <c r="BQ13" s="135"/>
      <c r="BR13" s="136"/>
      <c r="BS13" s="133"/>
      <c r="BT13" s="134"/>
      <c r="BU13" s="134"/>
      <c r="BV13" s="135"/>
      <c r="BW13" s="136"/>
      <c r="BX13" s="23"/>
      <c r="BY13" s="24"/>
      <c r="BZ13" s="24"/>
      <c r="CA13" s="25"/>
      <c r="CB13" s="26"/>
      <c r="CC13" s="23"/>
      <c r="CD13" s="24"/>
      <c r="CE13" s="24"/>
      <c r="CF13" s="25"/>
      <c r="CG13" s="26"/>
      <c r="CH13" s="122">
        <f t="shared" si="3"/>
        <v>46.166666666627862</v>
      </c>
      <c r="CI13" s="55">
        <f t="shared" si="38"/>
        <v>29.846753813274905</v>
      </c>
      <c r="CJ13" s="55">
        <f t="shared" si="4"/>
        <v>1.1188952020178091</v>
      </c>
      <c r="CK13" s="55">
        <f t="shared" si="5"/>
        <v>89.373875068603908</v>
      </c>
      <c r="CL13" s="55">
        <f t="shared" si="6"/>
        <v>0.89373875068603903</v>
      </c>
      <c r="CV13" s="5">
        <v>1.2016856426693283</v>
      </c>
      <c r="CW13" s="5">
        <v>1.6030410543667155</v>
      </c>
      <c r="CX13" s="5">
        <v>1.5696645452962112</v>
      </c>
      <c r="CY13" s="5">
        <v>1.4581304141107516</v>
      </c>
      <c r="CZ13" s="5">
        <v>0.22271380388104989</v>
      </c>
      <c r="DA13" s="5">
        <v>6.08</v>
      </c>
      <c r="DB13" s="5">
        <v>6</v>
      </c>
      <c r="DC13" s="5">
        <v>6.05</v>
      </c>
      <c r="DD13" s="5">
        <v>7.09</v>
      </c>
      <c r="DE13" s="5">
        <v>6.043333333333333</v>
      </c>
      <c r="DF13" s="5">
        <v>4.0414518843273822E-2</v>
      </c>
      <c r="DG13" s="5">
        <f t="shared" si="39"/>
        <v>7.1975027913559987E-3</v>
      </c>
      <c r="DH13" s="5">
        <f t="shared" si="7"/>
        <v>1.15294821379798E-2</v>
      </c>
      <c r="DI13" s="5">
        <f t="shared" si="7"/>
        <v>1.0069590779647303E-2</v>
      </c>
      <c r="DJ13" s="5">
        <f t="shared" si="40"/>
        <v>9.5988585696610337E-3</v>
      </c>
      <c r="DK13" s="5">
        <f t="shared" si="41"/>
        <v>2.2040197084038774E-3</v>
      </c>
      <c r="DL13" s="5">
        <v>2.5097214343068752</v>
      </c>
      <c r="DM13" s="5">
        <v>1.955093735825248</v>
      </c>
      <c r="DN13" s="5">
        <v>1.9169324976644513</v>
      </c>
      <c r="DO13" s="5">
        <v>2.127249222598858</v>
      </c>
      <c r="DP13" s="5">
        <v>0.33177976817628269</v>
      </c>
      <c r="DQ13" s="5">
        <f t="shared" si="42"/>
        <v>0.11463599642538243</v>
      </c>
      <c r="DR13" s="5">
        <f t="shared" si="8"/>
        <v>0.1063822425826029</v>
      </c>
      <c r="DS13" s="5">
        <f t="shared" si="8"/>
        <v>9.3515991304448959E-2</v>
      </c>
      <c r="DT13" s="5">
        <f t="shared" si="43"/>
        <v>0.10484474343747811</v>
      </c>
      <c r="DU13" s="5">
        <f t="shared" si="44"/>
        <v>1.0643616950689676E-2</v>
      </c>
    </row>
    <row r="14" spans="1:125" x14ac:dyDescent="0.25">
      <c r="A14" s="5" t="s">
        <v>66</v>
      </c>
      <c r="B14" s="17">
        <v>42908.95416666667</v>
      </c>
      <c r="C14" s="117">
        <f t="shared" si="9"/>
        <v>61.350000000034925</v>
      </c>
      <c r="D14" s="55">
        <f t="shared" si="0"/>
        <v>0.86355967865923533</v>
      </c>
      <c r="E14" s="19">
        <f>0.147*2</f>
        <v>0.29399999999999998</v>
      </c>
      <c r="F14" s="20">
        <f>0.191*2</f>
        <v>0.38200000000000001</v>
      </c>
      <c r="G14" s="20">
        <f>0.172*2</f>
        <v>0.34399999999999997</v>
      </c>
      <c r="H14" s="20">
        <v>-1E-3</v>
      </c>
      <c r="I14" s="21">
        <f t="shared" si="10"/>
        <v>0.34</v>
      </c>
      <c r="J14" s="22">
        <f t="shared" si="11"/>
        <v>4.4136152981427569E-2</v>
      </c>
      <c r="K14" s="19">
        <f t="shared" si="12"/>
        <v>0.25388654552581519</v>
      </c>
      <c r="L14" s="20">
        <f t="shared" si="13"/>
        <v>0.3298797972478279</v>
      </c>
      <c r="M14" s="20">
        <f t="shared" si="14"/>
        <v>0.29706452945877693</v>
      </c>
      <c r="N14" s="21">
        <f t="shared" si="15"/>
        <v>0.29361029074413997</v>
      </c>
      <c r="O14" s="22">
        <f t="shared" si="16"/>
        <v>3.8114202085896783E-2</v>
      </c>
      <c r="P14" s="23">
        <v>6.38</v>
      </c>
      <c r="Q14" s="24">
        <v>6.2</v>
      </c>
      <c r="R14" s="24">
        <v>6.29</v>
      </c>
      <c r="S14" s="24">
        <v>7</v>
      </c>
      <c r="T14" s="25">
        <f t="shared" si="1"/>
        <v>6.29</v>
      </c>
      <c r="U14" s="26">
        <f t="shared" si="2"/>
        <v>8.9999999999999858E-2</v>
      </c>
      <c r="V14" s="23"/>
      <c r="W14" s="24"/>
      <c r="X14" s="208"/>
      <c r="Y14" s="208"/>
      <c r="Z14" s="25"/>
      <c r="AA14" s="26"/>
      <c r="AB14" s="23"/>
      <c r="AC14" s="24"/>
      <c r="AD14" s="24"/>
      <c r="AE14" s="25"/>
      <c r="AF14" s="26"/>
      <c r="AG14" s="23"/>
      <c r="AH14" s="24"/>
      <c r="AI14" s="208"/>
      <c r="AJ14" s="208"/>
      <c r="AK14" s="25"/>
      <c r="AL14" s="26"/>
      <c r="AM14" s="23"/>
      <c r="AN14" s="24"/>
      <c r="AO14" s="24"/>
      <c r="AP14" s="25"/>
      <c r="AQ14" s="26"/>
      <c r="AR14" s="23"/>
      <c r="AS14" s="24"/>
      <c r="AT14" s="208"/>
      <c r="AU14" s="208"/>
      <c r="AV14" s="25"/>
      <c r="AW14" s="26"/>
      <c r="AX14" s="23"/>
      <c r="AY14" s="24"/>
      <c r="AZ14" s="24"/>
      <c r="BA14" s="25"/>
      <c r="BB14" s="26"/>
      <c r="BC14" s="5" t="s">
        <v>66</v>
      </c>
      <c r="BD14" s="133">
        <v>44000000</v>
      </c>
      <c r="BE14" s="134">
        <v>29000000</v>
      </c>
      <c r="BF14" s="134">
        <v>7000000</v>
      </c>
      <c r="BG14" s="135">
        <f t="shared" si="45"/>
        <v>26666666.666666668</v>
      </c>
      <c r="BH14" s="136">
        <f t="shared" si="46"/>
        <v>18610033.136277147</v>
      </c>
      <c r="BI14" s="133">
        <f t="shared" si="47"/>
        <v>37996625.861006357</v>
      </c>
      <c r="BJ14" s="134">
        <f t="shared" si="48"/>
        <v>25043230.681117825</v>
      </c>
      <c r="BK14" s="134">
        <f t="shared" si="49"/>
        <v>6044917.7506146478</v>
      </c>
      <c r="BL14" s="135">
        <f t="shared" si="50"/>
        <v>23028258.09757961</v>
      </c>
      <c r="BM14" s="136">
        <f t="shared" si="51"/>
        <v>16070874.235001214</v>
      </c>
      <c r="BN14" s="133">
        <v>226000000</v>
      </c>
      <c r="BO14" s="134">
        <v>224000000</v>
      </c>
      <c r="BP14" s="134">
        <v>182000000</v>
      </c>
      <c r="BQ14" s="135">
        <f t="shared" si="52"/>
        <v>210666666.66666666</v>
      </c>
      <c r="BR14" s="136">
        <f t="shared" si="53"/>
        <v>24846193.538112298</v>
      </c>
      <c r="BS14" s="133">
        <f t="shared" si="54"/>
        <v>195164487.37698719</v>
      </c>
      <c r="BT14" s="134">
        <f t="shared" si="55"/>
        <v>193437368.01966873</v>
      </c>
      <c r="BU14" s="134">
        <f t="shared" si="56"/>
        <v>157167861.51598084</v>
      </c>
      <c r="BV14" s="135">
        <f t="shared" si="57"/>
        <v>181923238.97087893</v>
      </c>
      <c r="BW14" s="136">
        <f t="shared" si="58"/>
        <v>21456170.907677427</v>
      </c>
      <c r="BX14" s="23">
        <v>0.16296296296296298</v>
      </c>
      <c r="BY14" s="24">
        <v>0.11462450592885376</v>
      </c>
      <c r="BZ14" s="24">
        <v>3.7037037037037035E-2</v>
      </c>
      <c r="CA14" s="25">
        <f t="shared" si="59"/>
        <v>0.10487483530961793</v>
      </c>
      <c r="CB14" s="26">
        <f t="shared" si="60"/>
        <v>6.3526583120479083E-2</v>
      </c>
      <c r="CC14" s="23">
        <v>0.83703703703703702</v>
      </c>
      <c r="CD14" s="24">
        <v>0.88537549407114624</v>
      </c>
      <c r="CE14" s="24">
        <v>0.96296296296296291</v>
      </c>
      <c r="CF14" s="25">
        <f t="shared" ref="CF14" si="67">AVERAGE(CC14:CE14)</f>
        <v>0.89512516469038206</v>
      </c>
      <c r="CG14" s="26">
        <f>STDEV(CC14:CE14)</f>
        <v>6.3526583120479069E-2</v>
      </c>
      <c r="CH14" s="122">
        <f t="shared" si="3"/>
        <v>61.350000000034925</v>
      </c>
      <c r="CI14" s="55">
        <f t="shared" si="38"/>
        <v>30.88981702634155</v>
      </c>
      <c r="CJ14" s="55">
        <f t="shared" si="4"/>
        <v>1.1579975590715423</v>
      </c>
      <c r="CK14" s="55">
        <f t="shared" si="5"/>
        <v>86.355967865923532</v>
      </c>
      <c r="CL14" s="55">
        <f t="shared" si="6"/>
        <v>0.86355967865923533</v>
      </c>
      <c r="DA14" s="5">
        <v>6.38</v>
      </c>
      <c r="DB14" s="5">
        <v>6.2</v>
      </c>
      <c r="DC14" s="5">
        <v>6.29</v>
      </c>
      <c r="DD14" s="5">
        <v>7</v>
      </c>
      <c r="DE14" s="5">
        <v>6.29</v>
      </c>
      <c r="DF14" s="5">
        <v>8.9999999999999858E-2</v>
      </c>
    </row>
    <row r="15" spans="1:125" x14ac:dyDescent="0.25">
      <c r="A15" s="5" t="s">
        <v>142</v>
      </c>
      <c r="B15" s="17">
        <v>42909.609722222223</v>
      </c>
      <c r="C15" s="117">
        <f t="shared" si="9"/>
        <v>77.083333333313931</v>
      </c>
      <c r="D15" s="55">
        <f t="shared" si="0"/>
        <v>0.83436491627844755</v>
      </c>
      <c r="E15" s="19">
        <f>0.164*2</f>
        <v>0.32800000000000001</v>
      </c>
      <c r="F15" s="20">
        <f>0.204*2</f>
        <v>0.40799999999999997</v>
      </c>
      <c r="G15" s="20">
        <f>0.184*2</f>
        <v>0.36799999999999999</v>
      </c>
      <c r="H15" s="20">
        <v>-1E-3</v>
      </c>
      <c r="I15" s="21">
        <f t="shared" si="10"/>
        <v>0.36800000000000005</v>
      </c>
      <c r="J15" s="22">
        <f t="shared" si="11"/>
        <v>3.999999999999998E-2</v>
      </c>
      <c r="K15" s="19">
        <f t="shared" si="12"/>
        <v>0.27367169253933082</v>
      </c>
      <c r="L15" s="20">
        <f t="shared" si="13"/>
        <v>0.34042088584160657</v>
      </c>
      <c r="M15" s="20">
        <f t="shared" si="14"/>
        <v>0.30704628919046867</v>
      </c>
      <c r="N15" s="21">
        <f t="shared" si="15"/>
        <v>0.30704628919046867</v>
      </c>
      <c r="O15" s="22">
        <f t="shared" si="16"/>
        <v>3.3374596651137872E-2</v>
      </c>
      <c r="P15" s="23">
        <v>6.75</v>
      </c>
      <c r="Q15" s="24">
        <v>6.41</v>
      </c>
      <c r="R15" s="24">
        <v>6.54</v>
      </c>
      <c r="S15" s="24">
        <v>6.93</v>
      </c>
      <c r="T15" s="25">
        <f t="shared" si="1"/>
        <v>6.5666666666666664</v>
      </c>
      <c r="U15" s="26">
        <f t="shared" si="2"/>
        <v>0.17156145643277021</v>
      </c>
      <c r="V15" s="23">
        <v>25.069099468400662</v>
      </c>
      <c r="W15" s="24">
        <v>24.289952502872225</v>
      </c>
      <c r="X15" s="24">
        <v>23.829621270256048</v>
      </c>
      <c r="Y15" s="24">
        <v>30.757279346497775</v>
      </c>
      <c r="Z15" s="25">
        <f t="shared" si="17"/>
        <v>24.396224413842976</v>
      </c>
      <c r="AA15" s="26">
        <f t="shared" si="18"/>
        <v>0.62653558575310497</v>
      </c>
      <c r="AB15" s="23">
        <f t="shared" si="19"/>
        <v>20.916777079128192</v>
      </c>
      <c r="AC15" s="24">
        <f t="shared" si="20"/>
        <v>20.266684186466453</v>
      </c>
      <c r="AD15" s="24">
        <f t="shared" si="21"/>
        <v>19.882599956104301</v>
      </c>
      <c r="AE15" s="25">
        <f t="shared" si="22"/>
        <v>20.355353740566315</v>
      </c>
      <c r="AF15" s="26">
        <f t="shared" si="23"/>
        <v>0.52275931155235722</v>
      </c>
      <c r="AG15" s="23">
        <v>0.91842753401664057</v>
      </c>
      <c r="AH15" s="24">
        <v>1.9678389280123922</v>
      </c>
      <c r="AI15" s="24">
        <v>1.7762769247336518</v>
      </c>
      <c r="AJ15" s="209">
        <v>0</v>
      </c>
      <c r="AK15" s="25">
        <f t="shared" si="24"/>
        <v>1.5541811289208949</v>
      </c>
      <c r="AL15" s="26">
        <f t="shared" si="25"/>
        <v>0.55884790001422002</v>
      </c>
      <c r="AM15" s="23">
        <f t="shared" si="26"/>
        <v>0.76630371252761531</v>
      </c>
      <c r="AN15" s="24">
        <f t="shared" si="27"/>
        <v>1.6418957624205297</v>
      </c>
      <c r="AO15" s="24">
        <f t="shared" si="28"/>
        <v>1.4820631475927317</v>
      </c>
      <c r="AP15" s="25">
        <f t="shared" si="29"/>
        <v>1.2967542075136256</v>
      </c>
      <c r="AQ15" s="26">
        <f t="shared" si="30"/>
        <v>0.46628308130775048</v>
      </c>
      <c r="AR15" s="23">
        <v>0.50649242613625445</v>
      </c>
      <c r="AS15" s="24">
        <v>0.70464841135013434</v>
      </c>
      <c r="AT15" s="24">
        <v>0.41797128681751761</v>
      </c>
      <c r="AU15" s="209">
        <v>0</v>
      </c>
      <c r="AV15" s="25">
        <f t="shared" si="31"/>
        <v>0.54303737476796876</v>
      </c>
      <c r="AW15" s="26">
        <f t="shared" si="32"/>
        <v>0.14679098536845961</v>
      </c>
      <c r="AX15" s="23">
        <f t="shared" si="33"/>
        <v>0.42259951072884372</v>
      </c>
      <c r="AY15" s="24">
        <f t="shared" si="34"/>
        <v>0.58793391274189588</v>
      </c>
      <c r="AZ15" s="24">
        <f t="shared" si="35"/>
        <v>0.34874057773229306</v>
      </c>
      <c r="BA15" s="25">
        <f t="shared" si="36"/>
        <v>0.45309133373434413</v>
      </c>
      <c r="BB15" s="26">
        <f t="shared" si="37"/>
        <v>0.12247724821738601</v>
      </c>
      <c r="BC15" s="5" t="s">
        <v>142</v>
      </c>
      <c r="BD15" s="133"/>
      <c r="BE15" s="134"/>
      <c r="BF15" s="134"/>
      <c r="BG15" s="135"/>
      <c r="BH15" s="136"/>
      <c r="BI15" s="133"/>
      <c r="BJ15" s="134"/>
      <c r="BK15" s="134"/>
      <c r="BL15" s="135"/>
      <c r="BM15" s="136"/>
      <c r="BN15" s="133"/>
      <c r="BO15" s="134"/>
      <c r="BP15" s="134"/>
      <c r="BQ15" s="135"/>
      <c r="BR15" s="136"/>
      <c r="BS15" s="133"/>
      <c r="BT15" s="134"/>
      <c r="BU15" s="134"/>
      <c r="BV15" s="135"/>
      <c r="BW15" s="136"/>
      <c r="BX15" s="84"/>
      <c r="BY15" s="49"/>
      <c r="BZ15" s="49"/>
      <c r="CA15" s="25"/>
      <c r="CB15" s="26"/>
      <c r="CC15" s="84"/>
      <c r="CD15" s="49"/>
      <c r="CE15" s="49"/>
      <c r="CF15" s="25"/>
      <c r="CG15" s="26"/>
      <c r="CH15" s="122">
        <f t="shared" si="3"/>
        <v>77.083333333313931</v>
      </c>
      <c r="CI15" s="55">
        <f t="shared" si="38"/>
        <v>31.970664087951572</v>
      </c>
      <c r="CJ15" s="55">
        <f t="shared" si="4"/>
        <v>1.1985163571598161</v>
      </c>
      <c r="CK15" s="55">
        <f t="shared" si="5"/>
        <v>83.436491627844759</v>
      </c>
      <c r="CL15" s="55">
        <f t="shared" si="6"/>
        <v>0.83436491627844755</v>
      </c>
      <c r="CV15" s="5">
        <v>0.76630371252761531</v>
      </c>
      <c r="CW15" s="5">
        <v>1.6418957624205297</v>
      </c>
      <c r="CX15" s="5">
        <v>1.4820631475927317</v>
      </c>
      <c r="CY15" s="5">
        <v>1.2967542075136256</v>
      </c>
      <c r="CZ15" s="5">
        <v>0.46628308130775048</v>
      </c>
      <c r="DA15" s="5">
        <v>6.75</v>
      </c>
      <c r="DB15" s="5">
        <v>6.41</v>
      </c>
      <c r="DC15" s="5">
        <v>6.54</v>
      </c>
      <c r="DD15" s="5">
        <v>6.93</v>
      </c>
      <c r="DE15" s="5">
        <v>6.5666666666666664</v>
      </c>
      <c r="DF15" s="5">
        <v>0.17156145643277021</v>
      </c>
      <c r="DG15" s="5">
        <f t="shared" si="39"/>
        <v>9.859203027364784E-4</v>
      </c>
      <c r="DH15" s="5">
        <f t="shared" si="7"/>
        <v>4.6144856042578458E-3</v>
      </c>
      <c r="DI15" s="5">
        <f t="shared" si="7"/>
        <v>3.0900128480591113E-3</v>
      </c>
      <c r="DJ15" s="5">
        <f t="shared" si="40"/>
        <v>2.8968062516844784E-3</v>
      </c>
      <c r="DK15" s="5">
        <f t="shared" si="41"/>
        <v>1.8219819232125265E-3</v>
      </c>
      <c r="DL15" s="5">
        <v>0.42259951072884372</v>
      </c>
      <c r="DM15" s="5">
        <v>0.58793391274189588</v>
      </c>
      <c r="DN15" s="5">
        <v>0.34874057773229306</v>
      </c>
      <c r="DO15" s="5">
        <v>0.45309133373434413</v>
      </c>
      <c r="DP15" s="5">
        <v>0.12247724821738601</v>
      </c>
      <c r="DQ15" s="5">
        <f t="shared" si="42"/>
        <v>4.2806278142521461E-3</v>
      </c>
      <c r="DR15" s="5">
        <f t="shared" si="8"/>
        <v>1.2873988092559838E-2</v>
      </c>
      <c r="DS15" s="5">
        <f t="shared" si="8"/>
        <v>5.6931698672324695E-3</v>
      </c>
      <c r="DT15" s="5">
        <f t="shared" si="43"/>
        <v>7.615928591348152E-3</v>
      </c>
      <c r="DU15" s="5">
        <f t="shared" si="44"/>
        <v>4.6080593585121413E-3</v>
      </c>
    </row>
    <row r="16" spans="1:125" x14ac:dyDescent="0.25">
      <c r="A16" s="5" t="s">
        <v>143</v>
      </c>
      <c r="B16" s="17">
        <v>42910.511805555558</v>
      </c>
      <c r="C16" s="117">
        <f t="shared" si="9"/>
        <v>98.733333333337214</v>
      </c>
      <c r="D16" s="55">
        <f t="shared" si="0"/>
        <v>0.79727483362381235</v>
      </c>
      <c r="E16" s="19">
        <f>0.199*2</f>
        <v>0.39800000000000002</v>
      </c>
      <c r="F16" s="20">
        <f>0.225*2</f>
        <v>0.45</v>
      </c>
      <c r="G16" s="20">
        <f>0.204*2</f>
        <v>0.40799999999999997</v>
      </c>
      <c r="H16" s="20">
        <v>-1E-3</v>
      </c>
      <c r="I16" s="21">
        <f t="shared" si="10"/>
        <v>0.41866666666666669</v>
      </c>
      <c r="J16" s="22">
        <f t="shared" si="11"/>
        <v>2.7592269448766509E-2</v>
      </c>
      <c r="K16" s="19">
        <f t="shared" si="12"/>
        <v>0.3173153837822773</v>
      </c>
      <c r="L16" s="20">
        <f t="shared" si="13"/>
        <v>0.35877367513071556</v>
      </c>
      <c r="M16" s="20">
        <f t="shared" si="14"/>
        <v>0.32528813211851543</v>
      </c>
      <c r="N16" s="21">
        <f t="shared" si="15"/>
        <v>0.33379239701050278</v>
      </c>
      <c r="O16" s="22">
        <f t="shared" si="16"/>
        <v>2.1998622034068722E-2</v>
      </c>
      <c r="P16" s="23">
        <v>6.93</v>
      </c>
      <c r="Q16" s="24">
        <v>6.7</v>
      </c>
      <c r="R16" s="24">
        <v>6.82</v>
      </c>
      <c r="S16" s="24">
        <v>6.83</v>
      </c>
      <c r="T16" s="25">
        <f t="shared" si="1"/>
        <v>6.8166666666666664</v>
      </c>
      <c r="U16" s="26">
        <f t="shared" si="2"/>
        <v>0.11503622617824909</v>
      </c>
      <c r="V16" s="23"/>
      <c r="W16" s="24"/>
      <c r="X16" s="208"/>
      <c r="Y16" s="208"/>
      <c r="Z16" s="25"/>
      <c r="AA16" s="26"/>
      <c r="AB16" s="23"/>
      <c r="AC16" s="24"/>
      <c r="AD16" s="24"/>
      <c r="AE16" s="25"/>
      <c r="AF16" s="26"/>
      <c r="AG16" s="23"/>
      <c r="AH16" s="24"/>
      <c r="AI16" s="208"/>
      <c r="AJ16" s="208"/>
      <c r="AK16" s="25"/>
      <c r="AL16" s="26"/>
      <c r="AM16" s="23"/>
      <c r="AN16" s="24"/>
      <c r="AO16" s="24"/>
      <c r="AP16" s="25"/>
      <c r="AQ16" s="26"/>
      <c r="AR16" s="23"/>
      <c r="AS16" s="24"/>
      <c r="AT16" s="208"/>
      <c r="AU16" s="208"/>
      <c r="AV16" s="25"/>
      <c r="AW16" s="26"/>
      <c r="AX16" s="23"/>
      <c r="AY16" s="24"/>
      <c r="AZ16" s="24"/>
      <c r="BA16" s="25"/>
      <c r="BB16" s="26"/>
      <c r="BC16" s="5" t="s">
        <v>143</v>
      </c>
      <c r="BD16" s="133"/>
      <c r="BE16" s="134"/>
      <c r="BF16" s="134"/>
      <c r="BG16" s="135"/>
      <c r="BH16" s="136"/>
      <c r="BI16" s="133"/>
      <c r="BJ16" s="134"/>
      <c r="BK16" s="134"/>
      <c r="BL16" s="135"/>
      <c r="BM16" s="136"/>
      <c r="BN16" s="133"/>
      <c r="BO16" s="134"/>
      <c r="BP16" s="134"/>
      <c r="BQ16" s="135"/>
      <c r="BR16" s="136"/>
      <c r="BS16" s="133"/>
      <c r="BT16" s="134"/>
      <c r="BU16" s="134"/>
      <c r="BV16" s="135"/>
      <c r="BW16" s="136"/>
      <c r="BX16" s="84"/>
      <c r="BY16" s="49"/>
      <c r="BZ16" s="49"/>
      <c r="CA16" s="25"/>
      <c r="CB16" s="26"/>
      <c r="CC16" s="84"/>
      <c r="CD16" s="49"/>
      <c r="CE16" s="49"/>
      <c r="CF16" s="25"/>
      <c r="CG16" s="26"/>
      <c r="CH16" s="122">
        <f t="shared" si="3"/>
        <v>98.733333333337214</v>
      </c>
      <c r="CI16" s="55">
        <f t="shared" si="38"/>
        <v>33.45797376277973</v>
      </c>
      <c r="CJ16" s="55">
        <f t="shared" si="4"/>
        <v>1.254272626987047</v>
      </c>
      <c r="CK16" s="55">
        <f t="shared" si="5"/>
        <v>79.727483362381236</v>
      </c>
      <c r="CL16" s="55">
        <f t="shared" si="6"/>
        <v>0.79727483362381235</v>
      </c>
      <c r="DA16" s="5">
        <v>6.93</v>
      </c>
      <c r="DB16" s="5">
        <v>6.7</v>
      </c>
      <c r="DC16" s="5">
        <v>6.82</v>
      </c>
      <c r="DD16" s="5">
        <v>6.83</v>
      </c>
      <c r="DE16" s="5">
        <v>6.8166666666666664</v>
      </c>
      <c r="DF16" s="5">
        <v>0.11503622617824909</v>
      </c>
    </row>
    <row r="17" spans="1:125" x14ac:dyDescent="0.25">
      <c r="A17" s="5" t="s">
        <v>144</v>
      </c>
      <c r="B17" s="17">
        <v>42911.822916666664</v>
      </c>
      <c r="C17" s="117">
        <f t="shared" si="9"/>
        <v>130.19999999989523</v>
      </c>
      <c r="D17" s="55">
        <f t="shared" si="0"/>
        <v>0.74888964575648698</v>
      </c>
      <c r="E17" s="19">
        <f>0.232*2</f>
        <v>0.46400000000000002</v>
      </c>
      <c r="F17" s="20">
        <f>0.261*2</f>
        <v>0.52200000000000002</v>
      </c>
      <c r="G17" s="20">
        <f>0.231*2</f>
        <v>0.46200000000000002</v>
      </c>
      <c r="H17" s="20">
        <v>0</v>
      </c>
      <c r="I17" s="21">
        <f t="shared" si="10"/>
        <v>0.48266666666666663</v>
      </c>
      <c r="J17" s="22">
        <f t="shared" si="11"/>
        <v>3.4078341117685484E-2</v>
      </c>
      <c r="K17" s="19">
        <f t="shared" si="12"/>
        <v>0.34748479563100998</v>
      </c>
      <c r="L17" s="20">
        <f t="shared" si="13"/>
        <v>0.39092039508488624</v>
      </c>
      <c r="M17" s="20">
        <f t="shared" si="14"/>
        <v>0.34598701633949702</v>
      </c>
      <c r="N17" s="21">
        <f t="shared" si="15"/>
        <v>0.36146406901846434</v>
      </c>
      <c r="O17" s="22">
        <f t="shared" si="16"/>
        <v>2.5520916807592213E-2</v>
      </c>
      <c r="P17" s="23">
        <v>6.77</v>
      </c>
      <c r="Q17" s="24">
        <v>6.75</v>
      </c>
      <c r="R17" s="24">
        <v>6.79</v>
      </c>
      <c r="S17" s="24">
        <v>6.7</v>
      </c>
      <c r="T17" s="25">
        <f t="shared" si="1"/>
        <v>6.77</v>
      </c>
      <c r="U17" s="26">
        <f t="shared" si="2"/>
        <v>2.0000000000000018E-2</v>
      </c>
      <c r="V17" s="23">
        <v>26.194328618436852</v>
      </c>
      <c r="W17" s="24">
        <v>25.985892270069364</v>
      </c>
      <c r="X17" s="24">
        <v>25.006904884652528</v>
      </c>
      <c r="Y17" s="24">
        <v>33.956044152009937</v>
      </c>
      <c r="Z17" s="25">
        <f t="shared" si="17"/>
        <v>25.729041924386248</v>
      </c>
      <c r="AA17" s="26">
        <f t="shared" si="18"/>
        <v>0.63401329319402189</v>
      </c>
      <c r="AB17" s="23">
        <f t="shared" si="19"/>
        <v>19.616661479890183</v>
      </c>
      <c r="AC17" s="24">
        <f t="shared" si="20"/>
        <v>19.460565656798479</v>
      </c>
      <c r="AD17" s="24">
        <f t="shared" si="21"/>
        <v>18.727412140533595</v>
      </c>
      <c r="AE17" s="25">
        <f t="shared" si="22"/>
        <v>19.268213092407418</v>
      </c>
      <c r="AF17" s="26">
        <f t="shared" si="23"/>
        <v>0.47480599054497519</v>
      </c>
      <c r="AG17" s="23">
        <v>0</v>
      </c>
      <c r="AH17" s="24">
        <v>9.7578780617344568E-2</v>
      </c>
      <c r="AI17" s="24">
        <v>0</v>
      </c>
      <c r="AJ17" s="209">
        <v>0</v>
      </c>
      <c r="AK17" s="25">
        <f t="shared" si="24"/>
        <v>3.2526260205781525E-2</v>
      </c>
      <c r="AL17" s="26">
        <f t="shared" si="25"/>
        <v>5.6337135256619326E-2</v>
      </c>
      <c r="AM17" s="23">
        <f t="shared" si="26"/>
        <v>0</v>
      </c>
      <c r="AN17" s="24">
        <f t="shared" si="27"/>
        <v>7.3075738449873126E-2</v>
      </c>
      <c r="AO17" s="24">
        <f t="shared" si="28"/>
        <v>0</v>
      </c>
      <c r="AP17" s="25">
        <f t="shared" si="29"/>
        <v>2.4358579483291041E-2</v>
      </c>
      <c r="AQ17" s="26">
        <f t="shared" si="30"/>
        <v>4.2190297265264937E-2</v>
      </c>
      <c r="AR17" s="23">
        <v>0</v>
      </c>
      <c r="AS17" s="24">
        <v>0</v>
      </c>
      <c r="AT17" s="24">
        <v>0</v>
      </c>
      <c r="AU17" s="209">
        <v>0</v>
      </c>
      <c r="AV17" s="25">
        <f t="shared" si="31"/>
        <v>0</v>
      </c>
      <c r="AW17" s="26">
        <f t="shared" si="32"/>
        <v>0</v>
      </c>
      <c r="AX17" s="23">
        <f t="shared" si="33"/>
        <v>0</v>
      </c>
      <c r="AY17" s="24">
        <f t="shared" si="34"/>
        <v>0</v>
      </c>
      <c r="AZ17" s="24">
        <f t="shared" si="35"/>
        <v>0</v>
      </c>
      <c r="BA17" s="25">
        <f t="shared" si="36"/>
        <v>0</v>
      </c>
      <c r="BB17" s="26">
        <f t="shared" si="37"/>
        <v>0</v>
      </c>
      <c r="BC17" s="5" t="s">
        <v>144</v>
      </c>
      <c r="BD17" s="133"/>
      <c r="BE17" s="134"/>
      <c r="BF17" s="134"/>
      <c r="BG17" s="135"/>
      <c r="BH17" s="136"/>
      <c r="BI17" s="133"/>
      <c r="BJ17" s="134"/>
      <c r="BK17" s="134"/>
      <c r="BL17" s="135"/>
      <c r="BM17" s="136"/>
      <c r="BN17" s="133"/>
      <c r="BO17" s="134"/>
      <c r="BP17" s="134"/>
      <c r="BQ17" s="135"/>
      <c r="BR17" s="136"/>
      <c r="BS17" s="133"/>
      <c r="BT17" s="134"/>
      <c r="BU17" s="134"/>
      <c r="BV17" s="135"/>
      <c r="BW17" s="136"/>
      <c r="BX17" s="84"/>
      <c r="BY17" s="49"/>
      <c r="BZ17" s="49"/>
      <c r="CA17" s="25"/>
      <c r="CB17" s="26"/>
      <c r="CC17" s="84"/>
      <c r="CD17" s="49"/>
      <c r="CE17" s="49"/>
      <c r="CF17" s="25"/>
      <c r="CG17" s="26"/>
      <c r="CH17" s="122">
        <f t="shared" si="3"/>
        <v>130.19999999989523</v>
      </c>
      <c r="CI17" s="55">
        <f t="shared" si="38"/>
        <v>35.619667885999775</v>
      </c>
      <c r="CJ17" s="55">
        <f t="shared" si="4"/>
        <v>1.3353102231635947</v>
      </c>
      <c r="CK17" s="55">
        <f t="shared" si="5"/>
        <v>74.8889645756487</v>
      </c>
      <c r="CL17" s="55">
        <f t="shared" si="6"/>
        <v>0.74888964575648698</v>
      </c>
      <c r="CV17" s="5">
        <v>0</v>
      </c>
      <c r="CW17" s="5">
        <v>7.3075738449873126E-2</v>
      </c>
      <c r="CX17" s="5">
        <v>0</v>
      </c>
      <c r="CY17" s="5">
        <v>2.4358579483291041E-2</v>
      </c>
      <c r="CZ17" s="5">
        <v>4.2190297265264937E-2</v>
      </c>
      <c r="DA17" s="5">
        <v>6.77</v>
      </c>
      <c r="DB17" s="5">
        <v>6.75</v>
      </c>
      <c r="DC17" s="5">
        <v>6.79</v>
      </c>
      <c r="DD17" s="5">
        <v>6.7</v>
      </c>
      <c r="DE17" s="5">
        <v>6.77</v>
      </c>
      <c r="DF17" s="5">
        <v>2.0000000000000018E-2</v>
      </c>
      <c r="DG17" s="5">
        <f t="shared" si="39"/>
        <v>0</v>
      </c>
      <c r="DH17" s="5">
        <f t="shared" si="7"/>
        <v>9.4018667791061076E-5</v>
      </c>
      <c r="DI17" s="5">
        <f t="shared" si="7"/>
        <v>0</v>
      </c>
      <c r="DJ17" s="5">
        <f t="shared" si="40"/>
        <v>3.1339555930353692E-5</v>
      </c>
      <c r="DK17" s="5">
        <f t="shared" si="41"/>
        <v>5.4281703158019106E-5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f t="shared" si="42"/>
        <v>0</v>
      </c>
      <c r="DR17" s="5">
        <f t="shared" si="8"/>
        <v>0</v>
      </c>
      <c r="DS17" s="5">
        <f t="shared" si="8"/>
        <v>0</v>
      </c>
      <c r="DT17" s="5">
        <f t="shared" si="43"/>
        <v>0</v>
      </c>
      <c r="DU17" s="5">
        <f t="shared" si="44"/>
        <v>0</v>
      </c>
    </row>
    <row r="18" spans="1:125" x14ac:dyDescent="0.25">
      <c r="A18" s="5" t="s">
        <v>145</v>
      </c>
      <c r="B18" s="17">
        <v>42912.96875</v>
      </c>
      <c r="C18" s="117">
        <f t="shared" si="9"/>
        <v>157.69999999995343</v>
      </c>
      <c r="D18" s="55">
        <f t="shared" si="0"/>
        <v>0.71117064720383494</v>
      </c>
      <c r="E18" s="19">
        <f>0.253*2</f>
        <v>0.50600000000000001</v>
      </c>
      <c r="F18" s="20">
        <f>0.3*2</f>
        <v>0.6</v>
      </c>
      <c r="G18" s="20">
        <f>0.266*2</f>
        <v>0.53200000000000003</v>
      </c>
      <c r="H18" s="20">
        <v>1E-3</v>
      </c>
      <c r="I18" s="21">
        <f t="shared" si="10"/>
        <v>0.54599999999999993</v>
      </c>
      <c r="J18" s="22">
        <f t="shared" si="11"/>
        <v>4.8538644398046372E-2</v>
      </c>
      <c r="K18" s="19">
        <f t="shared" si="12"/>
        <v>0.3598523474851405</v>
      </c>
      <c r="L18" s="20">
        <f t="shared" si="13"/>
        <v>0.42670238832230095</v>
      </c>
      <c r="M18" s="20">
        <f t="shared" si="14"/>
        <v>0.37834278431244023</v>
      </c>
      <c r="N18" s="21">
        <f t="shared" si="15"/>
        <v>0.38829917337329389</v>
      </c>
      <c r="O18" s="22">
        <f t="shared" si="16"/>
        <v>3.4519259150955425E-2</v>
      </c>
      <c r="P18" s="23">
        <v>6.67</v>
      </c>
      <c r="Q18" s="24">
        <v>6.59</v>
      </c>
      <c r="R18" s="24">
        <v>6.64</v>
      </c>
      <c r="S18" s="24">
        <v>6.6</v>
      </c>
      <c r="T18" s="25">
        <f t="shared" si="1"/>
        <v>6.6333333333333329</v>
      </c>
      <c r="U18" s="26">
        <f t="shared" si="2"/>
        <v>4.0414518843273822E-2</v>
      </c>
      <c r="V18" s="23"/>
      <c r="W18" s="24"/>
      <c r="X18" s="208"/>
      <c r="Y18" s="208"/>
      <c r="Z18" s="25"/>
      <c r="AA18" s="26"/>
      <c r="AB18" s="23"/>
      <c r="AC18" s="24"/>
      <c r="AD18" s="24"/>
      <c r="AE18" s="25"/>
      <c r="AF18" s="26"/>
      <c r="AG18" s="23"/>
      <c r="AH18" s="24"/>
      <c r="AI18" s="208"/>
      <c r="AJ18" s="208"/>
      <c r="AK18" s="25"/>
      <c r="AL18" s="26"/>
      <c r="AM18" s="23"/>
      <c r="AN18" s="24"/>
      <c r="AO18" s="24"/>
      <c r="AP18" s="25"/>
      <c r="AQ18" s="26"/>
      <c r="AR18" s="23"/>
      <c r="AS18" s="24"/>
      <c r="AT18" s="208"/>
      <c r="AU18" s="208"/>
      <c r="AV18" s="25"/>
      <c r="AW18" s="26"/>
      <c r="AX18" s="23"/>
      <c r="AY18" s="24"/>
      <c r="AZ18" s="24"/>
      <c r="BA18" s="25"/>
      <c r="BB18" s="26"/>
      <c r="BC18" s="5" t="s">
        <v>145</v>
      </c>
      <c r="BD18" s="133">
        <v>-40000000</v>
      </c>
      <c r="BE18" s="134">
        <v>-20000000</v>
      </c>
      <c r="BF18" s="134">
        <v>-120000000</v>
      </c>
      <c r="BG18" s="135">
        <f t="shared" si="45"/>
        <v>-60000000</v>
      </c>
      <c r="BH18" s="136">
        <f t="shared" si="46"/>
        <v>52915026.22129181</v>
      </c>
      <c r="BI18" s="133">
        <f t="shared" si="47"/>
        <v>-28446825.888153397</v>
      </c>
      <c r="BJ18" s="134">
        <f t="shared" si="48"/>
        <v>-14223412.944076698</v>
      </c>
      <c r="BK18" s="134">
        <f t="shared" si="49"/>
        <v>-85340477.664460197</v>
      </c>
      <c r="BL18" s="135">
        <f t="shared" si="50"/>
        <v>-42670238.832230099</v>
      </c>
      <c r="BM18" s="136">
        <f t="shared" si="51"/>
        <v>37631613.444604002</v>
      </c>
      <c r="BN18" s="133">
        <v>420000000</v>
      </c>
      <c r="BO18" s="134">
        <v>380000000</v>
      </c>
      <c r="BP18" s="134">
        <v>410000000</v>
      </c>
      <c r="BQ18" s="135">
        <f t="shared" si="52"/>
        <v>403333333.33333331</v>
      </c>
      <c r="BR18" s="136">
        <f t="shared" si="53"/>
        <v>20816659.994661327</v>
      </c>
      <c r="BS18" s="133">
        <f t="shared" si="54"/>
        <v>298691671.8256107</v>
      </c>
      <c r="BT18" s="134">
        <f t="shared" si="55"/>
        <v>270244845.93745726</v>
      </c>
      <c r="BU18" s="134">
        <f t="shared" si="56"/>
        <v>291579965.35357231</v>
      </c>
      <c r="BV18" s="135">
        <f t="shared" si="57"/>
        <v>286838827.7055468</v>
      </c>
      <c r="BW18" s="136">
        <f t="shared" si="58"/>
        <v>14804197.561025489</v>
      </c>
      <c r="BX18" s="23">
        <v>-0.10526315789473684</v>
      </c>
      <c r="BY18" s="24">
        <v>-5.5555555555555552E-2</v>
      </c>
      <c r="BZ18" s="24">
        <v>-0.41379310344827586</v>
      </c>
      <c r="CA18" s="25">
        <f t="shared" ref="CA18:CA23" si="68">AVERAGE(BX18:BZ18)</f>
        <v>-0.19153727229952275</v>
      </c>
      <c r="CB18" s="26">
        <f t="shared" ref="CB18:CB23" si="69">STDEV(BX18:BZ18)</f>
        <v>0.19407718127666332</v>
      </c>
      <c r="CC18" s="23">
        <v>1.1052631578947369</v>
      </c>
      <c r="CD18" s="24">
        <v>1.0555555555555556</v>
      </c>
      <c r="CE18" s="24">
        <v>1.4137931034482758</v>
      </c>
      <c r="CF18" s="25">
        <f t="shared" ref="CF18:CF23" si="70">AVERAGE(CC18:CE18)</f>
        <v>1.1915372722995228</v>
      </c>
      <c r="CG18" s="26">
        <f t="shared" ref="CG18:CG23" si="71">STDEV(CC18:CE18)</f>
        <v>0.19407718127666337</v>
      </c>
      <c r="CH18" s="122">
        <f t="shared" si="3"/>
        <v>157.69999999995343</v>
      </c>
      <c r="CI18" s="55">
        <f t="shared" si="38"/>
        <v>37.508860313612566</v>
      </c>
      <c r="CJ18" s="55">
        <f t="shared" si="4"/>
        <v>1.4061322749072644</v>
      </c>
      <c r="CK18" s="55">
        <f t="shared" si="5"/>
        <v>71.117064720383496</v>
      </c>
      <c r="CL18" s="55">
        <f t="shared" si="6"/>
        <v>0.71117064720383494</v>
      </c>
      <c r="DA18" s="5">
        <v>6.67</v>
      </c>
      <c r="DB18" s="5">
        <v>6.59</v>
      </c>
      <c r="DC18" s="5">
        <v>6.64</v>
      </c>
      <c r="DD18" s="5">
        <v>6.6</v>
      </c>
      <c r="DE18" s="5">
        <v>6.6333333333333329</v>
      </c>
      <c r="DF18" s="5">
        <v>4.0414518843273822E-2</v>
      </c>
    </row>
    <row r="19" spans="1:125" x14ac:dyDescent="0.25">
      <c r="A19" s="5" t="s">
        <v>146</v>
      </c>
      <c r="B19" s="17">
        <v>42914.351388888892</v>
      </c>
      <c r="C19" s="117">
        <f t="shared" si="9"/>
        <v>190.8833333333605</v>
      </c>
      <c r="D19" s="55">
        <f t="shared" si="0"/>
        <v>0.67042512174030111</v>
      </c>
      <c r="E19" s="19">
        <f>0.187*3</f>
        <v>0.56099999999999994</v>
      </c>
      <c r="F19" s="20">
        <f>0.237*3</f>
        <v>0.71099999999999997</v>
      </c>
      <c r="G19" s="20">
        <f>0.205*3</f>
        <v>0.61499999999999999</v>
      </c>
      <c r="H19" s="20">
        <v>2E-3</v>
      </c>
      <c r="I19" s="21">
        <f t="shared" si="10"/>
        <v>0.62899999999999989</v>
      </c>
      <c r="J19" s="22">
        <f t="shared" si="11"/>
        <v>7.5973679652890314E-2</v>
      </c>
      <c r="K19" s="19">
        <f t="shared" si="12"/>
        <v>0.37610849329630891</v>
      </c>
      <c r="L19" s="20">
        <f t="shared" si="13"/>
        <v>0.47667226155735409</v>
      </c>
      <c r="M19" s="20">
        <f t="shared" si="14"/>
        <v>0.41231144987028517</v>
      </c>
      <c r="N19" s="21">
        <f t="shared" si="15"/>
        <v>0.42169740157464936</v>
      </c>
      <c r="O19" s="22">
        <f t="shared" si="16"/>
        <v>5.0934663430347638E-2</v>
      </c>
      <c r="P19" s="23">
        <v>6.58</v>
      </c>
      <c r="Q19" s="24">
        <v>6.12</v>
      </c>
      <c r="R19" s="24">
        <v>6.2</v>
      </c>
      <c r="S19" s="24">
        <v>6.51</v>
      </c>
      <c r="T19" s="25">
        <f t="shared" si="1"/>
        <v>6.3</v>
      </c>
      <c r="U19" s="26">
        <f t="shared" si="2"/>
        <v>0.24576411454889011</v>
      </c>
      <c r="V19" s="23">
        <v>27.273901179702058</v>
      </c>
      <c r="W19" s="24">
        <v>25.525977921254018</v>
      </c>
      <c r="X19" s="24">
        <v>24.574806061183516</v>
      </c>
      <c r="Y19" s="24">
        <v>38.208896003122945</v>
      </c>
      <c r="Z19" s="25">
        <f t="shared" si="17"/>
        <v>25.791561720713201</v>
      </c>
      <c r="AA19" s="26">
        <f t="shared" si="18"/>
        <v>1.3690068227017849</v>
      </c>
      <c r="AB19" s="23">
        <f t="shared" si="19"/>
        <v>18.285108518734695</v>
      </c>
      <c r="AC19" s="24">
        <f t="shared" si="20"/>
        <v>17.113256855396962</v>
      </c>
      <c r="AD19" s="24">
        <f t="shared" si="21"/>
        <v>16.475567345313248</v>
      </c>
      <c r="AE19" s="25">
        <f t="shared" si="22"/>
        <v>17.291310906481637</v>
      </c>
      <c r="AF19" s="26">
        <f t="shared" si="23"/>
        <v>0.91781656577314763</v>
      </c>
      <c r="AG19" s="23">
        <v>0</v>
      </c>
      <c r="AH19" s="24">
        <v>0.15847772607023941</v>
      </c>
      <c r="AI19" s="24">
        <v>0.12055095205077428</v>
      </c>
      <c r="AJ19" s="209">
        <v>0</v>
      </c>
      <c r="AK19" s="25">
        <f t="shared" si="24"/>
        <v>9.3009559373671225E-2</v>
      </c>
      <c r="AL19" s="26">
        <f t="shared" si="25"/>
        <v>8.275079243151845E-2</v>
      </c>
      <c r="AM19" s="23">
        <f t="shared" si="26"/>
        <v>0</v>
      </c>
      <c r="AN19" s="24">
        <f t="shared" si="27"/>
        <v>0.10624744879376635</v>
      </c>
      <c r="AO19" s="24">
        <f t="shared" si="28"/>
        <v>8.0820386704549552E-2</v>
      </c>
      <c r="AP19" s="25">
        <f t="shared" si="29"/>
        <v>6.2355945166105299E-2</v>
      </c>
      <c r="AQ19" s="26">
        <f t="shared" si="30"/>
        <v>5.5478210090007134E-2</v>
      </c>
      <c r="AR19" s="23">
        <v>0</v>
      </c>
      <c r="AS19" s="24">
        <v>1.7509802962910155</v>
      </c>
      <c r="AT19" s="24">
        <v>1.4554223921104699</v>
      </c>
      <c r="AU19" s="209">
        <v>0</v>
      </c>
      <c r="AV19" s="25">
        <f t="shared" si="31"/>
        <v>1.0688008961338284</v>
      </c>
      <c r="AW19" s="26">
        <f t="shared" si="32"/>
        <v>0.9373313903648246</v>
      </c>
      <c r="AX19" s="23">
        <f t="shared" si="33"/>
        <v>0</v>
      </c>
      <c r="AY19" s="24">
        <f t="shared" si="34"/>
        <v>1.1739011783057727</v>
      </c>
      <c r="AZ19" s="24">
        <f t="shared" si="35"/>
        <v>0.97575173441422203</v>
      </c>
      <c r="BA19" s="25">
        <f t="shared" si="36"/>
        <v>0.71655097090666497</v>
      </c>
      <c r="BB19" s="26">
        <f t="shared" si="37"/>
        <v>0.6284105114963433</v>
      </c>
      <c r="BC19" s="5" t="s">
        <v>146</v>
      </c>
      <c r="BD19" s="133"/>
      <c r="BE19" s="134"/>
      <c r="BF19" s="134"/>
      <c r="BG19" s="135"/>
      <c r="BH19" s="136"/>
      <c r="BI19" s="133"/>
      <c r="BJ19" s="134"/>
      <c r="BK19" s="134"/>
      <c r="BL19" s="135"/>
      <c r="BM19" s="136"/>
      <c r="BN19" s="133"/>
      <c r="BO19" s="134"/>
      <c r="BP19" s="134"/>
      <c r="BQ19" s="135"/>
      <c r="BR19" s="136"/>
      <c r="BS19" s="133"/>
      <c r="BT19" s="134"/>
      <c r="BU19" s="134"/>
      <c r="BV19" s="135"/>
      <c r="BW19" s="136"/>
      <c r="BX19" s="23"/>
      <c r="BY19" s="24"/>
      <c r="BZ19" s="24"/>
      <c r="CA19" s="25"/>
      <c r="CB19" s="26"/>
      <c r="CC19" s="23"/>
      <c r="CD19" s="24"/>
      <c r="CE19" s="24"/>
      <c r="CF19" s="25"/>
      <c r="CG19" s="26"/>
      <c r="CH19" s="122">
        <f t="shared" si="3"/>
        <v>190.8833333333605</v>
      </c>
      <c r="CI19" s="55">
        <f t="shared" si="38"/>
        <v>39.788485842932232</v>
      </c>
      <c r="CJ19" s="55">
        <f t="shared" si="4"/>
        <v>1.4915908840113012</v>
      </c>
      <c r="CK19" s="55">
        <f t="shared" si="5"/>
        <v>67.042512174030108</v>
      </c>
      <c r="CL19" s="55">
        <f t="shared" si="6"/>
        <v>0.67042512174030111</v>
      </c>
      <c r="CV19" s="5">
        <v>0</v>
      </c>
      <c r="CW19" s="5">
        <v>0.10624744879376635</v>
      </c>
      <c r="CX19" s="5">
        <v>8.0820386704549552E-2</v>
      </c>
      <c r="CY19" s="5">
        <v>6.2355945166105299E-2</v>
      </c>
      <c r="CZ19" s="5">
        <v>5.5478210090007134E-2</v>
      </c>
      <c r="DA19" s="5">
        <v>6.58</v>
      </c>
      <c r="DB19" s="5">
        <v>6.12</v>
      </c>
      <c r="DC19" s="5">
        <v>6.2</v>
      </c>
      <c r="DD19" s="5">
        <v>6.51</v>
      </c>
      <c r="DE19" s="5">
        <v>6.3</v>
      </c>
      <c r="DF19" s="5">
        <v>0.24576411454889011</v>
      </c>
      <c r="DG19" s="5">
        <f t="shared" si="39"/>
        <v>0</v>
      </c>
      <c r="DH19" s="5">
        <f t="shared" si="7"/>
        <v>5.8068207321322488E-4</v>
      </c>
      <c r="DI19" s="5">
        <f t="shared" si="7"/>
        <v>3.6773954838336271E-4</v>
      </c>
      <c r="DJ19" s="5">
        <f t="shared" si="40"/>
        <v>3.161405405321959E-4</v>
      </c>
      <c r="DK19" s="5">
        <f t="shared" si="41"/>
        <v>2.9375969898238395E-4</v>
      </c>
      <c r="DL19" s="5">
        <v>0</v>
      </c>
      <c r="DM19" s="5">
        <v>1.1739011783057727</v>
      </c>
      <c r="DN19" s="5">
        <v>0.97575173441422203</v>
      </c>
      <c r="DO19" s="5">
        <v>0.71655097090666497</v>
      </c>
      <c r="DP19" s="5">
        <v>0.6284105114963433</v>
      </c>
      <c r="DQ19" s="5">
        <f t="shared" si="42"/>
        <v>0</v>
      </c>
      <c r="DR19" s="5">
        <f t="shared" si="8"/>
        <v>4.909937933815834E-2</v>
      </c>
      <c r="DS19" s="5">
        <f t="shared" si="8"/>
        <v>3.4186179028787331E-2</v>
      </c>
      <c r="DT19" s="5">
        <f t="shared" si="43"/>
        <v>2.7761852788981894E-2</v>
      </c>
      <c r="DU19" s="5">
        <f t="shared" si="44"/>
        <v>2.5172231497717516E-2</v>
      </c>
    </row>
    <row r="20" spans="1:125" x14ac:dyDescent="0.25">
      <c r="A20" s="5" t="s">
        <v>147</v>
      </c>
      <c r="B20" s="17">
        <v>42915.405555555553</v>
      </c>
      <c r="C20" s="117">
        <f t="shared" si="9"/>
        <v>216.18333333323244</v>
      </c>
      <c r="D20" s="55">
        <f t="shared" si="0"/>
        <v>0.64236506623138678</v>
      </c>
      <c r="E20" s="19">
        <f>0.2*3</f>
        <v>0.60000000000000009</v>
      </c>
      <c r="F20" s="20">
        <f>0.256*3</f>
        <v>0.76800000000000002</v>
      </c>
      <c r="G20" s="20">
        <f>0.217*3</f>
        <v>0.65100000000000002</v>
      </c>
      <c r="H20" s="20">
        <v>2E-3</v>
      </c>
      <c r="I20" s="21">
        <f t="shared" si="10"/>
        <v>0.67300000000000004</v>
      </c>
      <c r="J20" s="22">
        <f t="shared" si="11"/>
        <v>8.6133617130595141E-2</v>
      </c>
      <c r="K20" s="19">
        <f t="shared" si="12"/>
        <v>0.38541903973883213</v>
      </c>
      <c r="L20" s="20">
        <f t="shared" si="13"/>
        <v>0.49333637086570509</v>
      </c>
      <c r="M20" s="20">
        <f t="shared" si="14"/>
        <v>0.41817965811663282</v>
      </c>
      <c r="N20" s="21">
        <f t="shared" si="15"/>
        <v>0.43231168957372335</v>
      </c>
      <c r="O20" s="22">
        <f t="shared" si="16"/>
        <v>5.5329226672843367E-2</v>
      </c>
      <c r="P20" s="23">
        <v>6.47</v>
      </c>
      <c r="Q20" s="24">
        <v>5.72</v>
      </c>
      <c r="R20" s="24">
        <v>5.72</v>
      </c>
      <c r="S20" s="24">
        <v>6.43</v>
      </c>
      <c r="T20" s="25">
        <f t="shared" si="1"/>
        <v>5.97</v>
      </c>
      <c r="U20" s="26">
        <f t="shared" si="2"/>
        <v>0.4330127018922193</v>
      </c>
      <c r="V20" s="23"/>
      <c r="W20" s="24"/>
      <c r="X20" s="208"/>
      <c r="Y20" s="208"/>
      <c r="Z20" s="25"/>
      <c r="AA20" s="26"/>
      <c r="AB20" s="23"/>
      <c r="AC20" s="24"/>
      <c r="AD20" s="24"/>
      <c r="AE20" s="25"/>
      <c r="AF20" s="26"/>
      <c r="AG20" s="23"/>
      <c r="AH20" s="24"/>
      <c r="AI20" s="208"/>
      <c r="AJ20" s="208"/>
      <c r="AK20" s="25"/>
      <c r="AL20" s="26"/>
      <c r="AM20" s="23"/>
      <c r="AN20" s="24"/>
      <c r="AO20" s="24"/>
      <c r="AP20" s="25"/>
      <c r="AQ20" s="26"/>
      <c r="AR20" s="23"/>
      <c r="AS20" s="24"/>
      <c r="AT20" s="208"/>
      <c r="AU20" s="208"/>
      <c r="AV20" s="25"/>
      <c r="AW20" s="26"/>
      <c r="AX20" s="23"/>
      <c r="AY20" s="24"/>
      <c r="AZ20" s="24"/>
      <c r="BA20" s="25"/>
      <c r="BB20" s="26"/>
      <c r="BC20" s="5" t="s">
        <v>147</v>
      </c>
      <c r="BD20" s="133"/>
      <c r="BE20" s="134"/>
      <c r="BF20" s="134"/>
      <c r="BG20" s="135"/>
      <c r="BH20" s="136"/>
      <c r="BI20" s="133"/>
      <c r="BJ20" s="134"/>
      <c r="BK20" s="134"/>
      <c r="BL20" s="135"/>
      <c r="BM20" s="136"/>
      <c r="BN20" s="133"/>
      <c r="BO20" s="134"/>
      <c r="BP20" s="134"/>
      <c r="BQ20" s="135"/>
      <c r="BR20" s="136"/>
      <c r="BS20" s="133"/>
      <c r="BT20" s="134"/>
      <c r="BU20" s="134"/>
      <c r="BV20" s="135"/>
      <c r="BW20" s="136"/>
      <c r="BX20" s="23"/>
      <c r="BY20" s="24"/>
      <c r="BZ20" s="24"/>
      <c r="CA20" s="25"/>
      <c r="CB20" s="26"/>
      <c r="CC20" s="23"/>
      <c r="CD20" s="24"/>
      <c r="CE20" s="24"/>
      <c r="CF20" s="25"/>
      <c r="CG20" s="26"/>
      <c r="CH20" s="122">
        <f t="shared" si="3"/>
        <v>216.18333333323244</v>
      </c>
      <c r="CI20" s="55">
        <f t="shared" si="38"/>
        <v>41.526542876323525</v>
      </c>
      <c r="CJ20" s="55">
        <f t="shared" si="4"/>
        <v>1.5567471716150099</v>
      </c>
      <c r="CK20" s="55">
        <f t="shared" si="5"/>
        <v>64.236506623138681</v>
      </c>
      <c r="CL20" s="55">
        <f t="shared" si="6"/>
        <v>0.64236506623138678</v>
      </c>
      <c r="DA20" s="5">
        <v>6.47</v>
      </c>
      <c r="DB20" s="5">
        <v>5.72</v>
      </c>
      <c r="DC20" s="5">
        <v>5.72</v>
      </c>
      <c r="DD20" s="5">
        <v>6.43</v>
      </c>
      <c r="DE20" s="5">
        <v>5.97</v>
      </c>
      <c r="DF20" s="5">
        <v>0.4330127018922193</v>
      </c>
    </row>
    <row r="21" spans="1:125" x14ac:dyDescent="0.25">
      <c r="A21" s="5" t="s">
        <v>168</v>
      </c>
      <c r="B21" s="17">
        <v>42916.381944444445</v>
      </c>
      <c r="C21" s="117">
        <f t="shared" si="9"/>
        <v>239.6166666666395</v>
      </c>
      <c r="D21" s="55">
        <f t="shared" si="0"/>
        <v>0.61839242124950178</v>
      </c>
      <c r="E21" s="19">
        <f>0.211*3</f>
        <v>0.63300000000000001</v>
      </c>
      <c r="F21" s="20">
        <f>0.27*3</f>
        <v>0.81</v>
      </c>
      <c r="G21" s="20">
        <f>0.228*3</f>
        <v>0.68400000000000005</v>
      </c>
      <c r="H21" s="20">
        <v>1E-3</v>
      </c>
      <c r="I21" s="21">
        <f t="shared" si="10"/>
        <v>0.70900000000000007</v>
      </c>
      <c r="J21" s="22">
        <f t="shared" si="11"/>
        <v>9.1109823839144219E-2</v>
      </c>
      <c r="K21" s="19">
        <f t="shared" si="12"/>
        <v>0.39144240265093461</v>
      </c>
      <c r="L21" s="20">
        <f t="shared" si="13"/>
        <v>0.50089786121209645</v>
      </c>
      <c r="M21" s="20">
        <f t="shared" si="14"/>
        <v>0.42298041613465925</v>
      </c>
      <c r="N21" s="21">
        <f t="shared" si="15"/>
        <v>0.43844022666589683</v>
      </c>
      <c r="O21" s="22">
        <f t="shared" si="16"/>
        <v>5.634162456350339E-2</v>
      </c>
      <c r="P21" s="23">
        <v>6.31</v>
      </c>
      <c r="Q21" s="24">
        <v>5.62</v>
      </c>
      <c r="R21" s="24">
        <v>5.6</v>
      </c>
      <c r="S21" s="24">
        <v>6.37</v>
      </c>
      <c r="T21" s="25">
        <f t="shared" si="1"/>
        <v>5.8433333333333337</v>
      </c>
      <c r="U21" s="26">
        <f t="shared" si="2"/>
        <v>0.40426888741694339</v>
      </c>
      <c r="V21" s="23"/>
      <c r="W21" s="24"/>
      <c r="X21" s="208"/>
      <c r="Y21" s="208"/>
      <c r="Z21" s="25"/>
      <c r="AA21" s="26"/>
      <c r="AB21" s="23"/>
      <c r="AC21" s="24"/>
      <c r="AD21" s="24"/>
      <c r="AE21" s="25"/>
      <c r="AF21" s="26"/>
      <c r="AG21" s="23"/>
      <c r="AH21" s="24"/>
      <c r="AI21" s="208"/>
      <c r="AJ21" s="208"/>
      <c r="AK21" s="25"/>
      <c r="AL21" s="26"/>
      <c r="AM21" s="23"/>
      <c r="AN21" s="24"/>
      <c r="AO21" s="24"/>
      <c r="AP21" s="25"/>
      <c r="AQ21" s="26"/>
      <c r="AR21" s="23"/>
      <c r="AS21" s="24"/>
      <c r="AT21" s="208"/>
      <c r="AU21" s="208"/>
      <c r="AV21" s="25"/>
      <c r="AW21" s="26"/>
      <c r="AX21" s="23"/>
      <c r="AY21" s="24"/>
      <c r="AZ21" s="24"/>
      <c r="BA21" s="25"/>
      <c r="BB21" s="26"/>
      <c r="BC21" s="5" t="s">
        <v>168</v>
      </c>
      <c r="BD21" s="133">
        <v>-110000000</v>
      </c>
      <c r="BE21" s="134">
        <v>-80000000</v>
      </c>
      <c r="BF21" s="134">
        <v>-30000000</v>
      </c>
      <c r="BG21" s="135">
        <f t="shared" si="45"/>
        <v>-73333333.333333328</v>
      </c>
      <c r="BH21" s="136">
        <f t="shared" si="46"/>
        <v>40414518.843273796</v>
      </c>
      <c r="BI21" s="133">
        <f t="shared" si="47"/>
        <v>-68023166.337445199</v>
      </c>
      <c r="BJ21" s="134">
        <f t="shared" si="48"/>
        <v>-49471393.699960142</v>
      </c>
      <c r="BK21" s="134">
        <f t="shared" si="49"/>
        <v>-18551772.637485053</v>
      </c>
      <c r="BL21" s="135">
        <f t="shared" si="50"/>
        <v>-45348777.5582968</v>
      </c>
      <c r="BM21" s="136">
        <f t="shared" si="51"/>
        <v>24992032.161125693</v>
      </c>
      <c r="BN21" s="133">
        <v>540000000</v>
      </c>
      <c r="BO21" s="134">
        <v>640000000</v>
      </c>
      <c r="BP21" s="134">
        <v>420000000</v>
      </c>
      <c r="BQ21" s="135">
        <f t="shared" si="52"/>
        <v>533333333.33333331</v>
      </c>
      <c r="BR21" s="136">
        <f t="shared" si="53"/>
        <v>110151410.94572194</v>
      </c>
      <c r="BS21" s="133">
        <f t="shared" si="54"/>
        <v>333931907.47473097</v>
      </c>
      <c r="BT21" s="134">
        <f t="shared" si="55"/>
        <v>395771149.59968114</v>
      </c>
      <c r="BU21" s="134">
        <f t="shared" si="56"/>
        <v>259724816.92479074</v>
      </c>
      <c r="BV21" s="135">
        <f t="shared" si="57"/>
        <v>329809291.3330676</v>
      </c>
      <c r="BW21" s="136">
        <f t="shared" si="58"/>
        <v>68116797.718773827</v>
      </c>
      <c r="BX21" s="23">
        <v>-0.2558139534883721</v>
      </c>
      <c r="BY21" s="24">
        <v>-0.14285714285714285</v>
      </c>
      <c r="BZ21" s="24">
        <v>-7.6923076923076927E-2</v>
      </c>
      <c r="CA21" s="25">
        <f t="shared" si="68"/>
        <v>-0.15853139108953063</v>
      </c>
      <c r="CB21" s="26">
        <f t="shared" si="69"/>
        <v>9.0469596952859263E-2</v>
      </c>
      <c r="CC21" s="23">
        <v>1.2558139534883721</v>
      </c>
      <c r="CD21" s="24">
        <v>1.1428571428571428</v>
      </c>
      <c r="CE21" s="24">
        <v>1.0769230769230769</v>
      </c>
      <c r="CF21" s="25">
        <f t="shared" si="70"/>
        <v>1.1585313910895305</v>
      </c>
      <c r="CG21" s="26">
        <f t="shared" si="71"/>
        <v>9.0469596952859305E-2</v>
      </c>
      <c r="CH21" s="122">
        <f t="shared" si="3"/>
        <v>239.6166666666395</v>
      </c>
      <c r="CI21" s="55">
        <f t="shared" si="38"/>
        <v>43.136363817672802</v>
      </c>
      <c r="CJ21" s="55">
        <f t="shared" si="4"/>
        <v>1.6170961441917988</v>
      </c>
      <c r="CK21" s="55">
        <f t="shared" si="5"/>
        <v>61.839242124950182</v>
      </c>
      <c r="CL21" s="55">
        <f t="shared" si="6"/>
        <v>0.61839242124950178</v>
      </c>
      <c r="DA21" s="5">
        <v>6.31</v>
      </c>
      <c r="DB21" s="5">
        <v>5.62</v>
      </c>
      <c r="DC21" s="5">
        <v>5.6</v>
      </c>
      <c r="DD21" s="5">
        <v>6.37</v>
      </c>
      <c r="DE21" s="5">
        <v>5.8433333333333337</v>
      </c>
      <c r="DF21" s="5">
        <v>0.40426888741694339</v>
      </c>
    </row>
    <row r="22" spans="1:125" x14ac:dyDescent="0.25">
      <c r="A22" s="5" t="s">
        <v>169</v>
      </c>
      <c r="B22" s="17">
        <v>42917.350694444445</v>
      </c>
      <c r="C22" s="117">
        <f t="shared" si="9"/>
        <v>262.8666666666395</v>
      </c>
      <c r="D22" s="55">
        <f t="shared" si="0"/>
        <v>0.59631253337675338</v>
      </c>
      <c r="E22" s="19">
        <f>0.222*3</f>
        <v>0.66600000000000004</v>
      </c>
      <c r="F22" s="20">
        <f>0.288*3</f>
        <v>0.86399999999999988</v>
      </c>
      <c r="G22" s="20">
        <f>0.241*3</f>
        <v>0.72299999999999998</v>
      </c>
      <c r="H22" s="20">
        <v>0</v>
      </c>
      <c r="I22" s="21">
        <f t="shared" si="10"/>
        <v>0.75099999999999989</v>
      </c>
      <c r="J22" s="22">
        <f t="shared" si="11"/>
        <v>0.10192644406629814</v>
      </c>
      <c r="K22" s="19">
        <f t="shared" si="12"/>
        <v>0.39714414722891778</v>
      </c>
      <c r="L22" s="20">
        <f t="shared" si="13"/>
        <v>0.51521402883751488</v>
      </c>
      <c r="M22" s="20">
        <f t="shared" si="14"/>
        <v>0.43113396163139267</v>
      </c>
      <c r="N22" s="21">
        <f t="shared" si="15"/>
        <v>0.44783071256594176</v>
      </c>
      <c r="O22" s="22">
        <f t="shared" si="16"/>
        <v>6.0780016079257738E-2</v>
      </c>
      <c r="P22" s="23">
        <v>6.07</v>
      </c>
      <c r="Q22" s="24">
        <v>5.6</v>
      </c>
      <c r="R22" s="24">
        <v>5.55</v>
      </c>
      <c r="S22" s="24">
        <v>6.32</v>
      </c>
      <c r="T22" s="25">
        <f t="shared" si="1"/>
        <v>5.7399999999999993</v>
      </c>
      <c r="U22" s="26">
        <f t="shared" si="2"/>
        <v>0.28687976575562135</v>
      </c>
      <c r="V22" s="23">
        <v>28.346256131449643</v>
      </c>
      <c r="W22" s="24">
        <v>25.382615900351677</v>
      </c>
      <c r="X22" s="24">
        <v>23.922430085100039</v>
      </c>
      <c r="Y22" s="24">
        <v>45.212840925073856</v>
      </c>
      <c r="Z22" s="25">
        <f t="shared" si="17"/>
        <v>25.883767372300451</v>
      </c>
      <c r="AA22" s="26">
        <f t="shared" si="18"/>
        <v>2.2540904641268522</v>
      </c>
      <c r="AB22" s="23">
        <f t="shared" si="19"/>
        <v>16.903227805491067</v>
      </c>
      <c r="AC22" s="24">
        <f t="shared" si="20"/>
        <v>15.135971991267771</v>
      </c>
      <c r="AD22" s="24">
        <f t="shared" si="21"/>
        <v>14.265244888574266</v>
      </c>
      <c r="AE22" s="25">
        <f t="shared" si="22"/>
        <v>15.434814895111034</v>
      </c>
      <c r="AF22" s="26">
        <f t="shared" si="23"/>
        <v>1.3441423951238662</v>
      </c>
      <c r="AG22" s="23">
        <v>0.12564148230075634</v>
      </c>
      <c r="AH22" s="24">
        <v>0.18915276686109805</v>
      </c>
      <c r="AI22" s="24">
        <v>0.19233953789935493</v>
      </c>
      <c r="AJ22" s="209">
        <v>0</v>
      </c>
      <c r="AK22" s="25">
        <f t="shared" si="24"/>
        <v>0.16904459568706978</v>
      </c>
      <c r="AL22" s="26">
        <f t="shared" si="25"/>
        <v>3.7621955905181824E-2</v>
      </c>
      <c r="AM22" s="23">
        <f t="shared" si="26"/>
        <v>7.4921590607974528E-2</v>
      </c>
      <c r="AN22" s="24">
        <f t="shared" si="27"/>
        <v>0.11279416560216378</v>
      </c>
      <c r="AO22" s="24">
        <f t="shared" si="28"/>
        <v>0.1146944771132784</v>
      </c>
      <c r="AP22" s="25">
        <f t="shared" si="29"/>
        <v>0.10080341110780557</v>
      </c>
      <c r="AQ22" s="26">
        <f t="shared" si="30"/>
        <v>2.2434443836407483E-2</v>
      </c>
      <c r="AR22" s="23">
        <v>1.5609166997964572</v>
      </c>
      <c r="AS22" s="24">
        <v>3.5029865299061269</v>
      </c>
      <c r="AT22" s="24">
        <v>3.8389432952746079</v>
      </c>
      <c r="AU22" s="209">
        <v>0</v>
      </c>
      <c r="AV22" s="25">
        <f t="shared" si="31"/>
        <v>2.9676155083257307</v>
      </c>
      <c r="AW22" s="26">
        <f t="shared" si="32"/>
        <v>1.2297633473508112</v>
      </c>
      <c r="AX22" s="23">
        <f t="shared" si="33"/>
        <v>0.93079419164570665</v>
      </c>
      <c r="AY22" s="24">
        <f t="shared" si="34"/>
        <v>2.0888747720329648</v>
      </c>
      <c r="AZ22" s="24">
        <f t="shared" si="35"/>
        <v>2.2892100018949031</v>
      </c>
      <c r="BA22" s="25">
        <f t="shared" si="36"/>
        <v>1.7696263218578583</v>
      </c>
      <c r="BB22" s="26">
        <f t="shared" si="37"/>
        <v>0.733323297112638</v>
      </c>
      <c r="BC22" s="5" t="s">
        <v>169</v>
      </c>
      <c r="BD22" s="133"/>
      <c r="BE22" s="134"/>
      <c r="BF22" s="134"/>
      <c r="BG22" s="135"/>
      <c r="BH22" s="136"/>
      <c r="BI22" s="133"/>
      <c r="BJ22" s="134"/>
      <c r="BK22" s="134"/>
      <c r="BL22" s="135"/>
      <c r="BM22" s="136"/>
      <c r="BN22" s="133"/>
      <c r="BO22" s="134"/>
      <c r="BP22" s="134"/>
      <c r="BQ22" s="135"/>
      <c r="BR22" s="136"/>
      <c r="BS22" s="133"/>
      <c r="BT22" s="134"/>
      <c r="BU22" s="134"/>
      <c r="BV22" s="135"/>
      <c r="BW22" s="136"/>
      <c r="BX22" s="23"/>
      <c r="BY22" s="24"/>
      <c r="BZ22" s="24"/>
      <c r="CA22" s="25"/>
      <c r="CB22" s="26"/>
      <c r="CC22" s="23"/>
      <c r="CD22" s="24"/>
      <c r="CE22" s="24"/>
      <c r="CF22" s="25"/>
      <c r="CG22" s="26"/>
      <c r="CH22" s="122">
        <f t="shared" si="3"/>
        <v>262.8666666666395</v>
      </c>
      <c r="CI22" s="55">
        <f t="shared" si="38"/>
        <v>44.733590142832966</v>
      </c>
      <c r="CJ22" s="55">
        <f t="shared" si="4"/>
        <v>1.6769729697567748</v>
      </c>
      <c r="CK22" s="55">
        <f t="shared" si="5"/>
        <v>59.631253337675339</v>
      </c>
      <c r="CL22" s="55">
        <f t="shared" si="6"/>
        <v>0.59631253337675338</v>
      </c>
      <c r="CV22" s="5">
        <v>7.4921590607974528E-2</v>
      </c>
      <c r="CW22" s="5">
        <v>0.11279416560216378</v>
      </c>
      <c r="CX22" s="5">
        <v>0.1146944771132784</v>
      </c>
      <c r="CY22" s="5">
        <v>0.10080341110780557</v>
      </c>
      <c r="CZ22" s="5">
        <v>2.2434443836407483E-2</v>
      </c>
      <c r="DA22" s="5">
        <v>6.07</v>
      </c>
      <c r="DB22" s="5">
        <v>5.6</v>
      </c>
      <c r="DC22" s="5">
        <v>5.55</v>
      </c>
      <c r="DD22" s="5">
        <v>6.32</v>
      </c>
      <c r="DE22" s="5">
        <v>5.7399999999999993</v>
      </c>
      <c r="DF22" s="5">
        <v>0.28687976575562135</v>
      </c>
      <c r="DG22" s="5">
        <f t="shared" si="39"/>
        <v>4.5913179927758974E-4</v>
      </c>
      <c r="DH22" s="5">
        <f t="shared" si="39"/>
        <v>2.0158342468268777E-3</v>
      </c>
      <c r="DI22" s="5">
        <f t="shared" si="39"/>
        <v>2.2949047192158713E-3</v>
      </c>
      <c r="DJ22" s="5">
        <f t="shared" si="40"/>
        <v>1.5899569217734464E-3</v>
      </c>
      <c r="DK22" s="5">
        <f t="shared" si="41"/>
        <v>9.8921391791193512E-4</v>
      </c>
      <c r="DL22" s="5">
        <v>0.93079419164570665</v>
      </c>
      <c r="DM22" s="5">
        <v>2.0888747720329648</v>
      </c>
      <c r="DN22" s="5">
        <v>2.2892100018949031</v>
      </c>
      <c r="DO22" s="5">
        <v>1.7696263218578583</v>
      </c>
      <c r="DP22" s="5">
        <v>0.733323297112638</v>
      </c>
      <c r="DQ22" s="5">
        <f t="shared" si="42"/>
        <v>4.3459760983472109E-2</v>
      </c>
      <c r="DR22" s="5">
        <f t="shared" si="42"/>
        <v>0.2638031156584823</v>
      </c>
      <c r="DS22" s="5">
        <f t="shared" si="42"/>
        <v>0.31945659625705941</v>
      </c>
      <c r="DT22" s="5">
        <f t="shared" si="43"/>
        <v>0.20890649096633793</v>
      </c>
      <c r="DU22" s="5">
        <f t="shared" si="44"/>
        <v>0.14595818860962048</v>
      </c>
    </row>
    <row r="23" spans="1:125" x14ac:dyDescent="0.25">
      <c r="A23" s="5" t="s">
        <v>170</v>
      </c>
      <c r="B23" s="17">
        <v>42921.534722222219</v>
      </c>
      <c r="C23" s="118">
        <f t="shared" si="9"/>
        <v>363.28333333320916</v>
      </c>
      <c r="D23" s="210">
        <f t="shared" si="0"/>
        <v>0.51664080270208479</v>
      </c>
      <c r="E23" s="40">
        <f>0.235*4</f>
        <v>0.94</v>
      </c>
      <c r="F23" s="41">
        <f>0.254*5</f>
        <v>1.27</v>
      </c>
      <c r="G23" s="41">
        <f>0.246*4</f>
        <v>0.98399999999999999</v>
      </c>
      <c r="H23" s="41">
        <v>0.24199999999999999</v>
      </c>
      <c r="I23" s="42">
        <f t="shared" si="10"/>
        <v>1.0646666666666667</v>
      </c>
      <c r="J23" s="43">
        <f t="shared" si="11"/>
        <v>0.17917961193543661</v>
      </c>
      <c r="K23" s="40">
        <f t="shared" si="12"/>
        <v>0.48564235453995969</v>
      </c>
      <c r="L23" s="20">
        <f t="shared" si="13"/>
        <v>0.65613381943164772</v>
      </c>
      <c r="M23" s="41">
        <f t="shared" si="14"/>
        <v>0.50837454985885144</v>
      </c>
      <c r="N23" s="42">
        <f t="shared" si="15"/>
        <v>0.55005024127681967</v>
      </c>
      <c r="O23" s="43">
        <f t="shared" si="16"/>
        <v>9.2571498538171301E-2</v>
      </c>
      <c r="P23" s="44">
        <v>5.55</v>
      </c>
      <c r="Q23" s="45">
        <v>4.9400000000000004</v>
      </c>
      <c r="R23" s="45">
        <v>4.8899999999999997</v>
      </c>
      <c r="S23" s="45">
        <v>4.7</v>
      </c>
      <c r="T23" s="46">
        <f t="shared" si="1"/>
        <v>5.126666666666666</v>
      </c>
      <c r="U23" s="47">
        <f t="shared" si="2"/>
        <v>0.36746881953892802</v>
      </c>
      <c r="V23" s="44">
        <v>31.914756474920281</v>
      </c>
      <c r="W23" s="45">
        <v>27.425326274416321</v>
      </c>
      <c r="X23" s="45">
        <v>26.099003402749425</v>
      </c>
      <c r="Y23" s="45">
        <v>52.955329944839683</v>
      </c>
      <c r="Z23" s="46">
        <f t="shared" si="17"/>
        <v>28.479695384028673</v>
      </c>
      <c r="AA23" s="47">
        <f t="shared" si="18"/>
        <v>3.0478708328265411</v>
      </c>
      <c r="AB23" s="44">
        <f t="shared" si="19"/>
        <v>16.488465403244373</v>
      </c>
      <c r="AC23" s="45">
        <f t="shared" si="20"/>
        <v>14.169042580781024</v>
      </c>
      <c r="AD23" s="45">
        <f t="shared" si="21"/>
        <v>13.483810067720905</v>
      </c>
      <c r="AE23" s="46">
        <f t="shared" si="22"/>
        <v>14.713772683915435</v>
      </c>
      <c r="AF23" s="47">
        <f t="shared" si="23"/>
        <v>1.5746544336037762</v>
      </c>
      <c r="AG23" s="44">
        <v>0.22931467657920701</v>
      </c>
      <c r="AH23" s="45">
        <v>0.38706663101345962</v>
      </c>
      <c r="AI23" s="45">
        <v>0.30220023558410281</v>
      </c>
      <c r="AJ23" s="212">
        <v>0</v>
      </c>
      <c r="AK23" s="46">
        <f t="shared" si="24"/>
        <v>0.30619384772558983</v>
      </c>
      <c r="AL23" s="47">
        <f t="shared" si="25"/>
        <v>7.8951766828926073E-2</v>
      </c>
      <c r="AM23" s="44">
        <f t="shared" si="26"/>
        <v>0.11847331857925048</v>
      </c>
      <c r="AN23" s="45">
        <f t="shared" si="27"/>
        <v>0.19997441494598545</v>
      </c>
      <c r="AO23" s="45">
        <f t="shared" si="28"/>
        <v>0.15612897228893</v>
      </c>
      <c r="AP23" s="46">
        <f t="shared" si="29"/>
        <v>0.15819223527138862</v>
      </c>
      <c r="AQ23" s="47">
        <f t="shared" si="30"/>
        <v>4.0789704189244297E-2</v>
      </c>
      <c r="AR23" s="44">
        <v>3.517271828296912</v>
      </c>
      <c r="AS23" s="45">
        <v>7.4193225711450719</v>
      </c>
      <c r="AT23" s="45">
        <v>7.4355321520029953</v>
      </c>
      <c r="AU23" s="45">
        <v>4.1682147483904544</v>
      </c>
      <c r="AV23" s="46">
        <f t="shared" si="31"/>
        <v>6.1240421838149928</v>
      </c>
      <c r="AW23" s="47">
        <f t="shared" si="32"/>
        <v>2.2575438982296223</v>
      </c>
      <c r="AX23" s="44">
        <f t="shared" si="33"/>
        <v>1.817166140692746</v>
      </c>
      <c r="AY23" s="45">
        <f t="shared" si="34"/>
        <v>3.8331247686620857</v>
      </c>
      <c r="AZ23" s="45">
        <f t="shared" si="35"/>
        <v>3.8414992995279875</v>
      </c>
      <c r="BA23" s="46">
        <f t="shared" si="36"/>
        <v>3.163930069627606</v>
      </c>
      <c r="BB23" s="47">
        <f t="shared" si="37"/>
        <v>1.1663392917165458</v>
      </c>
      <c r="BC23" s="197" t="s">
        <v>170</v>
      </c>
      <c r="BD23" s="254">
        <v>-200000000</v>
      </c>
      <c r="BE23" s="220">
        <v>60000000</v>
      </c>
      <c r="BF23" s="220">
        <v>-200000000</v>
      </c>
      <c r="BG23" s="221">
        <f t="shared" si="45"/>
        <v>-113333333.33333333</v>
      </c>
      <c r="BH23" s="213">
        <f t="shared" si="46"/>
        <v>150111069.98930269</v>
      </c>
      <c r="BI23" s="254">
        <f t="shared" si="47"/>
        <v>-103328160.54041696</v>
      </c>
      <c r="BJ23" s="220">
        <f t="shared" si="48"/>
        <v>30998448.162125088</v>
      </c>
      <c r="BK23" s="220">
        <f t="shared" si="49"/>
        <v>-103328160.54041696</v>
      </c>
      <c r="BL23" s="221">
        <f t="shared" si="50"/>
        <v>-58552624.306236275</v>
      </c>
      <c r="BM23" s="213">
        <f t="shared" si="51"/>
        <v>77553503.693742171</v>
      </c>
      <c r="BN23" s="254">
        <v>340000000</v>
      </c>
      <c r="BO23" s="220">
        <v>430000000</v>
      </c>
      <c r="BP23" s="220">
        <v>390000000</v>
      </c>
      <c r="BQ23" s="221">
        <f t="shared" si="52"/>
        <v>386666666.66666669</v>
      </c>
      <c r="BR23" s="213">
        <f t="shared" si="53"/>
        <v>45092497.528228946</v>
      </c>
      <c r="BS23" s="254">
        <f t="shared" si="54"/>
        <v>175657872.91870883</v>
      </c>
      <c r="BT23" s="220">
        <f t="shared" si="55"/>
        <v>222155545.16189647</v>
      </c>
      <c r="BU23" s="220">
        <f t="shared" si="56"/>
        <v>201489913.05381307</v>
      </c>
      <c r="BV23" s="221">
        <f t="shared" si="57"/>
        <v>199767777.04480612</v>
      </c>
      <c r="BW23" s="213">
        <f t="shared" si="58"/>
        <v>23296624.11882598</v>
      </c>
      <c r="BX23" s="44">
        <v>-1.4285714285714286</v>
      </c>
      <c r="BY23" s="45">
        <v>0.12244897959183673</v>
      </c>
      <c r="BZ23" s="45">
        <v>-1.0526315789473684</v>
      </c>
      <c r="CA23" s="46">
        <f t="shared" si="68"/>
        <v>-0.78625134264232022</v>
      </c>
      <c r="CB23" s="47">
        <f t="shared" si="69"/>
        <v>0.80909511143943114</v>
      </c>
      <c r="CC23" s="44">
        <v>2.4285714285714284</v>
      </c>
      <c r="CD23" s="45">
        <v>0.87755102040816324</v>
      </c>
      <c r="CE23" s="45">
        <v>2.0526315789473686</v>
      </c>
      <c r="CF23" s="46">
        <f t="shared" si="70"/>
        <v>1.7862513426423199</v>
      </c>
      <c r="CG23" s="47">
        <f t="shared" si="71"/>
        <v>0.8090951114394318</v>
      </c>
      <c r="CH23" s="122">
        <f t="shared" si="3"/>
        <v>363.28333333320916</v>
      </c>
      <c r="CI23" s="55">
        <f t="shared" si="38"/>
        <v>51.632004916367485</v>
      </c>
      <c r="CJ23" s="55">
        <f t="shared" si="4"/>
        <v>1.9355807647593775</v>
      </c>
      <c r="CK23" s="55">
        <f t="shared" si="5"/>
        <v>51.66408027020848</v>
      </c>
      <c r="CL23" s="55">
        <f t="shared" si="6"/>
        <v>0.51664080270208479</v>
      </c>
      <c r="CV23" s="5">
        <v>0.11847331857925048</v>
      </c>
      <c r="CW23" s="5">
        <v>0.19997441494598545</v>
      </c>
      <c r="CX23" s="5">
        <v>0.15612897228893</v>
      </c>
      <c r="CY23" s="5">
        <v>0.15819223527138862</v>
      </c>
      <c r="CZ23" s="5">
        <v>4.0789704189244297E-2</v>
      </c>
      <c r="DA23" s="5">
        <v>5.55</v>
      </c>
      <c r="DB23" s="5">
        <v>4.9400000000000004</v>
      </c>
      <c r="DC23" s="5">
        <v>4.8899999999999997</v>
      </c>
      <c r="DD23" s="5">
        <v>4.7</v>
      </c>
      <c r="DE23" s="5">
        <v>5.126666666666666</v>
      </c>
      <c r="DF23" s="5">
        <v>0.36746881953892802</v>
      </c>
      <c r="DG23" s="5">
        <f t="shared" si="39"/>
        <v>2.3705149955926749E-3</v>
      </c>
      <c r="DH23" s="5">
        <f t="shared" si="39"/>
        <v>1.5355899280527838E-2</v>
      </c>
      <c r="DI23" s="5">
        <f t="shared" si="39"/>
        <v>1.332705074435492E-2</v>
      </c>
      <c r="DJ23" s="5">
        <f t="shared" si="40"/>
        <v>1.0351155006825144E-2</v>
      </c>
      <c r="DK23" s="5">
        <f t="shared" si="41"/>
        <v>6.985486227697125E-3</v>
      </c>
      <c r="DL23" s="5">
        <v>1.817166140692746</v>
      </c>
      <c r="DM23" s="5">
        <v>3.8331247686620857</v>
      </c>
      <c r="DN23" s="5">
        <v>3.8414992995279875</v>
      </c>
      <c r="DO23" s="5">
        <v>3.163930069627606</v>
      </c>
      <c r="DP23" s="5">
        <v>1.1663392917165458</v>
      </c>
      <c r="DQ23" s="5">
        <f t="shared" si="42"/>
        <v>0.25358342382689458</v>
      </c>
      <c r="DR23" s="5">
        <f t="shared" si="42"/>
        <v>1.5249776670637447</v>
      </c>
      <c r="DS23" s="5">
        <f t="shared" si="42"/>
        <v>1.6354022994563422</v>
      </c>
      <c r="DT23" s="5">
        <f t="shared" si="43"/>
        <v>1.1379877967823271</v>
      </c>
      <c r="DU23" s="5">
        <f t="shared" si="44"/>
        <v>0.76790410927197117</v>
      </c>
    </row>
    <row r="24" spans="1:125" ht="18.75" x14ac:dyDescent="0.35">
      <c r="C24" s="48" t="s">
        <v>25</v>
      </c>
      <c r="D24" s="255"/>
      <c r="E24" s="55">
        <f>LN(LOGEST(E6:E9,$C$6:$C$9))</f>
        <v>0.14648300943138309</v>
      </c>
      <c r="F24" s="55">
        <f t="shared" ref="F24:G24" si="72">LN(LOGEST(F6:F9,$C$6:$C$9))</f>
        <v>0.14740901564656722</v>
      </c>
      <c r="G24" s="55">
        <f t="shared" si="72"/>
        <v>0.14423859734101685</v>
      </c>
      <c r="H24" s="55"/>
      <c r="I24" s="111">
        <f>AVERAGE(E24:G24)</f>
        <v>0.1460435408063224</v>
      </c>
      <c r="J24" s="95">
        <f>STDEV(E24:G24)</f>
        <v>1.6302569007220246E-3</v>
      </c>
      <c r="K24" s="93">
        <f>LN(LOGEST(K6:K9,$C$6:$C$9))</f>
        <v>0.1439378805147101</v>
      </c>
      <c r="L24" s="256">
        <f t="shared" ref="L24:M24" si="73">LN(LOGEST(L6:L9,$C$6:$C$9))</f>
        <v>0.14486388672989417</v>
      </c>
      <c r="M24" s="94">
        <f t="shared" si="73"/>
        <v>0.14169346842434372</v>
      </c>
      <c r="N24" s="111">
        <f>AVERAGE(K24:M24)</f>
        <v>0.14349841188964932</v>
      </c>
      <c r="O24" s="95">
        <f>STDEV(K24:M24)</f>
        <v>1.6302569007220784E-3</v>
      </c>
      <c r="T24" s="81"/>
      <c r="U24" s="120"/>
      <c r="V24" s="55"/>
      <c r="W24" s="55"/>
      <c r="X24" s="55"/>
      <c r="Y24" s="127"/>
      <c r="Z24" s="55"/>
      <c r="AA24" s="123" t="s">
        <v>87</v>
      </c>
      <c r="AB24" s="55">
        <f>V6-V9</f>
        <v>0.82737198188966943</v>
      </c>
      <c r="AC24" s="55">
        <f t="shared" ref="AC24:AD24" si="74">W6-W9</f>
        <v>2.2466320876283596</v>
      </c>
      <c r="AD24" s="55">
        <f t="shared" si="74"/>
        <v>1.5391489005010115</v>
      </c>
      <c r="AE24" s="111">
        <f t="shared" si="22"/>
        <v>1.5377176566730135</v>
      </c>
      <c r="AF24" s="51">
        <f t="shared" si="23"/>
        <v>0.70963113536507194</v>
      </c>
      <c r="AJ24" s="50"/>
      <c r="AL24" s="123" t="s">
        <v>148</v>
      </c>
      <c r="AM24" s="55">
        <f>AG9-AG6</f>
        <v>3.1541212626768096</v>
      </c>
      <c r="AN24" s="55">
        <f t="shared" ref="AN24:AO24" si="75">AH9-AH6</f>
        <v>4.502544548842736</v>
      </c>
      <c r="AO24" s="55">
        <f t="shared" si="75"/>
        <v>4.4765842805716556</v>
      </c>
      <c r="AP24" s="111">
        <f>AVERAGE(AM24:AO24)</f>
        <v>4.0444166973637339</v>
      </c>
      <c r="AQ24" s="51">
        <f>STDEV(AM24:AO24)</f>
        <v>0.77112771617317866</v>
      </c>
      <c r="AW24" s="215"/>
      <c r="AX24" s="55">
        <f>AR9-AR6</f>
        <v>0.42444534432897058</v>
      </c>
      <c r="AY24" s="55">
        <f t="shared" ref="AY24:AZ24" si="76">AS9-AS6</f>
        <v>0.28859169787237143</v>
      </c>
      <c r="AZ24" s="55">
        <f t="shared" si="76"/>
        <v>0.2341332957811405</v>
      </c>
      <c r="BA24" s="111">
        <f>AVERAGE(AX24:AZ24)</f>
        <v>0.31572344599416086</v>
      </c>
      <c r="BB24" s="51">
        <f>STDEV(AX24:AZ24)</f>
        <v>9.8014120272163163E-2</v>
      </c>
    </row>
    <row r="25" spans="1:125" ht="18" x14ac:dyDescent="0.35">
      <c r="A25" s="52" t="s">
        <v>27</v>
      </c>
      <c r="B25" s="53"/>
      <c r="C25" s="54" t="s">
        <v>28</v>
      </c>
      <c r="D25" s="189"/>
      <c r="I25" s="81"/>
      <c r="J25" s="81"/>
      <c r="K25" s="93">
        <f>K23*0.46</f>
        <v>0.22339548308838147</v>
      </c>
      <c r="L25" s="94">
        <f>L23*0.46</f>
        <v>0.30182155693855794</v>
      </c>
      <c r="M25" s="94">
        <f t="shared" ref="M25" si="77">M23*0.46</f>
        <v>0.23385229293507168</v>
      </c>
      <c r="N25" s="111">
        <f>AVERAGE(K25:M25)</f>
        <v>0.25302311098733704</v>
      </c>
      <c r="O25" s="95">
        <f>STDEV(K25:M25)</f>
        <v>4.2582889327559062E-2</v>
      </c>
      <c r="T25" s="81"/>
      <c r="U25" s="86"/>
      <c r="Y25" s="127"/>
      <c r="AA25" s="54" t="s">
        <v>29</v>
      </c>
      <c r="AB25" s="55">
        <f>(E9-E6)*0.46</f>
        <v>5.5660000000000008E-2</v>
      </c>
      <c r="AC25" s="55">
        <f t="shared" ref="AC25:AD25" si="78">(F9-F6)*0.46</f>
        <v>5.5660000000000001E-2</v>
      </c>
      <c r="AD25" s="55">
        <f t="shared" si="78"/>
        <v>4.9679999999999995E-2</v>
      </c>
      <c r="AE25" s="111">
        <f t="shared" si="22"/>
        <v>5.3666666666666668E-2</v>
      </c>
      <c r="AF25" s="26">
        <f t="shared" si="23"/>
        <v>3.4525546097539678E-3</v>
      </c>
      <c r="AJ25" s="50"/>
      <c r="AL25" s="54" t="s">
        <v>149</v>
      </c>
      <c r="AM25" s="55">
        <f>(AM24/1000*90.08)/(AB24/1000*180.16)</f>
        <v>1.9061083356200799</v>
      </c>
      <c r="AN25" s="55">
        <f>(AN24/1000*90.08)/(AC24/1000*180.16)</f>
        <v>1.0020653968304649</v>
      </c>
      <c r="AO25" s="55">
        <f>(AO24/1000*90.08)/(AD24/1000*180.16)</f>
        <v>1.4542401580232014</v>
      </c>
      <c r="AP25" s="111">
        <f>AVERAGE(AM25:AO25)</f>
        <v>1.4541379634912488</v>
      </c>
      <c r="AQ25" s="26">
        <f>STDEV(AM25:AO25)</f>
        <v>0.45202147805898818</v>
      </c>
      <c r="AW25" s="59"/>
      <c r="AX25" s="55">
        <f>(AX24/1000*59.04)/(AB24/1000*180.16)</f>
        <v>0.16811595810366278</v>
      </c>
      <c r="AY25" s="55">
        <f>(AY24/1000*59.04)/(AC24/1000*180.16)</f>
        <v>4.209590508177815E-2</v>
      </c>
      <c r="AZ25" s="55">
        <f>(AZ24/1000*59.04)/(AD24/1000*180.16)</f>
        <v>4.9850614682130624E-2</v>
      </c>
      <c r="BA25" s="111">
        <f>AVERAGE(AX25:AZ25)</f>
        <v>8.6687492622523857E-2</v>
      </c>
      <c r="BB25" s="26">
        <f>STDEV(AX25:AZ25)</f>
        <v>7.0625633612777058E-2</v>
      </c>
    </row>
    <row r="26" spans="1:125" ht="18" x14ac:dyDescent="0.35">
      <c r="C26" s="59"/>
      <c r="D26" s="189"/>
      <c r="J26" s="59"/>
      <c r="O26" s="69" t="s">
        <v>34</v>
      </c>
      <c r="P26" s="55">
        <f>AB25/(P6-P9)</f>
        <v>5.510891089108913E-2</v>
      </c>
      <c r="Q26" s="55">
        <f t="shared" ref="Q26:R26" si="79">AC25/(Q6-Q9)</f>
        <v>3.710666666666667E-2</v>
      </c>
      <c r="R26" s="55">
        <f t="shared" si="79"/>
        <v>3.3342281879194621E-2</v>
      </c>
      <c r="S26" s="55"/>
      <c r="T26" s="111">
        <f>AVERAGE(P26:R26)</f>
        <v>4.1852619812316805E-2</v>
      </c>
      <c r="U26" s="26">
        <f>STDEV(P26:R26)</f>
        <v>1.1633554404432554E-2</v>
      </c>
      <c r="Y26" s="127"/>
      <c r="AA26" s="54" t="s">
        <v>88</v>
      </c>
      <c r="AB26" s="55">
        <f>AB25/(AB24/1000*180.16)</f>
        <v>0.3734083446067637</v>
      </c>
      <c r="AC26" s="55">
        <f t="shared" ref="AC26:AD26" si="80">AC25/(AC24/1000*180.16)</f>
        <v>0.13751588603792131</v>
      </c>
      <c r="AD26" s="55">
        <f t="shared" si="80"/>
        <v>0.1791606286157939</v>
      </c>
      <c r="AE26" s="111">
        <f t="shared" si="22"/>
        <v>0.23002828642015963</v>
      </c>
      <c r="AF26" s="26">
        <f t="shared" si="23"/>
        <v>0.12590453510612631</v>
      </c>
      <c r="AJ26" s="98"/>
      <c r="AL26" s="60" t="s">
        <v>31</v>
      </c>
      <c r="AM26" s="55">
        <f>(AM24/1000*90.08)/AB25</f>
        <v>5.1046216913749003</v>
      </c>
      <c r="AN26" s="55">
        <f>(AN24/1000*90.08)/AC25</f>
        <v>7.2869064491511608</v>
      </c>
      <c r="AO26" s="55">
        <f>(AO24/1000*90.08)/AD25</f>
        <v>8.1169628018094766</v>
      </c>
      <c r="AP26" s="111">
        <f t="shared" ref="AP26:AP28" si="81">AVERAGE(AM26:AO26)</f>
        <v>6.8361636474451792</v>
      </c>
      <c r="AQ26" s="26">
        <f t="shared" ref="AQ26:AQ28" si="82">STDEV(AM26:AO26)</f>
        <v>1.5559326933935409</v>
      </c>
      <c r="AW26" s="59"/>
      <c r="AX26" s="55">
        <f>(AX24/1000*59.04)/AB25</f>
        <v>0.4502201424574635</v>
      </c>
      <c r="AY26" s="55">
        <f>(AY24/1000*59.04)/AC25</f>
        <v>0.30611666982365809</v>
      </c>
      <c r="AZ26" s="55">
        <f>(AZ24/1000*59.04)/AD25</f>
        <v>0.27824536600077571</v>
      </c>
      <c r="BA26" s="111">
        <f>AVERAGE(AX26:AZ26)</f>
        <v>0.34486072609396579</v>
      </c>
      <c r="BB26" s="26">
        <f>STDEV(AX26:AZ26)</f>
        <v>9.2301989992304642E-2</v>
      </c>
    </row>
    <row r="27" spans="1:125" ht="18.75" x14ac:dyDescent="0.35">
      <c r="C27" s="59"/>
      <c r="D27" s="189"/>
      <c r="J27" s="59"/>
      <c r="O27" s="69"/>
      <c r="P27" s="55"/>
      <c r="Q27" s="55"/>
      <c r="R27" s="55"/>
      <c r="S27" s="55"/>
      <c r="T27" s="111"/>
      <c r="U27" s="26"/>
      <c r="Y27" s="127"/>
      <c r="AA27" s="54" t="s">
        <v>32</v>
      </c>
      <c r="AB27" s="55">
        <f>K24*(AB24)</f>
        <v>0.11909016947045413</v>
      </c>
      <c r="AC27" s="55">
        <f t="shared" ref="AC27:AD27" si="83">L24*(AC24)</f>
        <v>0.32545585626594037</v>
      </c>
      <c r="AD27" s="55">
        <f t="shared" si="83"/>
        <v>0.21808734613350342</v>
      </c>
      <c r="AE27" s="111">
        <f t="shared" si="22"/>
        <v>0.22087779062329929</v>
      </c>
      <c r="AF27" s="26">
        <f t="shared" si="23"/>
        <v>0.10321113848311704</v>
      </c>
      <c r="AJ27" s="98"/>
      <c r="AL27" s="60"/>
      <c r="AM27" s="55">
        <f>K24*(AM24)</f>
        <v>0.45399752943608118</v>
      </c>
      <c r="AN27" s="55">
        <f t="shared" ref="AN27:AO27" si="84">L24*(AN24)</f>
        <v>0.65225610351985652</v>
      </c>
      <c r="AO27" s="55">
        <f t="shared" si="84"/>
        <v>0.63430275340809328</v>
      </c>
      <c r="AP27" s="111">
        <f t="shared" si="81"/>
        <v>0.58018546212134359</v>
      </c>
      <c r="AQ27" s="26">
        <f t="shared" si="82"/>
        <v>0.10965001806472356</v>
      </c>
      <c r="AW27" s="59"/>
      <c r="AX27" s="55">
        <f>K24*(AX24)</f>
        <v>6.109376325704835E-2</v>
      </c>
      <c r="AY27" s="55">
        <f t="shared" ref="AY27:AZ27" si="85">L24*(AY24)</f>
        <v>4.1806515031771053E-2</v>
      </c>
      <c r="AZ27" s="55">
        <f t="shared" si="85"/>
        <v>3.3175158752852561E-2</v>
      </c>
      <c r="BA27" s="111">
        <f>AVERAGE(AX27:AZ27)</f>
        <v>4.5358479013890653E-2</v>
      </c>
      <c r="BB27" s="26">
        <f>STDEV(AX27:AZ27)</f>
        <v>1.4294210557534518E-2</v>
      </c>
    </row>
    <row r="28" spans="1:125" ht="18.75" x14ac:dyDescent="0.35">
      <c r="C28" s="63"/>
      <c r="D28" s="197"/>
      <c r="E28" s="62"/>
      <c r="F28" s="62"/>
      <c r="G28" s="62"/>
      <c r="H28" s="62"/>
      <c r="I28" s="62"/>
      <c r="J28" s="63"/>
      <c r="K28" s="62"/>
      <c r="L28" s="62"/>
      <c r="M28" s="62"/>
      <c r="N28" s="62"/>
      <c r="O28" s="219"/>
      <c r="P28" s="220"/>
      <c r="Q28" s="220"/>
      <c r="R28" s="220"/>
      <c r="S28" s="62"/>
      <c r="T28" s="221"/>
      <c r="U28" s="213"/>
      <c r="V28" s="62"/>
      <c r="W28" s="62"/>
      <c r="X28" s="62"/>
      <c r="Y28" s="11"/>
      <c r="Z28" s="62"/>
      <c r="AA28" s="124" t="s">
        <v>118</v>
      </c>
      <c r="AB28" s="45">
        <f>K24*(AB24/AB25)</f>
        <v>2.1396006013376594</v>
      </c>
      <c r="AC28" s="45">
        <f t="shared" ref="AC28:AD28" si="86">L24*(AC24/AC25)</f>
        <v>5.8472126529992874</v>
      </c>
      <c r="AD28" s="45">
        <f t="shared" si="86"/>
        <v>4.3898419108998272</v>
      </c>
      <c r="AE28" s="46">
        <f t="shared" si="22"/>
        <v>4.125551721745591</v>
      </c>
      <c r="AF28" s="47">
        <f t="shared" si="23"/>
        <v>1.8678821588818235</v>
      </c>
      <c r="AG28" s="62"/>
      <c r="AH28" s="62"/>
      <c r="AI28" s="62"/>
      <c r="AJ28" s="65"/>
      <c r="AK28" s="62"/>
      <c r="AL28" s="124" t="s">
        <v>150</v>
      </c>
      <c r="AM28" s="45">
        <f>K24*(AM24/AB25)</f>
        <v>8.1566210822148957</v>
      </c>
      <c r="AN28" s="45">
        <f>L24*(AN24/AC25)</f>
        <v>11.718578934959694</v>
      </c>
      <c r="AO28" s="45">
        <f>M24*(AO24/AD25)</f>
        <v>12.767768788407677</v>
      </c>
      <c r="AP28" s="46">
        <f t="shared" si="81"/>
        <v>10.880989601860756</v>
      </c>
      <c r="AQ28" s="47">
        <f t="shared" si="82"/>
        <v>2.4169893897724353</v>
      </c>
      <c r="AR28" s="62"/>
      <c r="AS28" s="62"/>
      <c r="AT28" s="62"/>
      <c r="AU28" s="62"/>
      <c r="AV28" s="62"/>
      <c r="AW28" s="63"/>
      <c r="AX28" s="45">
        <f>K24*(AX24/AB25)</f>
        <v>1.0976242051212421</v>
      </c>
      <c r="AY28" s="45">
        <f>L24*(AY24/AC25)</f>
        <v>0.75110519280939736</v>
      </c>
      <c r="AZ28" s="45">
        <f>M24*(AZ24/AD25)</f>
        <v>0.66777694752118688</v>
      </c>
      <c r="BA28" s="46">
        <f>AVERAGE(AX28:AZ28)</f>
        <v>0.83883544848394209</v>
      </c>
      <c r="BB28" s="47">
        <f>STDEV(AX28:AZ28)</f>
        <v>0.22795748405593722</v>
      </c>
    </row>
    <row r="29" spans="1:125" x14ac:dyDescent="0.25">
      <c r="O29" s="5" t="s">
        <v>176</v>
      </c>
      <c r="P29" s="5">
        <f>((K16-K6)*0.46)/(P6-P16)</f>
        <v>0.28678426486328967</v>
      </c>
      <c r="Q29" s="5">
        <f t="shared" ref="Q29:R29" si="87">((L16-L6)*0.46)/(Q6-Q16)</f>
        <v>0.21748640382108836</v>
      </c>
      <c r="R29" s="5">
        <f t="shared" si="87"/>
        <v>0.23516525138306643</v>
      </c>
      <c r="T29" s="5">
        <f>AVERAGE(P29:R29)</f>
        <v>0.24647864002248152</v>
      </c>
      <c r="U29" s="5">
        <f>STDEV(P29:R29)</f>
        <v>3.600754029555301E-2</v>
      </c>
      <c r="Y29" s="7" t="s">
        <v>177</v>
      </c>
      <c r="AB29" s="55">
        <f>AB6-AB23</f>
        <v>10.228510846094334</v>
      </c>
      <c r="AC29" s="55">
        <f t="shared" ref="AC29:AD29" si="88">AC6-AC23</f>
        <v>14.076009115642552</v>
      </c>
      <c r="AD29" s="55">
        <f t="shared" si="88"/>
        <v>12.946436952604172</v>
      </c>
      <c r="AE29" s="55">
        <f t="shared" si="22"/>
        <v>12.416985638113687</v>
      </c>
      <c r="AF29" s="257">
        <f t="shared" si="23"/>
        <v>1.9776374173128655</v>
      </c>
    </row>
    <row r="30" spans="1:125" x14ac:dyDescent="0.25">
      <c r="T30" s="5">
        <f>T29/10^-1</f>
        <v>2.4647864002248152</v>
      </c>
      <c r="U30" s="5">
        <f>U29/10^-1</f>
        <v>0.36007540295553009</v>
      </c>
    </row>
    <row r="62" spans="2:49" x14ac:dyDescent="0.25">
      <c r="B62" s="145" t="s">
        <v>89</v>
      </c>
    </row>
    <row r="63" spans="2:49" x14ac:dyDescent="0.25">
      <c r="C63" s="5" t="s">
        <v>90</v>
      </c>
      <c r="D63" s="5">
        <v>1</v>
      </c>
      <c r="E63" s="5">
        <v>2</v>
      </c>
      <c r="F63" s="5">
        <v>3</v>
      </c>
      <c r="G63" s="5">
        <v>4</v>
      </c>
      <c r="H63" s="5">
        <v>5</v>
      </c>
      <c r="I63" s="5">
        <v>6</v>
      </c>
      <c r="J63" s="5">
        <v>7</v>
      </c>
      <c r="K63" s="5">
        <v>8</v>
      </c>
      <c r="L63" s="5">
        <v>9</v>
      </c>
      <c r="M63" s="5">
        <v>10</v>
      </c>
      <c r="O63" s="5">
        <v>1</v>
      </c>
      <c r="P63" s="5">
        <v>2</v>
      </c>
      <c r="Q63" s="5">
        <v>3</v>
      </c>
      <c r="R63" s="5">
        <v>4</v>
      </c>
      <c r="S63" s="5">
        <v>5</v>
      </c>
      <c r="T63" s="5">
        <v>6</v>
      </c>
      <c r="U63" s="5">
        <v>7</v>
      </c>
      <c r="V63" s="5">
        <v>8</v>
      </c>
      <c r="W63" s="5">
        <v>9</v>
      </c>
      <c r="X63" s="5">
        <v>10</v>
      </c>
      <c r="Y63" s="5" t="s">
        <v>17</v>
      </c>
      <c r="AA63" s="5" t="s">
        <v>90</v>
      </c>
      <c r="AB63" s="5">
        <v>1</v>
      </c>
      <c r="AC63" s="5">
        <v>2</v>
      </c>
      <c r="AD63" s="5">
        <v>3</v>
      </c>
      <c r="AE63" s="5">
        <v>4</v>
      </c>
      <c r="AF63" s="5">
        <v>5</v>
      </c>
      <c r="AG63" s="5">
        <v>6</v>
      </c>
      <c r="AH63" s="5">
        <v>7</v>
      </c>
      <c r="AI63" s="5">
        <v>8</v>
      </c>
      <c r="AJ63" s="5">
        <v>9</v>
      </c>
      <c r="AK63" s="5">
        <v>10</v>
      </c>
      <c r="AL63" s="5" t="s">
        <v>17</v>
      </c>
      <c r="AM63" s="5">
        <v>1</v>
      </c>
      <c r="AN63" s="5">
        <v>2</v>
      </c>
      <c r="AO63" s="5">
        <v>3</v>
      </c>
      <c r="AP63" s="5">
        <v>4</v>
      </c>
      <c r="AQ63" s="5">
        <v>5</v>
      </c>
      <c r="AR63" s="5">
        <v>6</v>
      </c>
      <c r="AS63" s="5">
        <v>7</v>
      </c>
      <c r="AT63" s="5">
        <v>8</v>
      </c>
      <c r="AU63" s="5">
        <v>9</v>
      </c>
      <c r="AV63" s="5">
        <v>10</v>
      </c>
      <c r="AW63" s="5" t="s">
        <v>17</v>
      </c>
    </row>
    <row r="64" spans="2:49" x14ac:dyDescent="0.25">
      <c r="B64" s="5" t="s">
        <v>92</v>
      </c>
      <c r="C64" s="5">
        <v>5</v>
      </c>
      <c r="D64" s="5">
        <v>2</v>
      </c>
      <c r="E64" s="5">
        <v>4</v>
      </c>
      <c r="F64" s="5">
        <v>6</v>
      </c>
      <c r="G64" s="5">
        <v>4</v>
      </c>
      <c r="H64" s="5">
        <v>3</v>
      </c>
      <c r="I64" s="5">
        <v>2</v>
      </c>
      <c r="J64" s="5">
        <v>6</v>
      </c>
      <c r="K64" s="5">
        <v>3</v>
      </c>
      <c r="L64" s="5">
        <v>3</v>
      </c>
      <c r="M64" s="5">
        <v>7</v>
      </c>
      <c r="O64" s="146">
        <f t="shared" ref="O64:X64" si="89">(D64/0.01)*10^($C$64)</f>
        <v>20000000</v>
      </c>
      <c r="P64" s="146">
        <f t="shared" si="89"/>
        <v>40000000</v>
      </c>
      <c r="Q64" s="146">
        <f t="shared" si="89"/>
        <v>60000000</v>
      </c>
      <c r="R64" s="146">
        <f t="shared" si="89"/>
        <v>40000000</v>
      </c>
      <c r="S64" s="146">
        <f t="shared" si="89"/>
        <v>30000000</v>
      </c>
      <c r="T64" s="146">
        <f t="shared" si="89"/>
        <v>20000000</v>
      </c>
      <c r="U64" s="146">
        <f t="shared" si="89"/>
        <v>60000000</v>
      </c>
      <c r="V64" s="146">
        <f t="shared" si="89"/>
        <v>30000000</v>
      </c>
      <c r="W64" s="146">
        <f t="shared" si="89"/>
        <v>30000000</v>
      </c>
      <c r="X64" s="146">
        <f t="shared" si="89"/>
        <v>70000000</v>
      </c>
      <c r="Y64" s="146">
        <f t="shared" ref="Y64:Y87" si="90">AVERAGE(O64:X64)</f>
        <v>40000000</v>
      </c>
      <c r="Z64" s="5" t="s">
        <v>92</v>
      </c>
    </row>
    <row r="65" spans="2:49" x14ac:dyDescent="0.25">
      <c r="B65" s="5" t="s">
        <v>93</v>
      </c>
      <c r="C65" s="5">
        <v>5</v>
      </c>
      <c r="D65" s="5">
        <v>6</v>
      </c>
      <c r="E65" s="5">
        <v>6</v>
      </c>
      <c r="F65" s="5">
        <v>1</v>
      </c>
      <c r="G65" s="5">
        <v>6</v>
      </c>
      <c r="H65" s="5">
        <v>5</v>
      </c>
      <c r="I65" s="5">
        <v>4</v>
      </c>
      <c r="J65" s="5">
        <v>2</v>
      </c>
      <c r="K65" s="5">
        <v>3</v>
      </c>
      <c r="L65" s="5">
        <v>4</v>
      </c>
      <c r="M65" s="5">
        <v>2</v>
      </c>
      <c r="O65" s="146">
        <f t="shared" ref="O65:X65" si="91">(D65/0.01)*10^($C$65)</f>
        <v>60000000</v>
      </c>
      <c r="P65" s="146">
        <f t="shared" si="91"/>
        <v>60000000</v>
      </c>
      <c r="Q65" s="146">
        <f t="shared" si="91"/>
        <v>10000000</v>
      </c>
      <c r="R65" s="146">
        <f t="shared" si="91"/>
        <v>60000000</v>
      </c>
      <c r="S65" s="146">
        <f t="shared" si="91"/>
        <v>50000000</v>
      </c>
      <c r="T65" s="146">
        <f t="shared" si="91"/>
        <v>40000000</v>
      </c>
      <c r="U65" s="146">
        <f t="shared" si="91"/>
        <v>20000000</v>
      </c>
      <c r="V65" s="146">
        <f t="shared" si="91"/>
        <v>30000000</v>
      </c>
      <c r="W65" s="146">
        <f t="shared" si="91"/>
        <v>40000000</v>
      </c>
      <c r="X65" s="146">
        <f t="shared" si="91"/>
        <v>20000000</v>
      </c>
      <c r="Y65" s="146">
        <f t="shared" si="90"/>
        <v>39000000</v>
      </c>
      <c r="Z65" s="5" t="s">
        <v>93</v>
      </c>
    </row>
    <row r="66" spans="2:49" x14ac:dyDescent="0.25">
      <c r="B66" s="5" t="s">
        <v>94</v>
      </c>
      <c r="C66" s="5">
        <v>5</v>
      </c>
      <c r="D66" s="5">
        <v>4</v>
      </c>
      <c r="E66" s="5">
        <v>2</v>
      </c>
      <c r="F66" s="5">
        <v>4</v>
      </c>
      <c r="G66" s="5">
        <v>5</v>
      </c>
      <c r="H66" s="5">
        <v>5</v>
      </c>
      <c r="I66" s="5">
        <v>3</v>
      </c>
      <c r="J66" s="5">
        <v>5</v>
      </c>
      <c r="K66" s="5">
        <v>1</v>
      </c>
      <c r="L66" s="5">
        <v>1</v>
      </c>
      <c r="M66" s="5">
        <v>4</v>
      </c>
      <c r="O66" s="146">
        <f t="shared" ref="O66:X66" si="92">(D66/0.01)*10^($C$66)</f>
        <v>40000000</v>
      </c>
      <c r="P66" s="146">
        <f t="shared" si="92"/>
        <v>20000000</v>
      </c>
      <c r="Q66" s="146">
        <f t="shared" si="92"/>
        <v>40000000</v>
      </c>
      <c r="R66" s="146">
        <f t="shared" si="92"/>
        <v>50000000</v>
      </c>
      <c r="S66" s="146">
        <f t="shared" si="92"/>
        <v>50000000</v>
      </c>
      <c r="T66" s="146">
        <f t="shared" si="92"/>
        <v>30000000</v>
      </c>
      <c r="U66" s="146">
        <f t="shared" si="92"/>
        <v>50000000</v>
      </c>
      <c r="V66" s="146">
        <f t="shared" si="92"/>
        <v>10000000</v>
      </c>
      <c r="W66" s="146">
        <f t="shared" si="92"/>
        <v>10000000</v>
      </c>
      <c r="X66" s="146">
        <f t="shared" si="92"/>
        <v>40000000</v>
      </c>
      <c r="Y66" s="146">
        <f t="shared" si="90"/>
        <v>34000000</v>
      </c>
      <c r="Z66" s="5" t="s">
        <v>94</v>
      </c>
    </row>
    <row r="67" spans="2:49" x14ac:dyDescent="0.25">
      <c r="B67" s="5" t="s">
        <v>98</v>
      </c>
      <c r="C67" s="5">
        <v>5</v>
      </c>
      <c r="D67" s="5">
        <v>5</v>
      </c>
      <c r="E67" s="5">
        <v>8</v>
      </c>
      <c r="F67" s="5">
        <v>6</v>
      </c>
      <c r="G67" s="5">
        <v>12</v>
      </c>
      <c r="H67" s="5">
        <v>4</v>
      </c>
      <c r="I67" s="5">
        <v>3</v>
      </c>
      <c r="J67" s="5">
        <v>10</v>
      </c>
      <c r="K67" s="5">
        <v>10</v>
      </c>
      <c r="L67" s="5">
        <v>4</v>
      </c>
      <c r="M67" s="5">
        <v>11</v>
      </c>
      <c r="O67" s="146">
        <f t="shared" ref="O67:X67" si="93">(D67/0.01)*10^($C$67)</f>
        <v>50000000</v>
      </c>
      <c r="P67" s="146">
        <f t="shared" si="93"/>
        <v>80000000</v>
      </c>
      <c r="Q67" s="146">
        <f t="shared" si="93"/>
        <v>60000000</v>
      </c>
      <c r="R67" s="146">
        <f t="shared" si="93"/>
        <v>120000000</v>
      </c>
      <c r="S67" s="146">
        <f t="shared" si="93"/>
        <v>40000000</v>
      </c>
      <c r="T67" s="146">
        <f t="shared" si="93"/>
        <v>30000000</v>
      </c>
      <c r="U67" s="146">
        <f t="shared" si="93"/>
        <v>100000000</v>
      </c>
      <c r="V67" s="146">
        <f t="shared" si="93"/>
        <v>100000000</v>
      </c>
      <c r="W67" s="146">
        <f t="shared" si="93"/>
        <v>40000000</v>
      </c>
      <c r="X67" s="146">
        <f t="shared" si="93"/>
        <v>110000000</v>
      </c>
      <c r="Y67" s="146">
        <f t="shared" si="90"/>
        <v>73000000</v>
      </c>
      <c r="Z67" s="5" t="s">
        <v>98</v>
      </c>
    </row>
    <row r="68" spans="2:49" x14ac:dyDescent="0.25">
      <c r="B68" s="5" t="s">
        <v>99</v>
      </c>
      <c r="C68" s="5">
        <v>5</v>
      </c>
      <c r="D68" s="5">
        <v>11</v>
      </c>
      <c r="E68" s="5">
        <v>13</v>
      </c>
      <c r="F68" s="5">
        <v>7</v>
      </c>
      <c r="G68" s="5">
        <v>8</v>
      </c>
      <c r="H68" s="5">
        <v>11</v>
      </c>
      <c r="I68" s="5">
        <v>7</v>
      </c>
      <c r="J68" s="5">
        <v>9</v>
      </c>
      <c r="K68" s="5">
        <v>11</v>
      </c>
      <c r="L68" s="5">
        <v>6</v>
      </c>
      <c r="M68" s="5">
        <v>6</v>
      </c>
      <c r="O68" s="146">
        <f t="shared" ref="O68:X68" si="94">(D68/0.01)*10^($C$68)</f>
        <v>110000000</v>
      </c>
      <c r="P68" s="146">
        <f t="shared" si="94"/>
        <v>130000000</v>
      </c>
      <c r="Q68" s="146">
        <f t="shared" si="94"/>
        <v>70000000</v>
      </c>
      <c r="R68" s="146">
        <f t="shared" si="94"/>
        <v>80000000</v>
      </c>
      <c r="S68" s="146">
        <f t="shared" si="94"/>
        <v>110000000</v>
      </c>
      <c r="T68" s="146">
        <f t="shared" si="94"/>
        <v>70000000</v>
      </c>
      <c r="U68" s="146">
        <f t="shared" si="94"/>
        <v>90000000</v>
      </c>
      <c r="V68" s="146">
        <f t="shared" si="94"/>
        <v>110000000</v>
      </c>
      <c r="W68" s="146">
        <f t="shared" si="94"/>
        <v>60000000</v>
      </c>
      <c r="X68" s="146">
        <f t="shared" si="94"/>
        <v>60000000</v>
      </c>
      <c r="Y68" s="146">
        <f t="shared" si="90"/>
        <v>89000000</v>
      </c>
      <c r="Z68" s="5" t="s">
        <v>99</v>
      </c>
    </row>
    <row r="69" spans="2:49" x14ac:dyDescent="0.25">
      <c r="B69" s="5" t="s">
        <v>100</v>
      </c>
      <c r="C69" s="5">
        <v>5</v>
      </c>
      <c r="D69" s="5">
        <v>4</v>
      </c>
      <c r="E69" s="5">
        <v>12</v>
      </c>
      <c r="F69" s="5">
        <v>11</v>
      </c>
      <c r="G69" s="5">
        <v>5</v>
      </c>
      <c r="H69" s="5">
        <v>10</v>
      </c>
      <c r="I69" s="5">
        <v>12</v>
      </c>
      <c r="J69" s="5">
        <v>5</v>
      </c>
      <c r="K69" s="5">
        <v>11</v>
      </c>
      <c r="L69" s="5">
        <v>7</v>
      </c>
      <c r="M69" s="5">
        <v>8</v>
      </c>
      <c r="O69" s="146">
        <f t="shared" ref="O69:X69" si="95">(D69/0.01)*10^($C$69)</f>
        <v>40000000</v>
      </c>
      <c r="P69" s="146">
        <f t="shared" si="95"/>
        <v>120000000</v>
      </c>
      <c r="Q69" s="146">
        <f t="shared" si="95"/>
        <v>110000000</v>
      </c>
      <c r="R69" s="146">
        <f t="shared" si="95"/>
        <v>50000000</v>
      </c>
      <c r="S69" s="146">
        <f t="shared" si="95"/>
        <v>100000000</v>
      </c>
      <c r="T69" s="146">
        <f t="shared" si="95"/>
        <v>120000000</v>
      </c>
      <c r="U69" s="146">
        <f t="shared" si="95"/>
        <v>50000000</v>
      </c>
      <c r="V69" s="146">
        <f t="shared" si="95"/>
        <v>110000000</v>
      </c>
      <c r="W69" s="146">
        <f t="shared" si="95"/>
        <v>70000000</v>
      </c>
      <c r="X69" s="146">
        <f t="shared" si="95"/>
        <v>80000000</v>
      </c>
      <c r="Y69" s="146">
        <f t="shared" si="90"/>
        <v>85000000</v>
      </c>
      <c r="Z69" s="5" t="s">
        <v>100</v>
      </c>
    </row>
    <row r="70" spans="2:49" x14ac:dyDescent="0.25">
      <c r="B70" s="5" t="s">
        <v>104</v>
      </c>
      <c r="C70" s="5">
        <v>5</v>
      </c>
      <c r="D70" s="5">
        <v>22</v>
      </c>
      <c r="E70" s="5">
        <v>19</v>
      </c>
      <c r="F70" s="5">
        <v>21</v>
      </c>
      <c r="G70" s="5">
        <v>29</v>
      </c>
      <c r="H70" s="5">
        <v>17</v>
      </c>
      <c r="I70" s="5">
        <v>18</v>
      </c>
      <c r="J70" s="5">
        <v>18</v>
      </c>
      <c r="K70" s="5">
        <v>18</v>
      </c>
      <c r="L70" s="5">
        <v>29</v>
      </c>
      <c r="M70" s="5">
        <v>25</v>
      </c>
      <c r="N70" s="5">
        <f>AVERAGE(D70:M70)</f>
        <v>21.6</v>
      </c>
      <c r="O70" s="146">
        <f t="shared" ref="O70:X70" si="96">(D70/0.01)*10^($C$70)</f>
        <v>220000000</v>
      </c>
      <c r="P70" s="146">
        <f t="shared" si="96"/>
        <v>190000000</v>
      </c>
      <c r="Q70" s="146">
        <f t="shared" si="96"/>
        <v>210000000</v>
      </c>
      <c r="R70" s="146">
        <f t="shared" si="96"/>
        <v>290000000</v>
      </c>
      <c r="S70" s="146">
        <f t="shared" si="96"/>
        <v>170000000</v>
      </c>
      <c r="T70" s="146">
        <f t="shared" si="96"/>
        <v>180000000</v>
      </c>
      <c r="U70" s="146">
        <f t="shared" si="96"/>
        <v>180000000</v>
      </c>
      <c r="V70" s="146">
        <f t="shared" si="96"/>
        <v>180000000</v>
      </c>
      <c r="W70" s="146">
        <f t="shared" si="96"/>
        <v>290000000</v>
      </c>
      <c r="X70" s="146">
        <f t="shared" si="96"/>
        <v>250000000</v>
      </c>
      <c r="Y70" s="146">
        <f t="shared" si="90"/>
        <v>216000000</v>
      </c>
      <c r="Z70" s="5" t="s">
        <v>104</v>
      </c>
      <c r="AA70" s="5">
        <v>6</v>
      </c>
      <c r="AB70" s="5">
        <v>2</v>
      </c>
      <c r="AC70" s="5">
        <v>8</v>
      </c>
      <c r="AD70" s="5">
        <v>3</v>
      </c>
      <c r="AE70" s="5">
        <v>5</v>
      </c>
      <c r="AF70" s="5">
        <v>4</v>
      </c>
      <c r="AG70" s="5">
        <v>1</v>
      </c>
      <c r="AH70" s="5">
        <v>4</v>
      </c>
      <c r="AI70" s="5">
        <v>2</v>
      </c>
      <c r="AJ70" s="5">
        <v>1</v>
      </c>
      <c r="AK70" s="5">
        <v>4</v>
      </c>
      <c r="AL70" s="5">
        <f>AVERAGE(AB70:AK70)</f>
        <v>3.4</v>
      </c>
      <c r="AM70" s="146">
        <f t="shared" ref="AM70:AV70" si="97">(AB70/0.01)*10^($AA$70)</f>
        <v>200000000</v>
      </c>
      <c r="AN70" s="146">
        <f t="shared" si="97"/>
        <v>800000000</v>
      </c>
      <c r="AO70" s="146">
        <f t="shared" si="97"/>
        <v>300000000</v>
      </c>
      <c r="AP70" s="146">
        <f t="shared" si="97"/>
        <v>500000000</v>
      </c>
      <c r="AQ70" s="146">
        <f t="shared" si="97"/>
        <v>400000000</v>
      </c>
      <c r="AR70" s="146">
        <f t="shared" si="97"/>
        <v>100000000</v>
      </c>
      <c r="AS70" s="146">
        <f t="shared" si="97"/>
        <v>400000000</v>
      </c>
      <c r="AT70" s="146">
        <f t="shared" si="97"/>
        <v>200000000</v>
      </c>
      <c r="AU70" s="146">
        <f t="shared" si="97"/>
        <v>100000000</v>
      </c>
      <c r="AV70" s="146">
        <f t="shared" si="97"/>
        <v>400000000</v>
      </c>
      <c r="AW70" s="146">
        <f>AVERAGE(AM70:AV70)</f>
        <v>340000000</v>
      </c>
    </row>
    <row r="71" spans="2:49" x14ac:dyDescent="0.25">
      <c r="B71" s="5" t="s">
        <v>105</v>
      </c>
      <c r="C71" s="5">
        <v>5</v>
      </c>
      <c r="D71" s="5">
        <v>15</v>
      </c>
      <c r="E71" s="5">
        <v>14</v>
      </c>
      <c r="F71" s="5">
        <v>18</v>
      </c>
      <c r="G71" s="5">
        <v>11</v>
      </c>
      <c r="H71" s="5">
        <v>15</v>
      </c>
      <c r="I71" s="5">
        <v>15</v>
      </c>
      <c r="J71" s="5">
        <v>14</v>
      </c>
      <c r="K71" s="5">
        <v>13</v>
      </c>
      <c r="L71" s="5">
        <v>14</v>
      </c>
      <c r="M71" s="5">
        <v>6</v>
      </c>
      <c r="O71" s="146">
        <f t="shared" ref="O71:X71" si="98">(D71/0.01)*10^($C$71)</f>
        <v>150000000</v>
      </c>
      <c r="P71" s="146">
        <f t="shared" si="98"/>
        <v>140000000</v>
      </c>
      <c r="Q71" s="146">
        <f t="shared" si="98"/>
        <v>180000000</v>
      </c>
      <c r="R71" s="146">
        <f t="shared" si="98"/>
        <v>110000000</v>
      </c>
      <c r="S71" s="146">
        <f t="shared" si="98"/>
        <v>150000000</v>
      </c>
      <c r="T71" s="146">
        <f t="shared" si="98"/>
        <v>150000000</v>
      </c>
      <c r="U71" s="146">
        <f t="shared" si="98"/>
        <v>140000000</v>
      </c>
      <c r="V71" s="146">
        <f t="shared" si="98"/>
        <v>130000000</v>
      </c>
      <c r="W71" s="146">
        <f t="shared" si="98"/>
        <v>140000000</v>
      </c>
      <c r="X71" s="146">
        <f t="shared" si="98"/>
        <v>60000000</v>
      </c>
      <c r="Y71" s="146">
        <f t="shared" si="90"/>
        <v>135000000</v>
      </c>
      <c r="Z71" s="5" t="s">
        <v>105</v>
      </c>
      <c r="AM71" s="146"/>
      <c r="AN71" s="146"/>
      <c r="AO71" s="146"/>
      <c r="AP71" s="146"/>
      <c r="AQ71" s="146"/>
      <c r="AR71" s="146"/>
      <c r="AS71" s="146"/>
      <c r="AT71" s="146"/>
      <c r="AU71" s="146"/>
      <c r="AV71" s="146"/>
      <c r="AW71" s="146"/>
    </row>
    <row r="72" spans="2:49" x14ac:dyDescent="0.25">
      <c r="B72" s="5" t="s">
        <v>106</v>
      </c>
      <c r="C72" s="5">
        <v>5</v>
      </c>
      <c r="D72" s="5">
        <v>9</v>
      </c>
      <c r="E72" s="5">
        <v>13</v>
      </c>
      <c r="F72" s="5">
        <v>6</v>
      </c>
      <c r="G72" s="5">
        <v>15</v>
      </c>
      <c r="H72" s="5">
        <v>12</v>
      </c>
      <c r="I72" s="5">
        <v>7</v>
      </c>
      <c r="J72" s="5">
        <v>9</v>
      </c>
      <c r="K72" s="5">
        <v>10</v>
      </c>
      <c r="L72" s="5">
        <v>17</v>
      </c>
      <c r="M72" s="5">
        <v>12</v>
      </c>
      <c r="O72" s="146">
        <f t="shared" ref="O72:X72" si="99">(D72/0.01)*10^($C$72)</f>
        <v>90000000</v>
      </c>
      <c r="P72" s="146">
        <f t="shared" si="99"/>
        <v>130000000</v>
      </c>
      <c r="Q72" s="146">
        <f t="shared" si="99"/>
        <v>60000000</v>
      </c>
      <c r="R72" s="146">
        <f t="shared" si="99"/>
        <v>150000000</v>
      </c>
      <c r="S72" s="146">
        <f t="shared" si="99"/>
        <v>120000000</v>
      </c>
      <c r="T72" s="146">
        <f t="shared" si="99"/>
        <v>70000000</v>
      </c>
      <c r="U72" s="146">
        <f t="shared" si="99"/>
        <v>90000000</v>
      </c>
      <c r="V72" s="146">
        <f t="shared" si="99"/>
        <v>100000000</v>
      </c>
      <c r="W72" s="146">
        <f t="shared" si="99"/>
        <v>170000000</v>
      </c>
      <c r="X72" s="146">
        <f t="shared" si="99"/>
        <v>120000000</v>
      </c>
      <c r="Y72" s="146">
        <f t="shared" si="90"/>
        <v>110000000</v>
      </c>
      <c r="Z72" s="5" t="s">
        <v>106</v>
      </c>
      <c r="AM72" s="146"/>
      <c r="AN72" s="146"/>
      <c r="AO72" s="146"/>
      <c r="AP72" s="146"/>
      <c r="AQ72" s="146"/>
      <c r="AR72" s="146"/>
      <c r="AS72" s="146"/>
      <c r="AT72" s="146"/>
      <c r="AU72" s="146"/>
      <c r="AV72" s="146"/>
      <c r="AW72" s="146"/>
    </row>
    <row r="73" spans="2:49" x14ac:dyDescent="0.25">
      <c r="B73" s="5" t="s">
        <v>110</v>
      </c>
      <c r="C73" s="5">
        <v>5</v>
      </c>
      <c r="D73" s="5">
        <v>20</v>
      </c>
      <c r="E73" s="5">
        <v>20</v>
      </c>
      <c r="F73" s="5">
        <v>22</v>
      </c>
      <c r="G73" s="5">
        <v>19</v>
      </c>
      <c r="H73" s="5">
        <v>25</v>
      </c>
      <c r="I73" s="5">
        <v>25</v>
      </c>
      <c r="J73" s="5">
        <v>21</v>
      </c>
      <c r="K73" s="5">
        <v>19</v>
      </c>
      <c r="L73" s="5">
        <v>22</v>
      </c>
      <c r="M73" s="5">
        <v>23</v>
      </c>
      <c r="N73" s="5">
        <f t="shared" ref="N73:N81" si="100">AVERAGE(D73:M73)</f>
        <v>21.6</v>
      </c>
      <c r="O73" s="146">
        <f t="shared" ref="O73:X73" si="101">(D73/0.01)*10^($C$73)</f>
        <v>200000000</v>
      </c>
      <c r="P73" s="146">
        <f t="shared" si="101"/>
        <v>200000000</v>
      </c>
      <c r="Q73" s="146">
        <f t="shared" si="101"/>
        <v>220000000</v>
      </c>
      <c r="R73" s="146">
        <f t="shared" si="101"/>
        <v>190000000</v>
      </c>
      <c r="S73" s="146">
        <f t="shared" si="101"/>
        <v>250000000</v>
      </c>
      <c r="T73" s="146">
        <f t="shared" si="101"/>
        <v>250000000</v>
      </c>
      <c r="U73" s="146">
        <f t="shared" si="101"/>
        <v>210000000</v>
      </c>
      <c r="V73" s="146">
        <f t="shared" si="101"/>
        <v>190000000</v>
      </c>
      <c r="W73" s="146">
        <f t="shared" si="101"/>
        <v>220000000</v>
      </c>
      <c r="X73" s="146">
        <f t="shared" si="101"/>
        <v>230000000</v>
      </c>
      <c r="Y73" s="146">
        <f t="shared" si="90"/>
        <v>216000000</v>
      </c>
      <c r="Z73" s="5" t="s">
        <v>110</v>
      </c>
      <c r="AA73" s="5">
        <v>6</v>
      </c>
      <c r="AB73" s="5">
        <v>1</v>
      </c>
      <c r="AC73" s="5">
        <v>7</v>
      </c>
      <c r="AD73" s="5">
        <v>1</v>
      </c>
      <c r="AE73" s="5">
        <v>1</v>
      </c>
      <c r="AF73" s="5">
        <v>4</v>
      </c>
      <c r="AG73" s="5">
        <v>1</v>
      </c>
      <c r="AH73" s="5">
        <v>4</v>
      </c>
      <c r="AI73" s="5">
        <v>3</v>
      </c>
      <c r="AJ73" s="5">
        <v>1</v>
      </c>
      <c r="AK73" s="5">
        <v>1</v>
      </c>
      <c r="AL73" s="5">
        <f t="shared" ref="AL73:AL81" si="102">AVERAGE(AB73:AK73)</f>
        <v>2.4</v>
      </c>
      <c r="AM73" s="146">
        <f t="shared" ref="AM73:AV73" si="103">(AB73/0.01)*10^($AA$73)</f>
        <v>100000000</v>
      </c>
      <c r="AN73" s="146">
        <f t="shared" si="103"/>
        <v>700000000</v>
      </c>
      <c r="AO73" s="146">
        <f t="shared" si="103"/>
        <v>100000000</v>
      </c>
      <c r="AP73" s="146">
        <f t="shared" si="103"/>
        <v>100000000</v>
      </c>
      <c r="AQ73" s="146">
        <f t="shared" si="103"/>
        <v>400000000</v>
      </c>
      <c r="AR73" s="146">
        <f t="shared" si="103"/>
        <v>100000000</v>
      </c>
      <c r="AS73" s="146">
        <f t="shared" si="103"/>
        <v>400000000</v>
      </c>
      <c r="AT73" s="146">
        <f t="shared" si="103"/>
        <v>300000000</v>
      </c>
      <c r="AU73" s="146">
        <f t="shared" si="103"/>
        <v>100000000</v>
      </c>
      <c r="AV73" s="146">
        <f t="shared" si="103"/>
        <v>100000000</v>
      </c>
      <c r="AW73" s="146">
        <f t="shared" ref="AW73:AW81" si="104">AVERAGE(AM73:AV73)</f>
        <v>240000000</v>
      </c>
    </row>
    <row r="74" spans="2:49" x14ac:dyDescent="0.25">
      <c r="B74" s="5" t="s">
        <v>111</v>
      </c>
      <c r="C74" s="5">
        <v>5</v>
      </c>
      <c r="D74" s="5">
        <v>21</v>
      </c>
      <c r="E74" s="5">
        <v>17</v>
      </c>
      <c r="F74" s="5">
        <v>14</v>
      </c>
      <c r="G74" s="5">
        <v>17</v>
      </c>
      <c r="H74" s="5">
        <v>13</v>
      </c>
      <c r="I74" s="5">
        <v>22</v>
      </c>
      <c r="J74" s="5">
        <v>14</v>
      </c>
      <c r="K74" s="5">
        <v>19</v>
      </c>
      <c r="L74" s="5">
        <v>13</v>
      </c>
      <c r="M74" s="5">
        <v>10</v>
      </c>
      <c r="N74" s="5">
        <f t="shared" si="100"/>
        <v>16</v>
      </c>
      <c r="O74" s="146">
        <f t="shared" ref="O74:X74" si="105">(D74/0.01)*10^($C$74)</f>
        <v>210000000</v>
      </c>
      <c r="P74" s="146">
        <f t="shared" si="105"/>
        <v>170000000</v>
      </c>
      <c r="Q74" s="146">
        <f t="shared" si="105"/>
        <v>140000000</v>
      </c>
      <c r="R74" s="146">
        <f t="shared" si="105"/>
        <v>170000000</v>
      </c>
      <c r="S74" s="146">
        <f t="shared" si="105"/>
        <v>130000000</v>
      </c>
      <c r="T74" s="146">
        <f t="shared" si="105"/>
        <v>220000000</v>
      </c>
      <c r="U74" s="146">
        <f t="shared" si="105"/>
        <v>140000000</v>
      </c>
      <c r="V74" s="146">
        <f t="shared" si="105"/>
        <v>190000000</v>
      </c>
      <c r="W74" s="146">
        <f t="shared" si="105"/>
        <v>130000000</v>
      </c>
      <c r="X74" s="146">
        <f t="shared" si="105"/>
        <v>100000000</v>
      </c>
      <c r="Y74" s="146">
        <f t="shared" si="90"/>
        <v>160000000</v>
      </c>
      <c r="Z74" s="5" t="s">
        <v>111</v>
      </c>
      <c r="AA74" s="5">
        <v>6</v>
      </c>
      <c r="AB74" s="5">
        <v>1</v>
      </c>
      <c r="AC74" s="5">
        <v>5</v>
      </c>
      <c r="AD74" s="5">
        <v>2</v>
      </c>
      <c r="AE74" s="5">
        <v>0</v>
      </c>
      <c r="AF74" s="5">
        <v>1</v>
      </c>
      <c r="AG74" s="5">
        <v>2</v>
      </c>
      <c r="AH74" s="5">
        <v>3</v>
      </c>
      <c r="AI74" s="5">
        <v>2</v>
      </c>
      <c r="AJ74" s="5">
        <v>6</v>
      </c>
      <c r="AK74" s="5">
        <v>4</v>
      </c>
      <c r="AL74" s="5">
        <f t="shared" si="102"/>
        <v>2.6</v>
      </c>
      <c r="AM74" s="146">
        <f t="shared" ref="AM74:AV74" si="106">(AB74/0.01)*10^($AA$74)</f>
        <v>100000000</v>
      </c>
      <c r="AN74" s="146">
        <f t="shared" si="106"/>
        <v>500000000</v>
      </c>
      <c r="AO74" s="146">
        <f t="shared" si="106"/>
        <v>200000000</v>
      </c>
      <c r="AP74" s="146">
        <f t="shared" si="106"/>
        <v>0</v>
      </c>
      <c r="AQ74" s="146">
        <f t="shared" si="106"/>
        <v>100000000</v>
      </c>
      <c r="AR74" s="146">
        <f t="shared" si="106"/>
        <v>200000000</v>
      </c>
      <c r="AS74" s="146">
        <f t="shared" si="106"/>
        <v>300000000</v>
      </c>
      <c r="AT74" s="146">
        <f t="shared" si="106"/>
        <v>200000000</v>
      </c>
      <c r="AU74" s="146">
        <f t="shared" si="106"/>
        <v>600000000</v>
      </c>
      <c r="AV74" s="146">
        <f t="shared" si="106"/>
        <v>400000000</v>
      </c>
      <c r="AW74" s="146">
        <f t="shared" si="104"/>
        <v>260000000</v>
      </c>
    </row>
    <row r="75" spans="2:49" x14ac:dyDescent="0.25">
      <c r="B75" s="5" t="s">
        <v>112</v>
      </c>
      <c r="C75" s="5">
        <v>5</v>
      </c>
      <c r="D75" s="5">
        <v>13</v>
      </c>
      <c r="E75" s="5">
        <v>17</v>
      </c>
      <c r="F75" s="5">
        <v>17</v>
      </c>
      <c r="G75" s="5">
        <v>17</v>
      </c>
      <c r="H75" s="5">
        <v>16</v>
      </c>
      <c r="I75" s="5">
        <v>19</v>
      </c>
      <c r="J75" s="5">
        <v>14</v>
      </c>
      <c r="K75" s="5">
        <v>13</v>
      </c>
      <c r="L75" s="5">
        <v>10</v>
      </c>
      <c r="M75" s="5">
        <v>12</v>
      </c>
      <c r="N75" s="5">
        <f t="shared" si="100"/>
        <v>14.8</v>
      </c>
      <c r="O75" s="146">
        <f t="shared" ref="O75:X75" si="107">(D75/0.01)*10^($C$75)</f>
        <v>130000000</v>
      </c>
      <c r="P75" s="146">
        <f t="shared" si="107"/>
        <v>170000000</v>
      </c>
      <c r="Q75" s="146">
        <f t="shared" si="107"/>
        <v>170000000</v>
      </c>
      <c r="R75" s="146">
        <f t="shared" si="107"/>
        <v>170000000</v>
      </c>
      <c r="S75" s="146">
        <f t="shared" si="107"/>
        <v>160000000</v>
      </c>
      <c r="T75" s="146">
        <f t="shared" si="107"/>
        <v>190000000</v>
      </c>
      <c r="U75" s="146">
        <f t="shared" si="107"/>
        <v>140000000</v>
      </c>
      <c r="V75" s="146">
        <f t="shared" si="107"/>
        <v>130000000</v>
      </c>
      <c r="W75" s="146">
        <f t="shared" si="107"/>
        <v>100000000</v>
      </c>
      <c r="X75" s="146">
        <f t="shared" si="107"/>
        <v>120000000</v>
      </c>
      <c r="Y75" s="146">
        <f t="shared" si="90"/>
        <v>148000000</v>
      </c>
      <c r="Z75" s="5" t="s">
        <v>112</v>
      </c>
      <c r="AA75" s="5">
        <v>6</v>
      </c>
      <c r="AB75" s="5">
        <v>2</v>
      </c>
      <c r="AC75" s="5">
        <v>0</v>
      </c>
      <c r="AD75" s="5">
        <v>2</v>
      </c>
      <c r="AE75" s="5">
        <v>2</v>
      </c>
      <c r="AF75" s="5">
        <v>2</v>
      </c>
      <c r="AG75" s="5">
        <v>1</v>
      </c>
      <c r="AH75" s="5">
        <v>2</v>
      </c>
      <c r="AI75" s="5">
        <v>0</v>
      </c>
      <c r="AJ75" s="5">
        <v>1</v>
      </c>
      <c r="AK75" s="5">
        <v>1</v>
      </c>
      <c r="AL75" s="5">
        <f t="shared" si="102"/>
        <v>1.3</v>
      </c>
      <c r="AM75" s="146">
        <f t="shared" ref="AM75:AV75" si="108">(AB75/0.01)*10^($AA$75)</f>
        <v>200000000</v>
      </c>
      <c r="AN75" s="146">
        <f t="shared" si="108"/>
        <v>0</v>
      </c>
      <c r="AO75" s="146">
        <f t="shared" si="108"/>
        <v>200000000</v>
      </c>
      <c r="AP75" s="146">
        <f t="shared" si="108"/>
        <v>200000000</v>
      </c>
      <c r="AQ75" s="146">
        <f t="shared" si="108"/>
        <v>200000000</v>
      </c>
      <c r="AR75" s="146">
        <f t="shared" si="108"/>
        <v>100000000</v>
      </c>
      <c r="AS75" s="146">
        <f t="shared" si="108"/>
        <v>200000000</v>
      </c>
      <c r="AT75" s="146">
        <f t="shared" si="108"/>
        <v>0</v>
      </c>
      <c r="AU75" s="146">
        <f t="shared" si="108"/>
        <v>100000000</v>
      </c>
      <c r="AV75" s="146">
        <f t="shared" si="108"/>
        <v>100000000</v>
      </c>
      <c r="AW75" s="146">
        <f t="shared" si="104"/>
        <v>130000000</v>
      </c>
    </row>
    <row r="76" spans="2:49" x14ac:dyDescent="0.25">
      <c r="B76" s="5" t="s">
        <v>151</v>
      </c>
      <c r="C76" s="5">
        <v>5</v>
      </c>
      <c r="D76" s="5">
        <v>28</v>
      </c>
      <c r="E76" s="5">
        <v>26</v>
      </c>
      <c r="F76" s="5">
        <v>20</v>
      </c>
      <c r="G76" s="5">
        <v>18</v>
      </c>
      <c r="H76" s="5">
        <v>33</v>
      </c>
      <c r="I76" s="5">
        <v>26</v>
      </c>
      <c r="J76" s="5">
        <v>20</v>
      </c>
      <c r="K76" s="5">
        <v>23</v>
      </c>
      <c r="L76" s="5">
        <v>12</v>
      </c>
      <c r="M76" s="5">
        <v>20</v>
      </c>
      <c r="N76" s="5">
        <f t="shared" si="100"/>
        <v>22.6</v>
      </c>
      <c r="O76" s="146">
        <f t="shared" ref="O76:X76" si="109">(D76/0.01)*10^($C$76)</f>
        <v>280000000</v>
      </c>
      <c r="P76" s="146">
        <f t="shared" si="109"/>
        <v>260000000</v>
      </c>
      <c r="Q76" s="146">
        <f t="shared" si="109"/>
        <v>200000000</v>
      </c>
      <c r="R76" s="146">
        <f t="shared" si="109"/>
        <v>180000000</v>
      </c>
      <c r="S76" s="146">
        <f t="shared" si="109"/>
        <v>330000000</v>
      </c>
      <c r="T76" s="146">
        <f t="shared" si="109"/>
        <v>260000000</v>
      </c>
      <c r="U76" s="146">
        <f t="shared" si="109"/>
        <v>200000000</v>
      </c>
      <c r="V76" s="146">
        <f t="shared" si="109"/>
        <v>230000000</v>
      </c>
      <c r="W76" s="146">
        <f t="shared" si="109"/>
        <v>120000000</v>
      </c>
      <c r="X76" s="146">
        <f t="shared" si="109"/>
        <v>200000000</v>
      </c>
      <c r="Y76" s="146">
        <f t="shared" si="90"/>
        <v>226000000</v>
      </c>
      <c r="Z76" s="5" t="s">
        <v>151</v>
      </c>
      <c r="AA76" s="5">
        <v>6</v>
      </c>
      <c r="AB76" s="5">
        <v>3</v>
      </c>
      <c r="AC76" s="5">
        <v>2</v>
      </c>
      <c r="AD76" s="5">
        <v>0</v>
      </c>
      <c r="AE76" s="5">
        <v>3</v>
      </c>
      <c r="AF76" s="5">
        <v>4</v>
      </c>
      <c r="AG76" s="5">
        <v>4</v>
      </c>
      <c r="AH76" s="5">
        <v>2</v>
      </c>
      <c r="AI76" s="5">
        <v>2</v>
      </c>
      <c r="AJ76" s="5">
        <v>3</v>
      </c>
      <c r="AK76" s="5">
        <v>2</v>
      </c>
      <c r="AL76" s="5">
        <f t="shared" si="102"/>
        <v>2.5</v>
      </c>
      <c r="AM76" s="146">
        <f t="shared" ref="AM76:AV76" si="110">(AB76/0.01)*10^($AA$76)</f>
        <v>300000000</v>
      </c>
      <c r="AN76" s="146">
        <f t="shared" si="110"/>
        <v>200000000</v>
      </c>
      <c r="AO76" s="146">
        <f t="shared" si="110"/>
        <v>0</v>
      </c>
      <c r="AP76" s="146">
        <f t="shared" si="110"/>
        <v>300000000</v>
      </c>
      <c r="AQ76" s="146">
        <f t="shared" si="110"/>
        <v>400000000</v>
      </c>
      <c r="AR76" s="146">
        <f t="shared" si="110"/>
        <v>400000000</v>
      </c>
      <c r="AS76" s="146">
        <f t="shared" si="110"/>
        <v>200000000</v>
      </c>
      <c r="AT76" s="146">
        <f t="shared" si="110"/>
        <v>200000000</v>
      </c>
      <c r="AU76" s="146">
        <f t="shared" si="110"/>
        <v>300000000</v>
      </c>
      <c r="AV76" s="146">
        <f t="shared" si="110"/>
        <v>200000000</v>
      </c>
      <c r="AW76" s="146">
        <f t="shared" si="104"/>
        <v>250000000</v>
      </c>
    </row>
    <row r="77" spans="2:49" x14ac:dyDescent="0.25">
      <c r="B77" s="5" t="s">
        <v>152</v>
      </c>
      <c r="C77" s="5">
        <v>5</v>
      </c>
      <c r="D77" s="5">
        <v>27</v>
      </c>
      <c r="E77" s="5">
        <v>27</v>
      </c>
      <c r="F77" s="5">
        <v>22</v>
      </c>
      <c r="G77" s="5">
        <v>17</v>
      </c>
      <c r="H77" s="5">
        <v>25</v>
      </c>
      <c r="I77" s="5">
        <v>25</v>
      </c>
      <c r="J77" s="5">
        <v>23</v>
      </c>
      <c r="K77" s="5">
        <v>18</v>
      </c>
      <c r="L77" s="5">
        <v>21</v>
      </c>
      <c r="M77" s="5">
        <v>19</v>
      </c>
      <c r="N77" s="5">
        <f t="shared" si="100"/>
        <v>22.4</v>
      </c>
      <c r="O77" s="146">
        <f t="shared" ref="O77:X77" si="111">(D77/0.01)*10^($C$77)</f>
        <v>270000000</v>
      </c>
      <c r="P77" s="146">
        <f t="shared" si="111"/>
        <v>270000000</v>
      </c>
      <c r="Q77" s="146">
        <f t="shared" si="111"/>
        <v>220000000</v>
      </c>
      <c r="R77" s="146">
        <f t="shared" si="111"/>
        <v>170000000</v>
      </c>
      <c r="S77" s="146">
        <f t="shared" si="111"/>
        <v>250000000</v>
      </c>
      <c r="T77" s="146">
        <f t="shared" si="111"/>
        <v>250000000</v>
      </c>
      <c r="U77" s="146">
        <f t="shared" si="111"/>
        <v>230000000</v>
      </c>
      <c r="V77" s="146">
        <f t="shared" si="111"/>
        <v>180000000</v>
      </c>
      <c r="W77" s="146">
        <f t="shared" si="111"/>
        <v>210000000</v>
      </c>
      <c r="X77" s="146">
        <f t="shared" si="111"/>
        <v>190000000</v>
      </c>
      <c r="Y77" s="146">
        <f t="shared" si="90"/>
        <v>224000000</v>
      </c>
      <c r="Z77" s="5" t="s">
        <v>152</v>
      </c>
      <c r="AA77" s="5">
        <v>6</v>
      </c>
      <c r="AB77" s="5">
        <v>6</v>
      </c>
      <c r="AC77" s="5">
        <v>3</v>
      </c>
      <c r="AD77" s="5">
        <v>3</v>
      </c>
      <c r="AE77" s="5">
        <v>5</v>
      </c>
      <c r="AF77" s="5">
        <v>4</v>
      </c>
      <c r="AG77" s="5">
        <v>2</v>
      </c>
      <c r="AH77" s="5">
        <v>1</v>
      </c>
      <c r="AI77" s="5">
        <v>0</v>
      </c>
      <c r="AJ77" s="5">
        <v>2</v>
      </c>
      <c r="AK77" s="5">
        <v>3</v>
      </c>
      <c r="AL77" s="5">
        <f t="shared" si="102"/>
        <v>2.9</v>
      </c>
      <c r="AM77" s="146">
        <f t="shared" ref="AM77:AV77" si="112">(AB77/0.01)*10^($AA$77)</f>
        <v>600000000</v>
      </c>
      <c r="AN77" s="146">
        <f t="shared" si="112"/>
        <v>300000000</v>
      </c>
      <c r="AO77" s="146">
        <f t="shared" si="112"/>
        <v>300000000</v>
      </c>
      <c r="AP77" s="146">
        <f t="shared" si="112"/>
        <v>500000000</v>
      </c>
      <c r="AQ77" s="146">
        <f t="shared" si="112"/>
        <v>400000000</v>
      </c>
      <c r="AR77" s="146">
        <f t="shared" si="112"/>
        <v>200000000</v>
      </c>
      <c r="AS77" s="146">
        <f t="shared" si="112"/>
        <v>100000000</v>
      </c>
      <c r="AT77" s="146">
        <f t="shared" si="112"/>
        <v>0</v>
      </c>
      <c r="AU77" s="146">
        <f t="shared" si="112"/>
        <v>200000000</v>
      </c>
      <c r="AV77" s="146">
        <f t="shared" si="112"/>
        <v>300000000</v>
      </c>
      <c r="AW77" s="146">
        <f t="shared" si="104"/>
        <v>290000000</v>
      </c>
    </row>
    <row r="78" spans="2:49" x14ac:dyDescent="0.25">
      <c r="B78" s="5" t="s">
        <v>153</v>
      </c>
      <c r="C78" s="5">
        <v>5</v>
      </c>
      <c r="D78" s="5">
        <v>14</v>
      </c>
      <c r="E78" s="5">
        <v>21</v>
      </c>
      <c r="F78" s="5">
        <v>18</v>
      </c>
      <c r="G78" s="5">
        <v>25</v>
      </c>
      <c r="H78" s="5">
        <v>19</v>
      </c>
      <c r="I78" s="5">
        <v>14</v>
      </c>
      <c r="J78" s="5">
        <v>12</v>
      </c>
      <c r="K78" s="5">
        <v>19</v>
      </c>
      <c r="L78" s="5">
        <v>18</v>
      </c>
      <c r="M78" s="5">
        <v>22</v>
      </c>
      <c r="N78" s="5">
        <f t="shared" si="100"/>
        <v>18.2</v>
      </c>
      <c r="O78" s="146">
        <f t="shared" ref="O78:X78" si="113">(D78/0.01)*10^($C$78)</f>
        <v>140000000</v>
      </c>
      <c r="P78" s="146">
        <f t="shared" si="113"/>
        <v>210000000</v>
      </c>
      <c r="Q78" s="146">
        <f t="shared" si="113"/>
        <v>180000000</v>
      </c>
      <c r="R78" s="146">
        <f t="shared" si="113"/>
        <v>250000000</v>
      </c>
      <c r="S78" s="146">
        <f t="shared" si="113"/>
        <v>190000000</v>
      </c>
      <c r="T78" s="146">
        <f t="shared" si="113"/>
        <v>140000000</v>
      </c>
      <c r="U78" s="146">
        <f t="shared" si="113"/>
        <v>120000000</v>
      </c>
      <c r="V78" s="146">
        <f t="shared" si="113"/>
        <v>190000000</v>
      </c>
      <c r="W78" s="146">
        <f t="shared" si="113"/>
        <v>180000000</v>
      </c>
      <c r="X78" s="146">
        <f t="shared" si="113"/>
        <v>220000000</v>
      </c>
      <c r="Y78" s="146">
        <f t="shared" si="90"/>
        <v>182000000</v>
      </c>
      <c r="Z78" s="5" t="s">
        <v>153</v>
      </c>
      <c r="AA78" s="5">
        <v>6</v>
      </c>
      <c r="AB78" s="5">
        <v>2</v>
      </c>
      <c r="AC78" s="5">
        <v>2</v>
      </c>
      <c r="AD78" s="5">
        <v>2</v>
      </c>
      <c r="AE78" s="5">
        <v>2</v>
      </c>
      <c r="AF78" s="5">
        <v>2</v>
      </c>
      <c r="AG78" s="5">
        <v>3</v>
      </c>
      <c r="AH78" s="5">
        <v>2</v>
      </c>
      <c r="AI78" s="5">
        <v>0</v>
      </c>
      <c r="AJ78" s="5">
        <v>0</v>
      </c>
      <c r="AK78" s="5">
        <v>3</v>
      </c>
      <c r="AL78" s="5">
        <f t="shared" si="102"/>
        <v>1.8</v>
      </c>
      <c r="AM78" s="146">
        <f t="shared" ref="AM78:AV78" si="114">(AB78/0.01)*10^($AA$78)</f>
        <v>200000000</v>
      </c>
      <c r="AN78" s="146">
        <f t="shared" si="114"/>
        <v>200000000</v>
      </c>
      <c r="AO78" s="146">
        <f t="shared" si="114"/>
        <v>200000000</v>
      </c>
      <c r="AP78" s="146">
        <f t="shared" si="114"/>
        <v>200000000</v>
      </c>
      <c r="AQ78" s="146">
        <f t="shared" si="114"/>
        <v>200000000</v>
      </c>
      <c r="AR78" s="146">
        <f t="shared" si="114"/>
        <v>300000000</v>
      </c>
      <c r="AS78" s="146">
        <f t="shared" si="114"/>
        <v>200000000</v>
      </c>
      <c r="AT78" s="146">
        <f t="shared" si="114"/>
        <v>0</v>
      </c>
      <c r="AU78" s="146">
        <f t="shared" si="114"/>
        <v>0</v>
      </c>
      <c r="AV78" s="146">
        <f t="shared" si="114"/>
        <v>300000000</v>
      </c>
      <c r="AW78" s="146">
        <f t="shared" si="104"/>
        <v>180000000</v>
      </c>
    </row>
    <row r="79" spans="2:49" x14ac:dyDescent="0.25">
      <c r="B79" s="5" t="s">
        <v>178</v>
      </c>
      <c r="C79" s="5">
        <v>5</v>
      </c>
      <c r="D79" s="5">
        <v>25</v>
      </c>
      <c r="E79" s="5">
        <v>38</v>
      </c>
      <c r="F79" s="5">
        <v>34</v>
      </c>
      <c r="G79" s="5">
        <v>30</v>
      </c>
      <c r="H79" s="5">
        <v>39</v>
      </c>
      <c r="I79" s="5">
        <v>27</v>
      </c>
      <c r="J79" s="5">
        <v>31</v>
      </c>
      <c r="K79" s="5">
        <v>28</v>
      </c>
      <c r="L79" s="5">
        <v>33</v>
      </c>
      <c r="M79" s="5">
        <v>40</v>
      </c>
      <c r="N79" s="5">
        <f t="shared" si="100"/>
        <v>32.5</v>
      </c>
      <c r="O79" s="146">
        <f t="shared" ref="O79:X79" si="115">(D79/0.01)*10^($C$79)</f>
        <v>250000000</v>
      </c>
      <c r="P79" s="146">
        <f t="shared" si="115"/>
        <v>380000000</v>
      </c>
      <c r="Q79" s="146">
        <f t="shared" si="115"/>
        <v>340000000</v>
      </c>
      <c r="R79" s="146">
        <f t="shared" si="115"/>
        <v>300000000</v>
      </c>
      <c r="S79" s="146">
        <f t="shared" si="115"/>
        <v>390000000</v>
      </c>
      <c r="T79" s="146">
        <f t="shared" si="115"/>
        <v>270000000</v>
      </c>
      <c r="U79" s="146">
        <f t="shared" si="115"/>
        <v>310000000</v>
      </c>
      <c r="V79" s="146">
        <f t="shared" si="115"/>
        <v>280000000</v>
      </c>
      <c r="W79" s="146">
        <f t="shared" si="115"/>
        <v>330000000</v>
      </c>
      <c r="X79" s="146">
        <f t="shared" si="115"/>
        <v>400000000</v>
      </c>
      <c r="Y79" s="146">
        <f t="shared" si="90"/>
        <v>325000000</v>
      </c>
      <c r="Z79" s="5" t="s">
        <v>178</v>
      </c>
      <c r="AA79" s="5">
        <v>6</v>
      </c>
      <c r="AB79" s="5">
        <v>3</v>
      </c>
      <c r="AC79" s="5">
        <v>2</v>
      </c>
      <c r="AD79" s="5">
        <v>1</v>
      </c>
      <c r="AE79" s="5">
        <v>6</v>
      </c>
      <c r="AF79" s="5">
        <v>4</v>
      </c>
      <c r="AG79" s="5">
        <v>8</v>
      </c>
      <c r="AH79" s="5">
        <v>5</v>
      </c>
      <c r="AI79" s="5">
        <v>4</v>
      </c>
      <c r="AJ79" s="5">
        <v>7</v>
      </c>
      <c r="AK79" s="5">
        <v>2</v>
      </c>
      <c r="AL79" s="258">
        <f t="shared" si="102"/>
        <v>4.2</v>
      </c>
      <c r="AM79" s="146">
        <f t="shared" ref="AM79:AV79" si="116">(AB79/0.01)*10^($AA$79)</f>
        <v>300000000</v>
      </c>
      <c r="AN79" s="146">
        <f t="shared" si="116"/>
        <v>200000000</v>
      </c>
      <c r="AO79" s="146">
        <f t="shared" si="116"/>
        <v>100000000</v>
      </c>
      <c r="AP79" s="146">
        <f t="shared" si="116"/>
        <v>600000000</v>
      </c>
      <c r="AQ79" s="146">
        <f t="shared" si="116"/>
        <v>400000000</v>
      </c>
      <c r="AR79" s="146">
        <f t="shared" si="116"/>
        <v>800000000</v>
      </c>
      <c r="AS79" s="146">
        <f t="shared" si="116"/>
        <v>500000000</v>
      </c>
      <c r="AT79" s="146">
        <f t="shared" si="116"/>
        <v>400000000</v>
      </c>
      <c r="AU79" s="146">
        <f t="shared" si="116"/>
        <v>700000000</v>
      </c>
      <c r="AV79" s="146">
        <f t="shared" si="116"/>
        <v>200000000</v>
      </c>
      <c r="AW79" s="146">
        <f t="shared" si="104"/>
        <v>420000000</v>
      </c>
    </row>
    <row r="80" spans="2:49" x14ac:dyDescent="0.25">
      <c r="B80" s="5" t="s">
        <v>179</v>
      </c>
      <c r="C80" s="5">
        <v>5</v>
      </c>
      <c r="D80" s="5">
        <v>39</v>
      </c>
      <c r="E80" s="5">
        <v>36</v>
      </c>
      <c r="F80" s="5">
        <v>36</v>
      </c>
      <c r="G80" s="5">
        <v>33</v>
      </c>
      <c r="H80" s="5">
        <v>37</v>
      </c>
      <c r="I80" s="5">
        <v>34</v>
      </c>
      <c r="J80" s="5">
        <v>27</v>
      </c>
      <c r="K80" s="5">
        <v>32</v>
      </c>
      <c r="L80" s="5">
        <v>40</v>
      </c>
      <c r="M80" s="5">
        <v>38</v>
      </c>
      <c r="N80" s="5">
        <f t="shared" si="100"/>
        <v>35.200000000000003</v>
      </c>
      <c r="O80" s="146">
        <f t="shared" ref="O80:X80" si="117">(D80/0.01)*10^($C$80)</f>
        <v>390000000</v>
      </c>
      <c r="P80" s="146">
        <f t="shared" si="117"/>
        <v>360000000</v>
      </c>
      <c r="Q80" s="146">
        <f t="shared" si="117"/>
        <v>360000000</v>
      </c>
      <c r="R80" s="146">
        <f t="shared" si="117"/>
        <v>330000000</v>
      </c>
      <c r="S80" s="146">
        <f t="shared" si="117"/>
        <v>370000000</v>
      </c>
      <c r="T80" s="146">
        <f t="shared" si="117"/>
        <v>340000000</v>
      </c>
      <c r="U80" s="146">
        <f t="shared" si="117"/>
        <v>270000000</v>
      </c>
      <c r="V80" s="146">
        <f t="shared" si="117"/>
        <v>320000000</v>
      </c>
      <c r="W80" s="146">
        <f t="shared" si="117"/>
        <v>400000000</v>
      </c>
      <c r="X80" s="146">
        <f t="shared" si="117"/>
        <v>380000000</v>
      </c>
      <c r="Y80" s="146">
        <f t="shared" si="90"/>
        <v>352000000</v>
      </c>
      <c r="Z80" s="5" t="s">
        <v>179</v>
      </c>
      <c r="AA80" s="5">
        <v>6</v>
      </c>
      <c r="AB80" s="5">
        <v>5</v>
      </c>
      <c r="AC80" s="5">
        <v>5</v>
      </c>
      <c r="AD80" s="5">
        <v>0</v>
      </c>
      <c r="AE80" s="5">
        <v>4</v>
      </c>
      <c r="AF80" s="5">
        <v>2</v>
      </c>
      <c r="AG80" s="5">
        <v>8</v>
      </c>
      <c r="AH80" s="5">
        <v>7</v>
      </c>
      <c r="AI80" s="5">
        <v>1</v>
      </c>
      <c r="AJ80" s="5">
        <v>4</v>
      </c>
      <c r="AK80" s="5">
        <v>2</v>
      </c>
      <c r="AL80" s="258">
        <f t="shared" si="102"/>
        <v>3.8</v>
      </c>
      <c r="AM80" s="146">
        <f t="shared" ref="AM80:AV80" si="118">(AB80/0.01)*10^($AA$80)</f>
        <v>500000000</v>
      </c>
      <c r="AN80" s="146">
        <f t="shared" si="118"/>
        <v>500000000</v>
      </c>
      <c r="AO80" s="146">
        <f t="shared" si="118"/>
        <v>0</v>
      </c>
      <c r="AP80" s="146">
        <f t="shared" si="118"/>
        <v>400000000</v>
      </c>
      <c r="AQ80" s="146">
        <f t="shared" si="118"/>
        <v>200000000</v>
      </c>
      <c r="AR80" s="146">
        <f t="shared" si="118"/>
        <v>800000000</v>
      </c>
      <c r="AS80" s="146">
        <f t="shared" si="118"/>
        <v>700000000</v>
      </c>
      <c r="AT80" s="146">
        <f t="shared" si="118"/>
        <v>100000000</v>
      </c>
      <c r="AU80" s="146">
        <f t="shared" si="118"/>
        <v>400000000</v>
      </c>
      <c r="AV80" s="146">
        <f t="shared" si="118"/>
        <v>200000000</v>
      </c>
      <c r="AW80" s="146">
        <f t="shared" si="104"/>
        <v>380000000</v>
      </c>
    </row>
    <row r="81" spans="2:49" x14ac:dyDescent="0.25">
      <c r="B81" s="5" t="s">
        <v>180</v>
      </c>
      <c r="C81" s="5">
        <v>5</v>
      </c>
      <c r="D81" s="5">
        <v>32</v>
      </c>
      <c r="E81" s="5">
        <v>43</v>
      </c>
      <c r="F81" s="5">
        <v>38</v>
      </c>
      <c r="G81" s="5">
        <v>33</v>
      </c>
      <c r="H81" s="5">
        <v>43</v>
      </c>
      <c r="I81" s="5">
        <v>30</v>
      </c>
      <c r="J81" s="5">
        <v>26</v>
      </c>
      <c r="K81" s="5">
        <v>29</v>
      </c>
      <c r="L81" s="5">
        <v>31</v>
      </c>
      <c r="M81" s="5">
        <v>21</v>
      </c>
      <c r="N81" s="5">
        <f t="shared" si="100"/>
        <v>32.6</v>
      </c>
      <c r="O81" s="146">
        <f t="shared" ref="O81:X81" si="119">(D81/0.01)*10^($C$81)</f>
        <v>320000000</v>
      </c>
      <c r="P81" s="146">
        <f t="shared" si="119"/>
        <v>430000000</v>
      </c>
      <c r="Q81" s="146">
        <f t="shared" si="119"/>
        <v>380000000</v>
      </c>
      <c r="R81" s="146">
        <f t="shared" si="119"/>
        <v>330000000</v>
      </c>
      <c r="S81" s="146">
        <f t="shared" si="119"/>
        <v>430000000</v>
      </c>
      <c r="T81" s="146">
        <f t="shared" si="119"/>
        <v>300000000</v>
      </c>
      <c r="U81" s="146">
        <f t="shared" si="119"/>
        <v>260000000</v>
      </c>
      <c r="V81" s="146">
        <f t="shared" si="119"/>
        <v>290000000</v>
      </c>
      <c r="W81" s="146">
        <f t="shared" si="119"/>
        <v>310000000</v>
      </c>
      <c r="X81" s="146">
        <f t="shared" si="119"/>
        <v>210000000</v>
      </c>
      <c r="Y81" s="146">
        <f t="shared" si="90"/>
        <v>326000000</v>
      </c>
      <c r="Z81" s="5" t="s">
        <v>180</v>
      </c>
      <c r="AA81" s="5">
        <v>6</v>
      </c>
      <c r="AB81" s="5">
        <v>5</v>
      </c>
      <c r="AC81" s="5">
        <v>4</v>
      </c>
      <c r="AD81" s="5">
        <v>3</v>
      </c>
      <c r="AE81" s="5">
        <v>6</v>
      </c>
      <c r="AF81" s="5">
        <v>5</v>
      </c>
      <c r="AG81" s="5">
        <v>0</v>
      </c>
      <c r="AH81" s="5">
        <v>4</v>
      </c>
      <c r="AI81" s="5">
        <v>5</v>
      </c>
      <c r="AJ81" s="5">
        <v>4</v>
      </c>
      <c r="AK81" s="5">
        <v>5</v>
      </c>
      <c r="AL81" s="258">
        <f t="shared" si="102"/>
        <v>4.0999999999999996</v>
      </c>
      <c r="AM81" s="146">
        <f t="shared" ref="AM81:AV81" si="120">(AB81/0.01)*10^($AA$81)</f>
        <v>500000000</v>
      </c>
      <c r="AN81" s="146">
        <f t="shared" si="120"/>
        <v>400000000</v>
      </c>
      <c r="AO81" s="146">
        <f t="shared" si="120"/>
        <v>300000000</v>
      </c>
      <c r="AP81" s="146">
        <f t="shared" si="120"/>
        <v>600000000</v>
      </c>
      <c r="AQ81" s="146">
        <f t="shared" si="120"/>
        <v>500000000</v>
      </c>
      <c r="AR81" s="146">
        <f t="shared" si="120"/>
        <v>0</v>
      </c>
      <c r="AS81" s="146">
        <f t="shared" si="120"/>
        <v>400000000</v>
      </c>
      <c r="AT81" s="146">
        <f t="shared" si="120"/>
        <v>500000000</v>
      </c>
      <c r="AU81" s="146">
        <f t="shared" si="120"/>
        <v>400000000</v>
      </c>
      <c r="AV81" s="146">
        <f t="shared" si="120"/>
        <v>500000000</v>
      </c>
      <c r="AW81" s="146">
        <f t="shared" si="104"/>
        <v>410000000</v>
      </c>
    </row>
    <row r="82" spans="2:49" x14ac:dyDescent="0.25">
      <c r="B82" s="5" t="s">
        <v>181</v>
      </c>
      <c r="C82" s="5">
        <v>6</v>
      </c>
      <c r="D82" s="5">
        <v>3</v>
      </c>
      <c r="E82" s="5">
        <v>5</v>
      </c>
      <c r="F82" s="5">
        <v>3</v>
      </c>
      <c r="G82" s="5">
        <v>6</v>
      </c>
      <c r="H82" s="5">
        <v>7</v>
      </c>
      <c r="I82" s="5">
        <v>7</v>
      </c>
      <c r="J82" s="5">
        <v>5</v>
      </c>
      <c r="K82" s="5">
        <v>4</v>
      </c>
      <c r="L82" s="5">
        <v>5</v>
      </c>
      <c r="M82" s="5">
        <v>9</v>
      </c>
      <c r="O82" s="146">
        <f t="shared" ref="O82:X82" si="121">(D82/0.01)*10^($C$82)</f>
        <v>300000000</v>
      </c>
      <c r="P82" s="146">
        <f t="shared" si="121"/>
        <v>500000000</v>
      </c>
      <c r="Q82" s="146">
        <f t="shared" si="121"/>
        <v>300000000</v>
      </c>
      <c r="R82" s="146">
        <f t="shared" si="121"/>
        <v>600000000</v>
      </c>
      <c r="S82" s="146">
        <f t="shared" si="121"/>
        <v>700000000</v>
      </c>
      <c r="T82" s="146">
        <f t="shared" si="121"/>
        <v>700000000</v>
      </c>
      <c r="U82" s="146">
        <f t="shared" si="121"/>
        <v>500000000</v>
      </c>
      <c r="V82" s="146">
        <f t="shared" si="121"/>
        <v>400000000</v>
      </c>
      <c r="W82" s="146">
        <f t="shared" si="121"/>
        <v>500000000</v>
      </c>
      <c r="X82" s="146">
        <f t="shared" si="121"/>
        <v>900000000</v>
      </c>
      <c r="Y82" s="146">
        <f t="shared" si="90"/>
        <v>540000000</v>
      </c>
      <c r="Z82" s="5" t="s">
        <v>181</v>
      </c>
      <c r="AM82" s="146"/>
      <c r="AN82" s="146"/>
      <c r="AO82" s="146"/>
      <c r="AP82" s="146"/>
      <c r="AQ82" s="146"/>
      <c r="AR82" s="146"/>
      <c r="AS82" s="146"/>
      <c r="AT82" s="146"/>
      <c r="AU82" s="146"/>
      <c r="AV82" s="146"/>
      <c r="AW82" s="146"/>
    </row>
    <row r="83" spans="2:49" x14ac:dyDescent="0.25">
      <c r="B83" s="5" t="s">
        <v>182</v>
      </c>
      <c r="C83" s="5">
        <v>6</v>
      </c>
      <c r="D83" s="5">
        <v>8</v>
      </c>
      <c r="E83" s="5">
        <v>8</v>
      </c>
      <c r="F83" s="5">
        <v>6</v>
      </c>
      <c r="G83" s="5">
        <v>6</v>
      </c>
      <c r="H83" s="5">
        <v>7</v>
      </c>
      <c r="I83" s="5">
        <v>5</v>
      </c>
      <c r="J83" s="5">
        <v>5</v>
      </c>
      <c r="K83" s="5">
        <v>5</v>
      </c>
      <c r="L83" s="5">
        <v>4</v>
      </c>
      <c r="M83" s="5">
        <v>10</v>
      </c>
      <c r="O83" s="146">
        <f t="shared" ref="O83:X83" si="122">(D83/0.01)*10^($C$83)</f>
        <v>800000000</v>
      </c>
      <c r="P83" s="146">
        <f t="shared" si="122"/>
        <v>800000000</v>
      </c>
      <c r="Q83" s="146">
        <f t="shared" si="122"/>
        <v>600000000</v>
      </c>
      <c r="R83" s="146">
        <f t="shared" si="122"/>
        <v>600000000</v>
      </c>
      <c r="S83" s="146">
        <f t="shared" si="122"/>
        <v>700000000</v>
      </c>
      <c r="T83" s="146">
        <f t="shared" si="122"/>
        <v>500000000</v>
      </c>
      <c r="U83" s="146">
        <f t="shared" si="122"/>
        <v>500000000</v>
      </c>
      <c r="V83" s="146">
        <f t="shared" si="122"/>
        <v>500000000</v>
      </c>
      <c r="W83" s="146">
        <f t="shared" si="122"/>
        <v>400000000</v>
      </c>
      <c r="X83" s="146">
        <f t="shared" si="122"/>
        <v>1000000000</v>
      </c>
      <c r="Y83" s="146">
        <f t="shared" si="90"/>
        <v>640000000</v>
      </c>
      <c r="Z83" s="5" t="s">
        <v>182</v>
      </c>
      <c r="AM83" s="146"/>
      <c r="AN83" s="146"/>
      <c r="AO83" s="146"/>
      <c r="AP83" s="146"/>
      <c r="AQ83" s="146"/>
      <c r="AR83" s="146"/>
      <c r="AS83" s="146"/>
      <c r="AT83" s="146"/>
      <c r="AU83" s="146"/>
      <c r="AV83" s="146"/>
      <c r="AW83" s="146"/>
    </row>
    <row r="84" spans="2:49" x14ac:dyDescent="0.25">
      <c r="B84" s="5" t="s">
        <v>183</v>
      </c>
      <c r="C84" s="5">
        <v>6</v>
      </c>
      <c r="D84" s="5">
        <v>5</v>
      </c>
      <c r="E84" s="5">
        <v>2</v>
      </c>
      <c r="F84" s="5">
        <v>6</v>
      </c>
      <c r="G84" s="5">
        <v>4</v>
      </c>
      <c r="H84" s="5">
        <v>2</v>
      </c>
      <c r="I84" s="5">
        <v>4</v>
      </c>
      <c r="J84" s="5">
        <v>6</v>
      </c>
      <c r="K84" s="5">
        <v>3</v>
      </c>
      <c r="L84" s="5">
        <v>4</v>
      </c>
      <c r="M84" s="5">
        <v>6</v>
      </c>
      <c r="O84" s="146">
        <f t="shared" ref="O84:X84" si="123">(D84/0.01)*10^($C$84)</f>
        <v>500000000</v>
      </c>
      <c r="P84" s="146">
        <f t="shared" si="123"/>
        <v>200000000</v>
      </c>
      <c r="Q84" s="146">
        <f t="shared" si="123"/>
        <v>600000000</v>
      </c>
      <c r="R84" s="146">
        <f t="shared" si="123"/>
        <v>400000000</v>
      </c>
      <c r="S84" s="146">
        <f t="shared" si="123"/>
        <v>200000000</v>
      </c>
      <c r="T84" s="146">
        <f t="shared" si="123"/>
        <v>400000000</v>
      </c>
      <c r="U84" s="146">
        <f t="shared" si="123"/>
        <v>600000000</v>
      </c>
      <c r="V84" s="146">
        <f t="shared" si="123"/>
        <v>300000000</v>
      </c>
      <c r="W84" s="146">
        <f t="shared" si="123"/>
        <v>400000000</v>
      </c>
      <c r="X84" s="146">
        <f t="shared" si="123"/>
        <v>600000000</v>
      </c>
      <c r="Y84" s="146">
        <f t="shared" si="90"/>
        <v>420000000</v>
      </c>
      <c r="Z84" s="5" t="s">
        <v>183</v>
      </c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146"/>
    </row>
    <row r="85" spans="2:49" x14ac:dyDescent="0.25">
      <c r="B85" s="5" t="s">
        <v>184</v>
      </c>
      <c r="C85" s="5">
        <v>6</v>
      </c>
      <c r="D85" s="5">
        <v>1</v>
      </c>
      <c r="E85" s="5">
        <v>5</v>
      </c>
      <c r="F85" s="5">
        <v>3</v>
      </c>
      <c r="G85" s="5">
        <v>3</v>
      </c>
      <c r="H85" s="5">
        <v>4</v>
      </c>
      <c r="I85" s="5">
        <v>4</v>
      </c>
      <c r="J85" s="5">
        <v>3</v>
      </c>
      <c r="K85" s="5">
        <v>4</v>
      </c>
      <c r="L85" s="5">
        <v>4</v>
      </c>
      <c r="M85" s="5">
        <v>3</v>
      </c>
      <c r="O85" s="146">
        <f t="shared" ref="O85:X85" si="124">(D85/0.01)*10^($C$85)</f>
        <v>100000000</v>
      </c>
      <c r="P85" s="146">
        <f t="shared" si="124"/>
        <v>500000000</v>
      </c>
      <c r="Q85" s="146">
        <f t="shared" si="124"/>
        <v>300000000</v>
      </c>
      <c r="R85" s="146">
        <f t="shared" si="124"/>
        <v>300000000</v>
      </c>
      <c r="S85" s="146">
        <f t="shared" si="124"/>
        <v>400000000</v>
      </c>
      <c r="T85" s="146">
        <f t="shared" si="124"/>
        <v>400000000</v>
      </c>
      <c r="U85" s="146">
        <f t="shared" si="124"/>
        <v>300000000</v>
      </c>
      <c r="V85" s="146">
        <f t="shared" si="124"/>
        <v>400000000</v>
      </c>
      <c r="W85" s="146">
        <f t="shared" si="124"/>
        <v>400000000</v>
      </c>
      <c r="X85" s="146">
        <f t="shared" si="124"/>
        <v>300000000</v>
      </c>
      <c r="Y85" s="146">
        <f t="shared" si="90"/>
        <v>340000000</v>
      </c>
      <c r="Z85" s="5" t="s">
        <v>184</v>
      </c>
      <c r="AM85" s="146"/>
      <c r="AN85" s="146"/>
      <c r="AO85" s="146"/>
      <c r="AP85" s="146"/>
      <c r="AQ85" s="146"/>
      <c r="AR85" s="146"/>
      <c r="AS85" s="146"/>
      <c r="AT85" s="146"/>
      <c r="AU85" s="146"/>
      <c r="AV85" s="146"/>
      <c r="AW85" s="146"/>
    </row>
    <row r="86" spans="2:49" x14ac:dyDescent="0.25">
      <c r="B86" s="5" t="s">
        <v>185</v>
      </c>
      <c r="C86" s="5">
        <v>6</v>
      </c>
      <c r="D86" s="5">
        <v>1</v>
      </c>
      <c r="E86" s="5">
        <v>4</v>
      </c>
      <c r="F86" s="5">
        <v>6</v>
      </c>
      <c r="G86" s="5">
        <v>6</v>
      </c>
      <c r="H86" s="5">
        <v>6</v>
      </c>
      <c r="I86" s="5">
        <v>4</v>
      </c>
      <c r="J86" s="5">
        <v>4</v>
      </c>
      <c r="K86" s="5">
        <v>5</v>
      </c>
      <c r="L86" s="5">
        <v>2</v>
      </c>
      <c r="M86" s="5">
        <v>5</v>
      </c>
      <c r="O86" s="146">
        <f t="shared" ref="O86:X86" si="125">(D86/0.01)*10^($C$86)</f>
        <v>100000000</v>
      </c>
      <c r="P86" s="146">
        <f t="shared" si="125"/>
        <v>400000000</v>
      </c>
      <c r="Q86" s="146">
        <f t="shared" si="125"/>
        <v>600000000</v>
      </c>
      <c r="R86" s="146">
        <f t="shared" si="125"/>
        <v>600000000</v>
      </c>
      <c r="S86" s="146">
        <f t="shared" si="125"/>
        <v>600000000</v>
      </c>
      <c r="T86" s="146">
        <f t="shared" si="125"/>
        <v>400000000</v>
      </c>
      <c r="U86" s="146">
        <f t="shared" si="125"/>
        <v>400000000</v>
      </c>
      <c r="V86" s="146">
        <f t="shared" si="125"/>
        <v>500000000</v>
      </c>
      <c r="W86" s="146">
        <f t="shared" si="125"/>
        <v>200000000</v>
      </c>
      <c r="X86" s="146">
        <f t="shared" si="125"/>
        <v>500000000</v>
      </c>
      <c r="Y86" s="146">
        <f t="shared" si="90"/>
        <v>430000000</v>
      </c>
      <c r="Z86" s="5" t="s">
        <v>185</v>
      </c>
      <c r="AM86" s="146"/>
      <c r="AN86" s="146"/>
      <c r="AO86" s="146"/>
      <c r="AP86" s="146"/>
      <c r="AQ86" s="146"/>
      <c r="AR86" s="146"/>
      <c r="AS86" s="146"/>
      <c r="AT86" s="146"/>
      <c r="AU86" s="146"/>
      <c r="AV86" s="146"/>
      <c r="AW86" s="146"/>
    </row>
    <row r="87" spans="2:49" x14ac:dyDescent="0.25">
      <c r="B87" s="5" t="s">
        <v>186</v>
      </c>
      <c r="C87" s="5">
        <v>6</v>
      </c>
      <c r="D87" s="5">
        <v>3</v>
      </c>
      <c r="E87" s="5">
        <v>5</v>
      </c>
      <c r="F87" s="5">
        <v>5</v>
      </c>
      <c r="G87" s="5">
        <v>6</v>
      </c>
      <c r="H87" s="5">
        <v>2</v>
      </c>
      <c r="I87" s="5">
        <v>4</v>
      </c>
      <c r="J87" s="5">
        <v>5</v>
      </c>
      <c r="K87" s="5">
        <v>1</v>
      </c>
      <c r="L87" s="5">
        <v>3</v>
      </c>
      <c r="M87" s="5">
        <v>5</v>
      </c>
      <c r="O87" s="146">
        <f t="shared" ref="O87:X87" si="126">(D87/0.01)*10^($C$87)</f>
        <v>300000000</v>
      </c>
      <c r="P87" s="146">
        <f t="shared" si="126"/>
        <v>500000000</v>
      </c>
      <c r="Q87" s="146">
        <f t="shared" si="126"/>
        <v>500000000</v>
      </c>
      <c r="R87" s="146">
        <f t="shared" si="126"/>
        <v>600000000</v>
      </c>
      <c r="S87" s="146">
        <f t="shared" si="126"/>
        <v>200000000</v>
      </c>
      <c r="T87" s="146">
        <f t="shared" si="126"/>
        <v>400000000</v>
      </c>
      <c r="U87" s="146">
        <f t="shared" si="126"/>
        <v>500000000</v>
      </c>
      <c r="V87" s="146">
        <f t="shared" si="126"/>
        <v>100000000</v>
      </c>
      <c r="W87" s="146">
        <f t="shared" si="126"/>
        <v>300000000</v>
      </c>
      <c r="X87" s="146">
        <f t="shared" si="126"/>
        <v>500000000</v>
      </c>
      <c r="Y87" s="146">
        <f t="shared" si="90"/>
        <v>390000000</v>
      </c>
      <c r="Z87" s="5" t="s">
        <v>186</v>
      </c>
      <c r="AM87" s="146"/>
      <c r="AN87" s="146"/>
      <c r="AO87" s="146"/>
      <c r="AP87" s="146"/>
      <c r="AQ87" s="146"/>
      <c r="AR87" s="146"/>
      <c r="AS87" s="146"/>
      <c r="AT87" s="146"/>
      <c r="AU87" s="146"/>
      <c r="AV87" s="146"/>
      <c r="AW87" s="146"/>
    </row>
    <row r="88" spans="2:49" x14ac:dyDescent="0.25"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AM88" s="146"/>
      <c r="AN88" s="146"/>
      <c r="AO88" s="146"/>
      <c r="AP88" s="146"/>
      <c r="AQ88" s="146"/>
      <c r="AR88" s="146"/>
      <c r="AS88" s="146"/>
      <c r="AT88" s="146"/>
      <c r="AU88" s="146"/>
      <c r="AV88" s="146"/>
      <c r="AW88" s="146"/>
    </row>
    <row r="89" spans="2:49" x14ac:dyDescent="0.25">
      <c r="B89" s="145" t="s">
        <v>113</v>
      </c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AM89" s="146"/>
      <c r="AN89" s="146"/>
      <c r="AO89" s="146"/>
      <c r="AP89" s="146"/>
      <c r="AQ89" s="146"/>
      <c r="AR89" s="146"/>
      <c r="AS89" s="146"/>
      <c r="AT89" s="146"/>
      <c r="AU89" s="146"/>
      <c r="AV89" s="146"/>
      <c r="AW89" s="146"/>
    </row>
    <row r="90" spans="2:49" x14ac:dyDescent="0.25">
      <c r="C90" s="5" t="s">
        <v>90</v>
      </c>
      <c r="D90" s="5">
        <v>1</v>
      </c>
      <c r="E90" s="5">
        <v>2</v>
      </c>
      <c r="F90" s="5">
        <v>3</v>
      </c>
      <c r="G90" s="5">
        <v>4</v>
      </c>
      <c r="H90" s="5">
        <v>5</v>
      </c>
      <c r="I90" s="5">
        <v>6</v>
      </c>
      <c r="J90" s="5">
        <v>7</v>
      </c>
      <c r="K90" s="5">
        <v>8</v>
      </c>
      <c r="L90" s="5">
        <v>9</v>
      </c>
      <c r="M90" s="5">
        <v>10</v>
      </c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AA90" s="5" t="s">
        <v>90</v>
      </c>
      <c r="AB90" s="5">
        <v>1</v>
      </c>
      <c r="AC90" s="5">
        <v>2</v>
      </c>
      <c r="AD90" s="5">
        <v>3</v>
      </c>
      <c r="AE90" s="5">
        <v>4</v>
      </c>
      <c r="AF90" s="5">
        <v>5</v>
      </c>
      <c r="AG90" s="5">
        <v>6</v>
      </c>
      <c r="AH90" s="5">
        <v>7</v>
      </c>
      <c r="AI90" s="5">
        <v>8</v>
      </c>
      <c r="AJ90" s="5">
        <v>9</v>
      </c>
      <c r="AK90" s="5">
        <v>10</v>
      </c>
      <c r="AM90" s="146"/>
      <c r="AN90" s="146"/>
      <c r="AO90" s="146"/>
      <c r="AP90" s="146"/>
      <c r="AQ90" s="146"/>
      <c r="AR90" s="146"/>
      <c r="AS90" s="146"/>
      <c r="AT90" s="146"/>
      <c r="AU90" s="146"/>
      <c r="AV90" s="146"/>
      <c r="AW90" s="146"/>
    </row>
    <row r="91" spans="2:49" x14ac:dyDescent="0.25">
      <c r="B91" s="5" t="s">
        <v>92</v>
      </c>
      <c r="C91" s="5">
        <v>5</v>
      </c>
      <c r="D91" s="5">
        <v>7</v>
      </c>
      <c r="E91" s="5">
        <v>6</v>
      </c>
      <c r="F91" s="5">
        <v>6</v>
      </c>
      <c r="G91" s="5">
        <v>3</v>
      </c>
      <c r="H91" s="5">
        <v>7</v>
      </c>
      <c r="I91" s="5">
        <v>5</v>
      </c>
      <c r="J91" s="5">
        <v>6</v>
      </c>
      <c r="K91" s="5">
        <v>4</v>
      </c>
      <c r="L91" s="5">
        <v>7</v>
      </c>
      <c r="M91" s="5">
        <v>4</v>
      </c>
      <c r="O91" s="146">
        <f>(D91/0.01)*10^($C$91)</f>
        <v>70000000</v>
      </c>
      <c r="P91" s="146">
        <f>(E91/0.01)*10^($C$91)</f>
        <v>60000000</v>
      </c>
      <c r="Q91" s="146">
        <f>(F91/0.01)*10^($C$91)</f>
        <v>60000000</v>
      </c>
      <c r="R91" s="146">
        <f>(G91/0.01)*10^($C$91)</f>
        <v>30000000</v>
      </c>
      <c r="S91" s="146">
        <f t="shared" ref="S91" si="127">(H91/0.01)*10^($C$91)</f>
        <v>70000000</v>
      </c>
      <c r="T91" s="146">
        <f>(I91/0.01)*10^($C$91)</f>
        <v>50000000</v>
      </c>
      <c r="U91" s="146">
        <f>(J91/0.01)*10^($C$91)</f>
        <v>60000000</v>
      </c>
      <c r="V91" s="146">
        <f>(K91/0.01)*10^($C$91)</f>
        <v>40000000</v>
      </c>
      <c r="W91" s="146">
        <f>(L91/0.01)*10^($C$91)</f>
        <v>70000000</v>
      </c>
      <c r="X91" s="146">
        <f>(M91/0.01)*10^($C$91)</f>
        <v>40000000</v>
      </c>
      <c r="Y91" s="146">
        <f t="shared" ref="Y91:Y107" si="128">AVERAGE(O91:X91)</f>
        <v>55000000</v>
      </c>
      <c r="Z91" s="5" t="s">
        <v>92</v>
      </c>
      <c r="AM91" s="146"/>
      <c r="AN91" s="146"/>
      <c r="AO91" s="146"/>
      <c r="AP91" s="146"/>
      <c r="AQ91" s="146"/>
      <c r="AR91" s="146"/>
      <c r="AS91" s="146"/>
      <c r="AT91" s="146"/>
      <c r="AU91" s="146"/>
      <c r="AV91" s="146"/>
      <c r="AW91" s="146"/>
    </row>
    <row r="92" spans="2:49" x14ac:dyDescent="0.25">
      <c r="B92" s="5" t="s">
        <v>93</v>
      </c>
      <c r="C92" s="5">
        <v>5</v>
      </c>
      <c r="D92" s="5">
        <v>4</v>
      </c>
      <c r="E92" s="5">
        <v>6</v>
      </c>
      <c r="F92" s="5">
        <v>6</v>
      </c>
      <c r="G92" s="5">
        <v>9</v>
      </c>
      <c r="H92" s="5">
        <v>7</v>
      </c>
      <c r="I92" s="5">
        <v>9</v>
      </c>
      <c r="J92" s="5">
        <v>10</v>
      </c>
      <c r="K92" s="5">
        <v>6</v>
      </c>
      <c r="L92" s="5">
        <v>1</v>
      </c>
      <c r="M92" s="5">
        <v>7</v>
      </c>
      <c r="O92" s="146">
        <f>(D92/0.01)*10^($C$92)</f>
        <v>40000000</v>
      </c>
      <c r="P92" s="146">
        <f>(E92/0.01)*10^($C$92)</f>
        <v>60000000</v>
      </c>
      <c r="Q92" s="146">
        <f>(F92/0.01)*10^($C$92)</f>
        <v>60000000</v>
      </c>
      <c r="R92" s="146">
        <f>(G92/0.01)*10^($C$92)</f>
        <v>90000000</v>
      </c>
      <c r="S92" s="146">
        <f t="shared" ref="S92" si="129">(H92/0.01)*10^($C$92)</f>
        <v>70000000</v>
      </c>
      <c r="T92" s="146">
        <f>(I92/0.01)*10^($C$92)</f>
        <v>90000000</v>
      </c>
      <c r="U92" s="146">
        <f>(J92/0.01)*10^($C$92)</f>
        <v>100000000</v>
      </c>
      <c r="V92" s="146">
        <f>(K92/0.01)*10^($C$92)</f>
        <v>60000000</v>
      </c>
      <c r="W92" s="146">
        <f>(L92/0.01)*10^($C$92)</f>
        <v>10000000</v>
      </c>
      <c r="X92" s="146">
        <f>(M92/0.01)*10^($C$92)</f>
        <v>70000000</v>
      </c>
      <c r="Y92" s="146">
        <f t="shared" si="128"/>
        <v>65000000</v>
      </c>
      <c r="Z92" s="5" t="s">
        <v>93</v>
      </c>
      <c r="AM92" s="146"/>
      <c r="AN92" s="146"/>
      <c r="AO92" s="146"/>
      <c r="AP92" s="146"/>
      <c r="AQ92" s="146"/>
      <c r="AR92" s="146"/>
      <c r="AS92" s="146"/>
      <c r="AT92" s="146"/>
      <c r="AU92" s="146"/>
      <c r="AV92" s="146"/>
      <c r="AW92" s="146"/>
    </row>
    <row r="93" spans="2:49" x14ac:dyDescent="0.25">
      <c r="B93" s="5" t="s">
        <v>94</v>
      </c>
      <c r="C93" s="5">
        <v>5</v>
      </c>
      <c r="D93" s="5">
        <v>6</v>
      </c>
      <c r="E93" s="5">
        <v>3</v>
      </c>
      <c r="F93" s="5">
        <v>5</v>
      </c>
      <c r="G93" s="5">
        <v>2</v>
      </c>
      <c r="H93" s="5">
        <v>5</v>
      </c>
      <c r="I93" s="5">
        <v>5</v>
      </c>
      <c r="J93" s="5">
        <v>11</v>
      </c>
      <c r="K93" s="5">
        <v>4</v>
      </c>
      <c r="L93" s="5">
        <v>7</v>
      </c>
      <c r="M93" s="5">
        <v>7</v>
      </c>
      <c r="O93" s="146">
        <f>(D93/0.01)*10^($C$93)</f>
        <v>60000000</v>
      </c>
      <c r="P93" s="146">
        <f>(E93/0.01)*10^($C$93)</f>
        <v>30000000</v>
      </c>
      <c r="Q93" s="146">
        <f>(F93/0.01)*10^($C$93)</f>
        <v>50000000</v>
      </c>
      <c r="R93" s="146">
        <f>(G93/0.01)*10^($C$93)</f>
        <v>20000000</v>
      </c>
      <c r="S93" s="146">
        <f t="shared" ref="S93" si="130">(H93/0.01)*10^($C$93)</f>
        <v>50000000</v>
      </c>
      <c r="T93" s="146">
        <f>(I93/0.01)*10^($C$93)</f>
        <v>50000000</v>
      </c>
      <c r="U93" s="146">
        <f>(J93/0.01)*10^($C$93)</f>
        <v>110000000</v>
      </c>
      <c r="V93" s="146">
        <f>(K93/0.01)*10^($C$93)</f>
        <v>40000000</v>
      </c>
      <c r="W93" s="146">
        <f>(L93/0.01)*10^($C$93)</f>
        <v>70000000</v>
      </c>
      <c r="X93" s="146">
        <f>(M93/0.01)*10^($C$93)</f>
        <v>70000000</v>
      </c>
      <c r="Y93" s="146">
        <f t="shared" si="128"/>
        <v>55000000</v>
      </c>
      <c r="Z93" s="5" t="s">
        <v>94</v>
      </c>
      <c r="AM93" s="146"/>
      <c r="AN93" s="146"/>
      <c r="AO93" s="146"/>
      <c r="AP93" s="146"/>
      <c r="AQ93" s="146"/>
      <c r="AR93" s="146"/>
      <c r="AS93" s="146"/>
      <c r="AT93" s="146"/>
      <c r="AU93" s="146"/>
      <c r="AV93" s="146"/>
      <c r="AW93" s="146"/>
    </row>
    <row r="94" spans="2:49" x14ac:dyDescent="0.25">
      <c r="B94" s="5" t="s">
        <v>98</v>
      </c>
      <c r="C94" s="5">
        <v>5</v>
      </c>
      <c r="D94" s="5">
        <v>14</v>
      </c>
      <c r="E94" s="5">
        <v>14</v>
      </c>
      <c r="F94" s="5">
        <v>7</v>
      </c>
      <c r="G94" s="5">
        <v>14</v>
      </c>
      <c r="H94" s="5">
        <v>10</v>
      </c>
      <c r="I94" s="5">
        <v>18</v>
      </c>
      <c r="J94" s="5">
        <v>17</v>
      </c>
      <c r="K94" s="5">
        <v>15</v>
      </c>
      <c r="L94" s="5">
        <v>18</v>
      </c>
      <c r="M94" s="5">
        <v>16</v>
      </c>
      <c r="O94" s="146">
        <f>(D94/0.01)*10^($C$94)</f>
        <v>140000000</v>
      </c>
      <c r="P94" s="146">
        <f>(E94/0.01)*10^($C$94)</f>
        <v>140000000</v>
      </c>
      <c r="Q94" s="146">
        <f>(F94/0.01)*10^($C$94)</f>
        <v>70000000</v>
      </c>
      <c r="R94" s="146">
        <f>(G94/0.01)*10^($C$94)</f>
        <v>140000000</v>
      </c>
      <c r="S94" s="146">
        <f t="shared" ref="S94" si="131">(H94/0.01)*10^($C$94)</f>
        <v>100000000</v>
      </c>
      <c r="T94" s="146">
        <f>(I94/0.01)*10^($C$94)</f>
        <v>180000000</v>
      </c>
      <c r="U94" s="146">
        <f>(J94/0.01)*10^($C$94)</f>
        <v>170000000</v>
      </c>
      <c r="V94" s="146">
        <f>(K94/0.01)*10^($C$94)</f>
        <v>150000000</v>
      </c>
      <c r="W94" s="146">
        <f>(L94/0.01)*10^($C$94)</f>
        <v>180000000</v>
      </c>
      <c r="X94" s="146">
        <f>(M94/0.01)*10^($C$94)</f>
        <v>160000000</v>
      </c>
      <c r="Y94" s="146">
        <f t="shared" si="128"/>
        <v>143000000</v>
      </c>
      <c r="Z94" s="5" t="s">
        <v>98</v>
      </c>
      <c r="AM94" s="146"/>
      <c r="AN94" s="146"/>
      <c r="AO94" s="146"/>
      <c r="AP94" s="146"/>
      <c r="AQ94" s="146"/>
      <c r="AR94" s="146"/>
      <c r="AS94" s="146"/>
      <c r="AT94" s="146"/>
      <c r="AU94" s="146"/>
      <c r="AV94" s="146"/>
      <c r="AW94" s="146"/>
    </row>
    <row r="95" spans="2:49" x14ac:dyDescent="0.25">
      <c r="B95" s="5" t="s">
        <v>99</v>
      </c>
      <c r="C95" s="5">
        <v>5</v>
      </c>
      <c r="D95" s="5">
        <v>21</v>
      </c>
      <c r="E95" s="5">
        <v>18</v>
      </c>
      <c r="F95" s="5">
        <v>12</v>
      </c>
      <c r="G95" s="5">
        <v>11</v>
      </c>
      <c r="H95" s="5">
        <v>15</v>
      </c>
      <c r="I95" s="5">
        <v>16</v>
      </c>
      <c r="J95" s="5">
        <v>11</v>
      </c>
      <c r="K95" s="5">
        <v>14</v>
      </c>
      <c r="L95" s="5">
        <v>11</v>
      </c>
      <c r="M95" s="5">
        <v>14</v>
      </c>
      <c r="N95" s="5">
        <f>AVERAGE(D95:M95)</f>
        <v>14.3</v>
      </c>
      <c r="O95" s="146">
        <f>(D95/0.01)*10^($C$95)</f>
        <v>210000000</v>
      </c>
      <c r="P95" s="146">
        <f>(E95/0.01)*10^($C$95)</f>
        <v>180000000</v>
      </c>
      <c r="Q95" s="146">
        <f>(F95/0.01)*10^($C$95)</f>
        <v>120000000</v>
      </c>
      <c r="R95" s="146">
        <f>(G95/0.01)*10^($C$95)</f>
        <v>110000000</v>
      </c>
      <c r="S95" s="146">
        <f t="shared" ref="S95" si="132">(H95/0.01)*10^($C$95)</f>
        <v>150000000</v>
      </c>
      <c r="T95" s="146">
        <f>(I95/0.01)*10^($C$95)</f>
        <v>160000000</v>
      </c>
      <c r="U95" s="146">
        <f>(J95/0.01)*10^($C$95)</f>
        <v>110000000</v>
      </c>
      <c r="V95" s="146">
        <f>(K95/0.01)*10^($C$95)</f>
        <v>140000000</v>
      </c>
      <c r="W95" s="146">
        <f>(L95/0.01)*10^($C$95)</f>
        <v>110000000</v>
      </c>
      <c r="X95" s="146">
        <f>(M95/0.01)*10^($C$95)</f>
        <v>140000000</v>
      </c>
      <c r="Y95" s="146">
        <f t="shared" si="128"/>
        <v>143000000</v>
      </c>
      <c r="Z95" s="5" t="s">
        <v>99</v>
      </c>
      <c r="AA95" s="5">
        <v>6</v>
      </c>
      <c r="AB95" s="5">
        <v>4</v>
      </c>
      <c r="AC95" s="5">
        <v>1</v>
      </c>
      <c r="AD95" s="5">
        <v>4</v>
      </c>
      <c r="AE95" s="5">
        <v>1</v>
      </c>
      <c r="AF95" s="5">
        <v>4</v>
      </c>
      <c r="AG95" s="5">
        <v>5</v>
      </c>
      <c r="AH95" s="5">
        <v>1</v>
      </c>
      <c r="AI95" s="5">
        <v>0</v>
      </c>
      <c r="AJ95" s="5">
        <v>2</v>
      </c>
      <c r="AK95" s="5">
        <v>3</v>
      </c>
      <c r="AL95" s="5">
        <f>AVERAGE(AB95:AK95)</f>
        <v>2.5</v>
      </c>
      <c r="AM95" s="146">
        <f t="shared" ref="AM95:AV95" si="133">(AB95/0.01)*10^($AA$95)</f>
        <v>400000000</v>
      </c>
      <c r="AN95" s="146">
        <f t="shared" si="133"/>
        <v>100000000</v>
      </c>
      <c r="AO95" s="146">
        <f t="shared" si="133"/>
        <v>400000000</v>
      </c>
      <c r="AP95" s="146">
        <f t="shared" si="133"/>
        <v>100000000</v>
      </c>
      <c r="AQ95" s="146">
        <f t="shared" si="133"/>
        <v>400000000</v>
      </c>
      <c r="AR95" s="146">
        <f t="shared" si="133"/>
        <v>500000000</v>
      </c>
      <c r="AS95" s="146">
        <f t="shared" si="133"/>
        <v>100000000</v>
      </c>
      <c r="AT95" s="146">
        <f t="shared" si="133"/>
        <v>0</v>
      </c>
      <c r="AU95" s="146">
        <f t="shared" si="133"/>
        <v>200000000</v>
      </c>
      <c r="AV95" s="146">
        <f t="shared" si="133"/>
        <v>300000000</v>
      </c>
      <c r="AW95" s="146">
        <f>AVERAGE(AM95:AV95)</f>
        <v>250000000</v>
      </c>
    </row>
    <row r="96" spans="2:49" x14ac:dyDescent="0.25">
      <c r="B96" s="5" t="s">
        <v>100</v>
      </c>
      <c r="C96" s="5">
        <v>5</v>
      </c>
      <c r="D96" s="5">
        <v>13</v>
      </c>
      <c r="E96" s="5">
        <v>13</v>
      </c>
      <c r="F96" s="5">
        <v>11</v>
      </c>
      <c r="G96" s="5">
        <v>10</v>
      </c>
      <c r="H96" s="5">
        <v>10</v>
      </c>
      <c r="I96" s="5">
        <v>9</v>
      </c>
      <c r="J96" s="5">
        <v>17</v>
      </c>
      <c r="K96" s="5">
        <v>12</v>
      </c>
      <c r="L96" s="5">
        <v>11</v>
      </c>
      <c r="M96" s="5">
        <v>14</v>
      </c>
      <c r="O96" s="146">
        <f>(D96/0.01)*10^($C$96)</f>
        <v>130000000</v>
      </c>
      <c r="P96" s="146">
        <f>(E96/0.01)*10^($C$96)</f>
        <v>130000000</v>
      </c>
      <c r="Q96" s="146">
        <f>(F96/0.01)*10^($C$96)</f>
        <v>110000000</v>
      </c>
      <c r="R96" s="146">
        <f>(G96/0.01)*10^($C$96)</f>
        <v>100000000</v>
      </c>
      <c r="S96" s="146">
        <f t="shared" ref="S96" si="134">(H96/0.01)*10^($C$96)</f>
        <v>100000000</v>
      </c>
      <c r="T96" s="146">
        <f>(I96/0.01)*10^($C$96)</f>
        <v>90000000</v>
      </c>
      <c r="U96" s="146">
        <f>(J96/0.01)*10^($C$96)</f>
        <v>170000000</v>
      </c>
      <c r="V96" s="146">
        <f>(K96/0.01)*10^($C$96)</f>
        <v>120000000</v>
      </c>
      <c r="W96" s="146">
        <f>(L96/0.01)*10^($C$96)</f>
        <v>110000000</v>
      </c>
      <c r="X96" s="146">
        <f>(M96/0.01)*10^($C$96)</f>
        <v>140000000</v>
      </c>
      <c r="Y96" s="146">
        <f t="shared" si="128"/>
        <v>120000000</v>
      </c>
      <c r="Z96" s="5" t="s">
        <v>100</v>
      </c>
      <c r="AM96" s="146"/>
      <c r="AN96" s="146"/>
      <c r="AO96" s="146"/>
      <c r="AP96" s="146"/>
      <c r="AQ96" s="146"/>
      <c r="AR96" s="146"/>
      <c r="AS96" s="146"/>
      <c r="AT96" s="146"/>
      <c r="AU96" s="146"/>
      <c r="AV96" s="146"/>
      <c r="AW96" s="146"/>
    </row>
    <row r="97" spans="1:50" x14ac:dyDescent="0.25">
      <c r="B97" s="5" t="s">
        <v>104</v>
      </c>
      <c r="C97" s="5">
        <v>5</v>
      </c>
      <c r="D97" s="5">
        <v>33</v>
      </c>
      <c r="E97" s="5">
        <v>31</v>
      </c>
      <c r="F97" s="5">
        <v>28</v>
      </c>
      <c r="G97" s="5">
        <v>35</v>
      </c>
      <c r="H97" s="5">
        <v>36</v>
      </c>
      <c r="I97" s="5">
        <v>24</v>
      </c>
      <c r="J97" s="5">
        <v>33</v>
      </c>
      <c r="K97" s="5">
        <v>28</v>
      </c>
      <c r="L97" s="5">
        <v>25</v>
      </c>
      <c r="M97" s="5">
        <v>24</v>
      </c>
      <c r="N97" s="5">
        <f>AVERAGE(D97:M97)</f>
        <v>29.7</v>
      </c>
      <c r="O97" s="146">
        <f>(D97/0.01)*10^($C$97)</f>
        <v>330000000</v>
      </c>
      <c r="P97" s="146">
        <f>(E97/0.01)*10^($C$97)</f>
        <v>310000000</v>
      </c>
      <c r="Q97" s="146">
        <f>(F97/0.01)*10^($C$97)</f>
        <v>280000000</v>
      </c>
      <c r="R97" s="146">
        <f>(G97/0.01)*10^($C$97)</f>
        <v>350000000</v>
      </c>
      <c r="S97" s="146">
        <f t="shared" ref="S97" si="135">(H97/0.01)*10^($C$97)</f>
        <v>360000000</v>
      </c>
      <c r="T97" s="146">
        <f>(I97/0.01)*10^($C$97)</f>
        <v>240000000</v>
      </c>
      <c r="U97" s="146">
        <f>(J97/0.01)*10^($C$97)</f>
        <v>330000000</v>
      </c>
      <c r="V97" s="146">
        <f>(K97/0.01)*10^($C$97)</f>
        <v>280000000</v>
      </c>
      <c r="W97" s="146">
        <f>(L97/0.01)*10^($C$97)</f>
        <v>250000000</v>
      </c>
      <c r="X97" s="146">
        <f>(M97/0.01)*10^($C$97)</f>
        <v>240000000</v>
      </c>
      <c r="Y97" s="146">
        <f t="shared" si="128"/>
        <v>297000000</v>
      </c>
      <c r="Z97" s="5" t="s">
        <v>104</v>
      </c>
      <c r="AA97" s="5">
        <v>6</v>
      </c>
      <c r="AB97" s="5">
        <v>3</v>
      </c>
      <c r="AC97" s="5">
        <v>1</v>
      </c>
      <c r="AD97" s="5">
        <v>2</v>
      </c>
      <c r="AE97" s="5">
        <v>4</v>
      </c>
      <c r="AF97" s="5">
        <v>4</v>
      </c>
      <c r="AG97" s="5">
        <v>3</v>
      </c>
      <c r="AH97" s="5">
        <v>4</v>
      </c>
      <c r="AI97" s="5">
        <v>2</v>
      </c>
      <c r="AJ97" s="5">
        <v>2</v>
      </c>
      <c r="AK97" s="5">
        <v>1</v>
      </c>
      <c r="AL97" s="5">
        <f t="shared" ref="AL97:AL105" si="136">AVERAGE(AB97:AK97)</f>
        <v>2.6</v>
      </c>
      <c r="AM97" s="146">
        <f t="shared" ref="AM97:AV97" si="137">(AB97/0.01)*10^($AA$97)</f>
        <v>300000000</v>
      </c>
      <c r="AN97" s="146">
        <f t="shared" si="137"/>
        <v>100000000</v>
      </c>
      <c r="AO97" s="146">
        <f t="shared" si="137"/>
        <v>200000000</v>
      </c>
      <c r="AP97" s="146">
        <f t="shared" si="137"/>
        <v>400000000</v>
      </c>
      <c r="AQ97" s="146">
        <f t="shared" si="137"/>
        <v>400000000</v>
      </c>
      <c r="AR97" s="146">
        <f t="shared" si="137"/>
        <v>300000000</v>
      </c>
      <c r="AS97" s="146">
        <f t="shared" si="137"/>
        <v>400000000</v>
      </c>
      <c r="AT97" s="146">
        <f t="shared" si="137"/>
        <v>200000000</v>
      </c>
      <c r="AU97" s="146">
        <f t="shared" si="137"/>
        <v>200000000</v>
      </c>
      <c r="AV97" s="146">
        <f t="shared" si="137"/>
        <v>100000000</v>
      </c>
      <c r="AW97" s="146">
        <f>AVERAGE(AM97:AV97)</f>
        <v>260000000</v>
      </c>
    </row>
    <row r="98" spans="1:50" x14ac:dyDescent="0.25">
      <c r="B98" s="5" t="s">
        <v>105</v>
      </c>
      <c r="C98" s="5">
        <v>5</v>
      </c>
      <c r="D98" s="5">
        <v>20</v>
      </c>
      <c r="E98" s="5">
        <v>31</v>
      </c>
      <c r="F98" s="5">
        <v>18</v>
      </c>
      <c r="G98" s="5">
        <v>21</v>
      </c>
      <c r="H98" s="5">
        <v>15</v>
      </c>
      <c r="I98" s="5">
        <v>26</v>
      </c>
      <c r="J98" s="5">
        <v>24</v>
      </c>
      <c r="K98" s="5">
        <v>25</v>
      </c>
      <c r="L98" s="5">
        <v>20</v>
      </c>
      <c r="M98" s="5">
        <v>23</v>
      </c>
      <c r="N98" s="5">
        <f>AVERAGE(D98:M98)</f>
        <v>22.3</v>
      </c>
      <c r="O98" s="146">
        <f>(D98/0.01)*10^($C$98)</f>
        <v>200000000</v>
      </c>
      <c r="P98" s="146">
        <f>(E98/0.01)*10^($C$98)</f>
        <v>310000000</v>
      </c>
      <c r="Q98" s="146">
        <f>(F98/0.01)*10^($C$98)</f>
        <v>180000000</v>
      </c>
      <c r="R98" s="146">
        <f>(G98/0.01)*10^($C$98)</f>
        <v>210000000</v>
      </c>
      <c r="S98" s="146">
        <f t="shared" ref="S98" si="138">(H98/0.01)*10^($C$98)</f>
        <v>150000000</v>
      </c>
      <c r="T98" s="146">
        <f>(I98/0.01)*10^($C$98)</f>
        <v>260000000</v>
      </c>
      <c r="U98" s="146">
        <f>(J98/0.01)*10^($C$98)</f>
        <v>240000000</v>
      </c>
      <c r="V98" s="146">
        <f>(K98/0.01)*10^($C$98)</f>
        <v>250000000</v>
      </c>
      <c r="W98" s="146">
        <f>(L98/0.01)*10^($C$98)</f>
        <v>200000000</v>
      </c>
      <c r="X98" s="146">
        <f>(M98/0.01)*10^($C$98)</f>
        <v>230000000</v>
      </c>
      <c r="Y98" s="146">
        <f t="shared" si="128"/>
        <v>223000000</v>
      </c>
      <c r="Z98" s="5" t="s">
        <v>105</v>
      </c>
      <c r="AA98" s="5">
        <v>6</v>
      </c>
      <c r="AB98" s="5">
        <v>3</v>
      </c>
      <c r="AC98" s="5">
        <v>4</v>
      </c>
      <c r="AD98" s="5">
        <v>3</v>
      </c>
      <c r="AE98" s="5">
        <v>4</v>
      </c>
      <c r="AF98" s="5">
        <v>3</v>
      </c>
      <c r="AG98" s="5">
        <v>0</v>
      </c>
      <c r="AH98" s="5">
        <v>1</v>
      </c>
      <c r="AI98" s="5">
        <v>2</v>
      </c>
      <c r="AJ98" s="5">
        <v>3</v>
      </c>
      <c r="AK98" s="5">
        <v>2</v>
      </c>
      <c r="AL98" s="5">
        <f t="shared" si="136"/>
        <v>2.5</v>
      </c>
      <c r="AM98" s="146">
        <f t="shared" ref="AM98:AV98" si="139">(AB98/0.01)*10^($AA$98)</f>
        <v>300000000</v>
      </c>
      <c r="AN98" s="146">
        <f t="shared" si="139"/>
        <v>400000000</v>
      </c>
      <c r="AO98" s="146">
        <f t="shared" si="139"/>
        <v>300000000</v>
      </c>
      <c r="AP98" s="146">
        <f t="shared" si="139"/>
        <v>400000000</v>
      </c>
      <c r="AQ98" s="146">
        <f t="shared" si="139"/>
        <v>300000000</v>
      </c>
      <c r="AR98" s="146">
        <f t="shared" si="139"/>
        <v>0</v>
      </c>
      <c r="AS98" s="146">
        <f t="shared" si="139"/>
        <v>100000000</v>
      </c>
      <c r="AT98" s="146">
        <f t="shared" si="139"/>
        <v>200000000</v>
      </c>
      <c r="AU98" s="146">
        <f t="shared" si="139"/>
        <v>300000000</v>
      </c>
      <c r="AV98" s="146">
        <f t="shared" si="139"/>
        <v>200000000</v>
      </c>
      <c r="AW98" s="146">
        <f>AVERAGE(AM98:AV98)</f>
        <v>250000000</v>
      </c>
    </row>
    <row r="99" spans="1:50" x14ac:dyDescent="0.25">
      <c r="B99" s="5" t="s">
        <v>106</v>
      </c>
      <c r="C99" s="5">
        <v>5</v>
      </c>
      <c r="D99" s="5">
        <v>15</v>
      </c>
      <c r="E99" s="5">
        <v>22</v>
      </c>
      <c r="F99" s="5">
        <v>17</v>
      </c>
      <c r="G99" s="5">
        <v>21</v>
      </c>
      <c r="H99" s="5">
        <v>18</v>
      </c>
      <c r="I99" s="5">
        <v>30</v>
      </c>
      <c r="J99" s="5">
        <v>35</v>
      </c>
      <c r="K99" s="5">
        <v>21</v>
      </c>
      <c r="L99" s="5">
        <v>11</v>
      </c>
      <c r="M99" s="5">
        <v>0</v>
      </c>
      <c r="N99" s="5">
        <f>AVERAGE(D99:M99)</f>
        <v>19</v>
      </c>
      <c r="O99" s="146">
        <f>(D99/0.01)*10^($C$99)</f>
        <v>150000000</v>
      </c>
      <c r="P99" s="146">
        <f>(E99/0.01)*10^($C$99)</f>
        <v>220000000</v>
      </c>
      <c r="Q99" s="146">
        <f>(F99/0.01)*10^($C$99)</f>
        <v>170000000</v>
      </c>
      <c r="R99" s="146">
        <f>(G99/0.01)*10^($C$99)</f>
        <v>210000000</v>
      </c>
      <c r="S99" s="146">
        <f t="shared" ref="S99" si="140">(H99/0.01)*10^($C$99)</f>
        <v>180000000</v>
      </c>
      <c r="T99" s="146">
        <f>(I99/0.01)*10^($C$99)</f>
        <v>300000000</v>
      </c>
      <c r="U99" s="146">
        <f>(J99/0.01)*10^($C$99)</f>
        <v>350000000</v>
      </c>
      <c r="V99" s="146">
        <f>(K99/0.01)*10^($C$99)</f>
        <v>210000000</v>
      </c>
      <c r="W99" s="146">
        <f>(L99/0.01)*10^($C$99)</f>
        <v>110000000</v>
      </c>
      <c r="X99" s="146">
        <f>(M99/0.01)*10^($C$99)</f>
        <v>0</v>
      </c>
      <c r="Y99" s="146">
        <f t="shared" si="128"/>
        <v>190000000</v>
      </c>
      <c r="Z99" s="5" t="s">
        <v>106</v>
      </c>
      <c r="AA99" s="5">
        <v>6</v>
      </c>
      <c r="AB99" s="5">
        <v>3</v>
      </c>
      <c r="AC99" s="5">
        <v>1</v>
      </c>
      <c r="AD99" s="5">
        <v>2</v>
      </c>
      <c r="AE99" s="5">
        <v>4</v>
      </c>
      <c r="AF99" s="5">
        <v>2</v>
      </c>
      <c r="AG99" s="5">
        <v>3</v>
      </c>
      <c r="AH99" s="5">
        <v>3</v>
      </c>
      <c r="AI99" s="5">
        <v>1</v>
      </c>
      <c r="AJ99" s="5">
        <v>2</v>
      </c>
      <c r="AK99" s="5">
        <v>3</v>
      </c>
      <c r="AL99" s="5">
        <f t="shared" si="136"/>
        <v>2.4</v>
      </c>
      <c r="AM99" s="146">
        <f t="shared" ref="AM99:AV99" si="141">(AB99/0.01)*10^($AA$99)</f>
        <v>300000000</v>
      </c>
      <c r="AN99" s="146">
        <f t="shared" si="141"/>
        <v>100000000</v>
      </c>
      <c r="AO99" s="146">
        <f t="shared" si="141"/>
        <v>200000000</v>
      </c>
      <c r="AP99" s="146">
        <f t="shared" si="141"/>
        <v>400000000</v>
      </c>
      <c r="AQ99" s="146">
        <f t="shared" si="141"/>
        <v>200000000</v>
      </c>
      <c r="AR99" s="146">
        <f t="shared" si="141"/>
        <v>300000000</v>
      </c>
      <c r="AS99" s="146">
        <f t="shared" si="141"/>
        <v>300000000</v>
      </c>
      <c r="AT99" s="146">
        <f t="shared" si="141"/>
        <v>100000000</v>
      </c>
      <c r="AU99" s="146">
        <f t="shared" si="141"/>
        <v>200000000</v>
      </c>
      <c r="AV99" s="146">
        <f t="shared" si="141"/>
        <v>300000000</v>
      </c>
      <c r="AW99" s="146">
        <f>AVERAGE(AM99:AV99)</f>
        <v>240000000</v>
      </c>
    </row>
    <row r="100" spans="1:50" x14ac:dyDescent="0.25">
      <c r="B100" s="5" t="s">
        <v>110</v>
      </c>
      <c r="C100" s="5">
        <v>5</v>
      </c>
      <c r="D100" s="5">
        <v>23</v>
      </c>
      <c r="E100" s="5">
        <v>32</v>
      </c>
      <c r="F100" s="5">
        <v>26</v>
      </c>
      <c r="G100" s="5">
        <v>35</v>
      </c>
      <c r="H100" s="5">
        <v>31</v>
      </c>
      <c r="I100" s="5">
        <v>31</v>
      </c>
      <c r="J100" s="5">
        <v>28</v>
      </c>
      <c r="K100" s="5">
        <v>30</v>
      </c>
      <c r="L100" s="5">
        <v>28</v>
      </c>
      <c r="M100" s="5">
        <v>20</v>
      </c>
      <c r="N100" s="5">
        <f>AVERAGE(D100:M100)</f>
        <v>28.4</v>
      </c>
      <c r="O100" s="146">
        <f>(D100/0.01)*10^($C$100)</f>
        <v>230000000</v>
      </c>
      <c r="P100" s="146">
        <f>(E100/0.01)*10^($C$100)</f>
        <v>320000000</v>
      </c>
      <c r="Q100" s="146">
        <f>(F100/0.01)*10^($C$100)</f>
        <v>260000000</v>
      </c>
      <c r="R100" s="146">
        <f>(G100/0.01)*10^($C$100)</f>
        <v>350000000</v>
      </c>
      <c r="S100" s="146">
        <f t="shared" ref="S100" si="142">(H100/0.01)*10^($C$100)</f>
        <v>310000000</v>
      </c>
      <c r="T100" s="146">
        <f>(I100/0.01)*10^($C$100)</f>
        <v>310000000</v>
      </c>
      <c r="U100" s="146">
        <f>(J100/0.01)*10^($C$100)</f>
        <v>280000000</v>
      </c>
      <c r="V100" s="146">
        <f>(K100/0.01)*10^($C$100)</f>
        <v>300000000</v>
      </c>
      <c r="W100" s="146">
        <f>(L100/0.01)*10^($C$100)</f>
        <v>280000000</v>
      </c>
      <c r="X100" s="146">
        <f>(M100/0.01)*10^($C$100)</f>
        <v>200000000</v>
      </c>
      <c r="Y100" s="146">
        <f t="shared" si="128"/>
        <v>284000000</v>
      </c>
      <c r="Z100" s="5" t="s">
        <v>110</v>
      </c>
      <c r="AA100" s="5">
        <v>6</v>
      </c>
      <c r="AB100" s="5">
        <v>4</v>
      </c>
      <c r="AC100" s="5">
        <v>2</v>
      </c>
      <c r="AD100" s="5">
        <v>3</v>
      </c>
      <c r="AE100" s="5">
        <v>8</v>
      </c>
      <c r="AF100" s="5">
        <v>1</v>
      </c>
      <c r="AG100" s="5">
        <v>5</v>
      </c>
      <c r="AH100" s="5">
        <v>3</v>
      </c>
      <c r="AI100" s="5">
        <v>4</v>
      </c>
      <c r="AJ100" s="5">
        <v>1</v>
      </c>
      <c r="AK100" s="5">
        <v>3</v>
      </c>
      <c r="AL100" s="5">
        <f t="shared" si="136"/>
        <v>3.4</v>
      </c>
      <c r="AM100" s="146">
        <f t="shared" ref="AM100:AV100" si="143">(AB100/0.01)*10^($AA$100)</f>
        <v>400000000</v>
      </c>
      <c r="AN100" s="146">
        <f t="shared" si="143"/>
        <v>200000000</v>
      </c>
      <c r="AO100" s="146">
        <f t="shared" si="143"/>
        <v>300000000</v>
      </c>
      <c r="AP100" s="146">
        <f t="shared" si="143"/>
        <v>800000000</v>
      </c>
      <c r="AQ100" s="146">
        <f t="shared" si="143"/>
        <v>100000000</v>
      </c>
      <c r="AR100" s="146">
        <f t="shared" si="143"/>
        <v>500000000</v>
      </c>
      <c r="AS100" s="146">
        <f t="shared" si="143"/>
        <v>300000000</v>
      </c>
      <c r="AT100" s="146">
        <f t="shared" si="143"/>
        <v>400000000</v>
      </c>
      <c r="AU100" s="146">
        <f t="shared" si="143"/>
        <v>100000000</v>
      </c>
      <c r="AV100" s="146">
        <f t="shared" si="143"/>
        <v>300000000</v>
      </c>
      <c r="AW100" s="146">
        <f>AVERAGE(AM100:AV100)</f>
        <v>340000000</v>
      </c>
    </row>
    <row r="101" spans="1:50" x14ac:dyDescent="0.25">
      <c r="B101" s="5" t="s">
        <v>111</v>
      </c>
      <c r="C101" s="5">
        <v>5</v>
      </c>
      <c r="D101" s="5">
        <v>16</v>
      </c>
      <c r="E101" s="5">
        <v>27</v>
      </c>
      <c r="F101" s="5">
        <v>20</v>
      </c>
      <c r="G101" s="5">
        <v>17</v>
      </c>
      <c r="H101" s="5">
        <v>16</v>
      </c>
      <c r="I101" s="5">
        <v>18</v>
      </c>
      <c r="J101" s="5">
        <v>21</v>
      </c>
      <c r="K101" s="5">
        <v>17</v>
      </c>
      <c r="L101" s="5">
        <v>12</v>
      </c>
      <c r="M101" s="5">
        <v>22</v>
      </c>
      <c r="N101" s="5">
        <f>AVERAGE(D101:M101)</f>
        <v>18.600000000000001</v>
      </c>
      <c r="O101" s="146">
        <f>(D101/0.01)*10^($C$101)</f>
        <v>160000000</v>
      </c>
      <c r="P101" s="146">
        <f>(E101/0.01)*10^($C$101)</f>
        <v>270000000</v>
      </c>
      <c r="Q101" s="146">
        <f>(F101/0.01)*10^($C$101)</f>
        <v>200000000</v>
      </c>
      <c r="R101" s="146">
        <f>(G101/0.01)*10^($C$101)</f>
        <v>170000000</v>
      </c>
      <c r="S101" s="146">
        <f t="shared" ref="S101" si="144">(H101/0.01)*10^($C$101)</f>
        <v>160000000</v>
      </c>
      <c r="T101" s="146">
        <f>(I101/0.01)*10^($C$101)</f>
        <v>180000000</v>
      </c>
      <c r="U101" s="146">
        <f>(J101/0.01)*10^($C$101)</f>
        <v>210000000</v>
      </c>
      <c r="V101" s="146">
        <f>(K101/0.01)*10^($C$101)</f>
        <v>170000000</v>
      </c>
      <c r="W101" s="146">
        <f>(L101/0.01)*10^($C$101)</f>
        <v>120000000</v>
      </c>
      <c r="X101" s="146">
        <f>(M101/0.01)*10^($C$101)</f>
        <v>220000000</v>
      </c>
      <c r="Y101" s="146">
        <f t="shared" si="128"/>
        <v>186000000</v>
      </c>
      <c r="Z101" s="5" t="s">
        <v>111</v>
      </c>
      <c r="AA101" s="5">
        <v>6</v>
      </c>
      <c r="AB101" s="5">
        <v>1</v>
      </c>
      <c r="AC101" s="5">
        <v>3</v>
      </c>
      <c r="AD101" s="5">
        <v>2</v>
      </c>
      <c r="AE101" s="5">
        <v>3</v>
      </c>
      <c r="AF101" s="5">
        <v>1</v>
      </c>
      <c r="AG101" s="5">
        <v>1</v>
      </c>
      <c r="AH101" s="5">
        <v>1</v>
      </c>
      <c r="AI101" s="5">
        <v>4</v>
      </c>
      <c r="AJ101" s="5">
        <v>2</v>
      </c>
      <c r="AK101" s="5">
        <v>5</v>
      </c>
      <c r="AL101" s="5">
        <f t="shared" si="136"/>
        <v>2.2999999999999998</v>
      </c>
      <c r="AM101" s="146">
        <f t="shared" ref="AM101:AV101" si="145">(AB101/0.01)*10^($AA$101)</f>
        <v>100000000</v>
      </c>
      <c r="AN101" s="146">
        <f t="shared" si="145"/>
        <v>300000000</v>
      </c>
      <c r="AO101" s="146">
        <f t="shared" si="145"/>
        <v>200000000</v>
      </c>
      <c r="AP101" s="146">
        <f t="shared" si="145"/>
        <v>300000000</v>
      </c>
      <c r="AQ101" s="146">
        <f t="shared" si="145"/>
        <v>100000000</v>
      </c>
      <c r="AR101" s="146">
        <f t="shared" si="145"/>
        <v>100000000</v>
      </c>
      <c r="AS101" s="146">
        <f t="shared" si="145"/>
        <v>100000000</v>
      </c>
      <c r="AT101" s="146">
        <f t="shared" si="145"/>
        <v>400000000</v>
      </c>
      <c r="AU101" s="146">
        <f t="shared" si="145"/>
        <v>200000000</v>
      </c>
      <c r="AV101" s="146">
        <f t="shared" si="145"/>
        <v>500000000</v>
      </c>
      <c r="AW101" s="146">
        <f>AVERAGE(AM101:AV101)</f>
        <v>230000000</v>
      </c>
    </row>
    <row r="102" spans="1:50" x14ac:dyDescent="0.25">
      <c r="B102" s="5" t="s">
        <v>112</v>
      </c>
      <c r="C102" s="5">
        <v>5</v>
      </c>
      <c r="D102" s="5">
        <v>18</v>
      </c>
      <c r="E102" s="5">
        <v>23</v>
      </c>
      <c r="F102" s="5">
        <v>11</v>
      </c>
      <c r="G102" s="5">
        <v>11</v>
      </c>
      <c r="H102" s="5">
        <v>15</v>
      </c>
      <c r="I102" s="5">
        <v>14</v>
      </c>
      <c r="J102" s="5">
        <v>12</v>
      </c>
      <c r="K102" s="5">
        <v>13</v>
      </c>
      <c r="L102" s="5">
        <v>17</v>
      </c>
      <c r="M102" s="5">
        <v>13</v>
      </c>
      <c r="O102" s="146">
        <f>(D102/0.01)*10^($C$102)</f>
        <v>180000000</v>
      </c>
      <c r="P102" s="146">
        <f>(E102/0.01)*10^($C$102)</f>
        <v>230000000</v>
      </c>
      <c r="Q102" s="146">
        <f>(F102/0.01)*10^($C$102)</f>
        <v>110000000</v>
      </c>
      <c r="R102" s="146">
        <f>(G102/0.01)*10^($C$102)</f>
        <v>110000000</v>
      </c>
      <c r="S102" s="146">
        <f t="shared" ref="S102" si="146">(H102/0.01)*10^($C$102)</f>
        <v>150000000</v>
      </c>
      <c r="T102" s="146">
        <f>(I102/0.01)*10^($C$102)</f>
        <v>140000000</v>
      </c>
      <c r="U102" s="146">
        <f>(J102/0.01)*10^($C$102)</f>
        <v>120000000</v>
      </c>
      <c r="V102" s="146">
        <f>(K102/0.01)*10^($C$102)</f>
        <v>130000000</v>
      </c>
      <c r="W102" s="146">
        <f>(L102/0.01)*10^($C$102)</f>
        <v>170000000</v>
      </c>
      <c r="X102" s="146">
        <f>(M102/0.01)*10^($C$102)</f>
        <v>130000000</v>
      </c>
      <c r="Y102" s="146">
        <f t="shared" si="128"/>
        <v>147000000</v>
      </c>
      <c r="Z102" s="5" t="s">
        <v>112</v>
      </c>
      <c r="AM102" s="146"/>
      <c r="AN102" s="146"/>
      <c r="AO102" s="146"/>
      <c r="AP102" s="146"/>
      <c r="AQ102" s="146"/>
      <c r="AR102" s="146"/>
      <c r="AS102" s="146"/>
      <c r="AT102" s="146"/>
      <c r="AU102" s="146"/>
      <c r="AV102" s="146"/>
      <c r="AW102" s="146"/>
    </row>
    <row r="103" spans="1:50" x14ac:dyDescent="0.25">
      <c r="A103" s="5" t="s">
        <v>187</v>
      </c>
      <c r="B103" s="5" t="s">
        <v>151</v>
      </c>
      <c r="C103" s="5">
        <v>6</v>
      </c>
      <c r="D103" s="5">
        <v>3</v>
      </c>
      <c r="E103" s="5">
        <v>3</v>
      </c>
      <c r="F103" s="5">
        <v>2</v>
      </c>
      <c r="G103" s="5">
        <v>2</v>
      </c>
      <c r="H103" s="5">
        <v>4</v>
      </c>
      <c r="I103" s="5">
        <v>3</v>
      </c>
      <c r="J103" s="5">
        <v>4</v>
      </c>
      <c r="K103" s="5">
        <v>1</v>
      </c>
      <c r="L103" s="5">
        <v>3</v>
      </c>
      <c r="M103" s="5">
        <v>3</v>
      </c>
      <c r="N103" s="5">
        <f>AVERAGE(D103:M103)</f>
        <v>2.8</v>
      </c>
      <c r="O103" s="146">
        <f>(D103/0.01)*10^($C$103)</f>
        <v>300000000</v>
      </c>
      <c r="P103" s="146">
        <f>(E103/0.01)*10^($C$103)</f>
        <v>300000000</v>
      </c>
      <c r="Q103" s="146">
        <f>(F103/0.01)*10^($C$103)</f>
        <v>200000000</v>
      </c>
      <c r="R103" s="146">
        <f>(G103/0.01)*10^($C$103)</f>
        <v>200000000</v>
      </c>
      <c r="S103" s="146">
        <f t="shared" ref="S103" si="147">(H103/0.01)*10^($C$103)</f>
        <v>400000000</v>
      </c>
      <c r="T103" s="146">
        <f>(I103/0.01)*10^($C$103)</f>
        <v>300000000</v>
      </c>
      <c r="U103" s="146">
        <f>(J103/0.01)*10^($C$103)</f>
        <v>400000000</v>
      </c>
      <c r="V103" s="146">
        <f>(K103/0.01)*10^($C$103)</f>
        <v>100000000</v>
      </c>
      <c r="W103" s="146">
        <f>(L103/0.01)*10^($C$103)</f>
        <v>300000000</v>
      </c>
      <c r="X103" s="146">
        <f>(M103/0.01)*10^($C$103)</f>
        <v>300000000</v>
      </c>
      <c r="Y103" s="146">
        <f t="shared" si="128"/>
        <v>280000000</v>
      </c>
      <c r="Z103" s="5" t="s">
        <v>151</v>
      </c>
      <c r="AA103" s="5">
        <v>5</v>
      </c>
      <c r="AB103" s="5">
        <v>24</v>
      </c>
      <c r="AC103" s="5">
        <v>22</v>
      </c>
      <c r="AD103" s="5">
        <v>25</v>
      </c>
      <c r="AE103" s="5">
        <v>39</v>
      </c>
      <c r="AF103" s="5">
        <v>30</v>
      </c>
      <c r="AG103" s="5">
        <v>23</v>
      </c>
      <c r="AH103" s="5">
        <v>32</v>
      </c>
      <c r="AI103" s="5">
        <v>24</v>
      </c>
      <c r="AJ103" s="5">
        <v>31</v>
      </c>
      <c r="AK103" s="5">
        <v>20</v>
      </c>
      <c r="AL103" s="5">
        <f t="shared" si="136"/>
        <v>27</v>
      </c>
      <c r="AM103" s="146">
        <f t="shared" ref="AM103:AV103" si="148">(AB103/0.01)*10^($AA$103)</f>
        <v>240000000</v>
      </c>
      <c r="AN103" s="146">
        <f t="shared" si="148"/>
        <v>220000000</v>
      </c>
      <c r="AO103" s="146">
        <f t="shared" si="148"/>
        <v>250000000</v>
      </c>
      <c r="AP103" s="146">
        <f t="shared" si="148"/>
        <v>390000000</v>
      </c>
      <c r="AQ103" s="146">
        <f t="shared" si="148"/>
        <v>300000000</v>
      </c>
      <c r="AR103" s="146">
        <f t="shared" si="148"/>
        <v>230000000</v>
      </c>
      <c r="AS103" s="146">
        <f t="shared" si="148"/>
        <v>320000000</v>
      </c>
      <c r="AT103" s="146">
        <f t="shared" si="148"/>
        <v>240000000</v>
      </c>
      <c r="AU103" s="146">
        <f t="shared" si="148"/>
        <v>310000000</v>
      </c>
      <c r="AV103" s="146">
        <f t="shared" si="148"/>
        <v>200000000</v>
      </c>
      <c r="AW103" s="146">
        <f t="shared" ref="AW103:AW119" si="149">AVERAGE(AM103:AV103)</f>
        <v>270000000</v>
      </c>
    </row>
    <row r="104" spans="1:50" x14ac:dyDescent="0.25">
      <c r="B104" s="5" t="s">
        <v>152</v>
      </c>
      <c r="C104" s="5">
        <v>6</v>
      </c>
      <c r="D104" s="5">
        <v>4</v>
      </c>
      <c r="E104" s="5">
        <v>3</v>
      </c>
      <c r="F104" s="5">
        <v>0</v>
      </c>
      <c r="G104" s="5">
        <v>3</v>
      </c>
      <c r="H104" s="5">
        <v>4</v>
      </c>
      <c r="I104" s="5">
        <v>3</v>
      </c>
      <c r="J104" s="5">
        <v>2</v>
      </c>
      <c r="K104" s="5">
        <v>3</v>
      </c>
      <c r="L104" s="5">
        <v>3</v>
      </c>
      <c r="M104" s="5">
        <v>1</v>
      </c>
      <c r="N104" s="5">
        <f>AVERAGE(D104:M104)</f>
        <v>2.6</v>
      </c>
      <c r="O104" s="146">
        <f>(D104/0.01)*10^($C$104)</f>
        <v>400000000</v>
      </c>
      <c r="P104" s="146">
        <f>(E104/0.01)*10^($C$104)</f>
        <v>300000000</v>
      </c>
      <c r="Q104" s="146">
        <f>(F104/0.01)*10^($C$104)</f>
        <v>0</v>
      </c>
      <c r="R104" s="146">
        <f>(G104/0.01)*10^($C$104)</f>
        <v>300000000</v>
      </c>
      <c r="S104" s="146">
        <f t="shared" ref="S104" si="150">(H104/0.01)*10^($C$104)</f>
        <v>400000000</v>
      </c>
      <c r="T104" s="146">
        <f>(I104/0.01)*10^($C$104)</f>
        <v>300000000</v>
      </c>
      <c r="U104" s="146">
        <f>(J104/0.01)*10^($C$104)</f>
        <v>200000000</v>
      </c>
      <c r="V104" s="146">
        <f>(K104/0.01)*10^($C$104)</f>
        <v>300000000</v>
      </c>
      <c r="W104" s="146">
        <f>(L104/0.01)*10^($C$104)</f>
        <v>300000000</v>
      </c>
      <c r="X104" s="146">
        <f>(M104/0.01)*10^($C$104)</f>
        <v>100000000</v>
      </c>
      <c r="Y104" s="146">
        <f t="shared" si="128"/>
        <v>260000000</v>
      </c>
      <c r="Z104" s="5" t="s">
        <v>152</v>
      </c>
      <c r="AA104" s="5">
        <v>5</v>
      </c>
      <c r="AB104" s="5">
        <v>28</v>
      </c>
      <c r="AC104" s="5">
        <v>23</v>
      </c>
      <c r="AD104" s="5">
        <v>20</v>
      </c>
      <c r="AE104" s="5">
        <v>41</v>
      </c>
      <c r="AF104" s="5">
        <v>23</v>
      </c>
      <c r="AG104" s="5">
        <v>23</v>
      </c>
      <c r="AH104" s="5">
        <v>26</v>
      </c>
      <c r="AI104" s="5">
        <v>19</v>
      </c>
      <c r="AJ104" s="5">
        <v>24</v>
      </c>
      <c r="AK104" s="5">
        <v>26</v>
      </c>
      <c r="AL104" s="5">
        <f t="shared" si="136"/>
        <v>25.3</v>
      </c>
      <c r="AM104" s="146">
        <f t="shared" ref="AM104:AV104" si="151">(AB104/0.01)*10^($AA$104)</f>
        <v>280000000</v>
      </c>
      <c r="AN104" s="146">
        <f t="shared" si="151"/>
        <v>230000000</v>
      </c>
      <c r="AO104" s="146">
        <f t="shared" si="151"/>
        <v>200000000</v>
      </c>
      <c r="AP104" s="146">
        <f t="shared" si="151"/>
        <v>410000000</v>
      </c>
      <c r="AQ104" s="146">
        <f t="shared" si="151"/>
        <v>230000000</v>
      </c>
      <c r="AR104" s="146">
        <f t="shared" si="151"/>
        <v>230000000</v>
      </c>
      <c r="AS104" s="146">
        <f t="shared" si="151"/>
        <v>260000000</v>
      </c>
      <c r="AT104" s="146">
        <f t="shared" si="151"/>
        <v>190000000</v>
      </c>
      <c r="AU104" s="146">
        <f t="shared" si="151"/>
        <v>240000000</v>
      </c>
      <c r="AV104" s="146">
        <f t="shared" si="151"/>
        <v>260000000</v>
      </c>
      <c r="AW104" s="146">
        <f t="shared" si="149"/>
        <v>253000000</v>
      </c>
    </row>
    <row r="105" spans="1:50" x14ac:dyDescent="0.25">
      <c r="B105" s="5" t="s">
        <v>153</v>
      </c>
      <c r="C105" s="5">
        <v>6</v>
      </c>
      <c r="D105" s="5">
        <v>1</v>
      </c>
      <c r="E105" s="5">
        <v>1</v>
      </c>
      <c r="F105" s="5">
        <v>1</v>
      </c>
      <c r="G105" s="5">
        <v>2</v>
      </c>
      <c r="H105" s="5">
        <v>0</v>
      </c>
      <c r="I105" s="5">
        <v>0</v>
      </c>
      <c r="J105" s="5">
        <v>4</v>
      </c>
      <c r="K105" s="5">
        <v>3</v>
      </c>
      <c r="L105" s="5">
        <v>2</v>
      </c>
      <c r="M105" s="5">
        <v>1</v>
      </c>
      <c r="N105" s="5">
        <f>AVERAGE(D105:M105)</f>
        <v>1.5</v>
      </c>
      <c r="O105" s="146">
        <f>(D105/0.01)*10^($C$105)</f>
        <v>100000000</v>
      </c>
      <c r="P105" s="146">
        <f>(E105/0.01)*10^($C$105)</f>
        <v>100000000</v>
      </c>
      <c r="Q105" s="146">
        <f>(F105/0.01)*10^($C$105)</f>
        <v>100000000</v>
      </c>
      <c r="R105" s="146">
        <f>(G105/0.01)*10^($C$105)</f>
        <v>200000000</v>
      </c>
      <c r="S105" s="146">
        <f t="shared" ref="S105" si="152">(H105/0.01)*10^($C$105)</f>
        <v>0</v>
      </c>
      <c r="T105" s="146">
        <f>(I105/0.01)*10^($C$105)</f>
        <v>0</v>
      </c>
      <c r="U105" s="146">
        <f>(J105/0.01)*10^($C$105)</f>
        <v>400000000</v>
      </c>
      <c r="V105" s="146">
        <f>(K105/0.01)*10^($C$105)</f>
        <v>300000000</v>
      </c>
      <c r="W105" s="146">
        <f>(L105/0.01)*10^($C$105)</f>
        <v>200000000</v>
      </c>
      <c r="X105" s="146">
        <f>(M105/0.01)*10^($C$105)</f>
        <v>100000000</v>
      </c>
      <c r="Y105" s="146">
        <f t="shared" si="128"/>
        <v>150000000</v>
      </c>
      <c r="Z105" s="5" t="s">
        <v>153</v>
      </c>
      <c r="AA105" s="5">
        <v>5</v>
      </c>
      <c r="AB105" s="5">
        <v>19</v>
      </c>
      <c r="AC105" s="5">
        <v>14</v>
      </c>
      <c r="AD105" s="5">
        <v>18</v>
      </c>
      <c r="AE105" s="5">
        <v>18</v>
      </c>
      <c r="AF105" s="5">
        <v>22</v>
      </c>
      <c r="AG105" s="5">
        <v>25</v>
      </c>
      <c r="AH105" s="5">
        <v>19</v>
      </c>
      <c r="AI105" s="5">
        <v>15</v>
      </c>
      <c r="AJ105" s="5">
        <v>15</v>
      </c>
      <c r="AK105" s="5">
        <v>24</v>
      </c>
      <c r="AL105" s="5">
        <f t="shared" si="136"/>
        <v>18.899999999999999</v>
      </c>
      <c r="AM105" s="146">
        <f t="shared" ref="AM105:AV105" si="153">(AB105/0.01)*10^($AA$105)</f>
        <v>190000000</v>
      </c>
      <c r="AN105" s="146">
        <f t="shared" si="153"/>
        <v>140000000</v>
      </c>
      <c r="AO105" s="146">
        <f t="shared" si="153"/>
        <v>180000000</v>
      </c>
      <c r="AP105" s="146">
        <f t="shared" si="153"/>
        <v>180000000</v>
      </c>
      <c r="AQ105" s="146">
        <f t="shared" si="153"/>
        <v>220000000</v>
      </c>
      <c r="AR105" s="146">
        <f t="shared" si="153"/>
        <v>250000000</v>
      </c>
      <c r="AS105" s="146">
        <f t="shared" si="153"/>
        <v>190000000</v>
      </c>
      <c r="AT105" s="146">
        <f t="shared" si="153"/>
        <v>150000000</v>
      </c>
      <c r="AU105" s="146">
        <f t="shared" si="153"/>
        <v>150000000</v>
      </c>
      <c r="AV105" s="146">
        <f t="shared" si="153"/>
        <v>240000000</v>
      </c>
      <c r="AW105" s="146">
        <f t="shared" si="149"/>
        <v>189000000</v>
      </c>
    </row>
    <row r="106" spans="1:50" x14ac:dyDescent="0.25">
      <c r="B106" s="5" t="s">
        <v>178</v>
      </c>
      <c r="C106" s="5">
        <v>6</v>
      </c>
      <c r="D106" s="5">
        <v>7</v>
      </c>
      <c r="E106" s="5">
        <v>2</v>
      </c>
      <c r="F106" s="5">
        <v>5</v>
      </c>
      <c r="G106" s="5">
        <v>3</v>
      </c>
      <c r="H106" s="5">
        <v>1</v>
      </c>
      <c r="I106" s="5">
        <v>7</v>
      </c>
      <c r="J106" s="5">
        <v>5</v>
      </c>
      <c r="K106" s="5">
        <v>2</v>
      </c>
      <c r="L106" s="5">
        <v>3</v>
      </c>
      <c r="M106" s="5">
        <v>3</v>
      </c>
      <c r="N106" s="5">
        <f>AVERAGE(D106:M106)</f>
        <v>3.8</v>
      </c>
      <c r="O106" s="146">
        <f>(D106/0.01)*10^($C$106)</f>
        <v>700000000</v>
      </c>
      <c r="P106" s="146">
        <f>(E106/0.01)*10^($C$106)</f>
        <v>200000000</v>
      </c>
      <c r="Q106" s="146">
        <f>(F106/0.01)*10^($C$106)</f>
        <v>500000000</v>
      </c>
      <c r="R106" s="146">
        <f>(G106/0.01)*10^($C$106)</f>
        <v>300000000</v>
      </c>
      <c r="S106" s="146">
        <f t="shared" ref="S106" si="154">(H106/0.01)*10^($C$106)</f>
        <v>100000000</v>
      </c>
      <c r="T106" s="146">
        <f>(I106/0.01)*10^($C$106)</f>
        <v>700000000</v>
      </c>
      <c r="U106" s="146">
        <f>(J106/0.01)*10^($C$106)</f>
        <v>500000000</v>
      </c>
      <c r="V106" s="146">
        <f>(K106/0.01)*10^($C$106)</f>
        <v>200000000</v>
      </c>
      <c r="W106" s="146">
        <f>(L106/0.01)*10^($C$106)</f>
        <v>300000000</v>
      </c>
      <c r="X106" s="146">
        <f>(M106/0.01)*10^($C$106)</f>
        <v>300000000</v>
      </c>
      <c r="Y106" s="146">
        <f t="shared" si="128"/>
        <v>380000000</v>
      </c>
      <c r="Z106" s="5" t="s">
        <v>178</v>
      </c>
      <c r="AA106" s="5">
        <v>4</v>
      </c>
      <c r="AB106" s="5">
        <v>5</v>
      </c>
      <c r="AC106" s="5">
        <v>6</v>
      </c>
      <c r="AD106" s="5">
        <v>6</v>
      </c>
      <c r="AE106" s="5">
        <v>3</v>
      </c>
      <c r="AF106" s="5">
        <v>4</v>
      </c>
      <c r="AG106" s="5">
        <v>4</v>
      </c>
      <c r="AH106" s="5">
        <v>9</v>
      </c>
      <c r="AI106" s="5">
        <v>7</v>
      </c>
      <c r="AJ106" s="5">
        <v>5</v>
      </c>
      <c r="AK106" s="5">
        <v>4</v>
      </c>
      <c r="AM106" s="146">
        <f t="shared" ref="AM106:AV106" si="155">(AB106/0.01)*10^($AA$106)</f>
        <v>5000000</v>
      </c>
      <c r="AN106" s="146">
        <f t="shared" si="155"/>
        <v>6000000</v>
      </c>
      <c r="AO106" s="146">
        <f t="shared" si="155"/>
        <v>6000000</v>
      </c>
      <c r="AP106" s="146">
        <f t="shared" si="155"/>
        <v>3000000</v>
      </c>
      <c r="AQ106" s="146">
        <f t="shared" si="155"/>
        <v>4000000</v>
      </c>
      <c r="AR106" s="146">
        <f t="shared" si="155"/>
        <v>4000000</v>
      </c>
      <c r="AS106" s="146">
        <f t="shared" si="155"/>
        <v>9000000</v>
      </c>
      <c r="AT106" s="146">
        <f t="shared" si="155"/>
        <v>7000000</v>
      </c>
      <c r="AU106" s="146">
        <f t="shared" si="155"/>
        <v>5000000</v>
      </c>
      <c r="AV106" s="146">
        <f t="shared" si="155"/>
        <v>4000000</v>
      </c>
      <c r="AW106" s="146">
        <f t="shared" si="149"/>
        <v>5300000</v>
      </c>
      <c r="AX106" s="5" t="s">
        <v>166</v>
      </c>
    </row>
    <row r="107" spans="1:50" x14ac:dyDescent="0.25">
      <c r="B107" s="5" t="s">
        <v>179</v>
      </c>
      <c r="C107" s="5">
        <v>6</v>
      </c>
      <c r="D107" s="5">
        <v>1</v>
      </c>
      <c r="E107" s="5">
        <v>2</v>
      </c>
      <c r="F107" s="5">
        <v>4</v>
      </c>
      <c r="G107" s="5">
        <v>6</v>
      </c>
      <c r="H107" s="5">
        <v>1</v>
      </c>
      <c r="I107" s="5">
        <v>5</v>
      </c>
      <c r="J107" s="5">
        <v>2</v>
      </c>
      <c r="K107" s="5">
        <v>3</v>
      </c>
      <c r="L107" s="5">
        <v>5</v>
      </c>
      <c r="M107" s="5">
        <v>7</v>
      </c>
      <c r="N107" s="5">
        <f>AVERAGE(D107:M107)</f>
        <v>3.6</v>
      </c>
      <c r="O107" s="146">
        <f>(D107/0.01)*10^($C$107)</f>
        <v>100000000</v>
      </c>
      <c r="P107" s="146">
        <f>(E107/0.01)*10^($C$107)</f>
        <v>200000000</v>
      </c>
      <c r="Q107" s="146">
        <f>(F107/0.01)*10^($C$107)</f>
        <v>400000000</v>
      </c>
      <c r="R107" s="146">
        <f>(G107/0.01)*10^($C$107)</f>
        <v>600000000</v>
      </c>
      <c r="S107" s="146">
        <f t="shared" ref="S107" si="156">(H107/0.01)*10^($C$107)</f>
        <v>100000000</v>
      </c>
      <c r="T107" s="146">
        <f>(I107/0.01)*10^($C$107)</f>
        <v>500000000</v>
      </c>
      <c r="U107" s="146">
        <f>(J107/0.01)*10^($C$107)</f>
        <v>200000000</v>
      </c>
      <c r="V107" s="146">
        <f>(K107/0.01)*10^($C$107)</f>
        <v>300000000</v>
      </c>
      <c r="W107" s="146">
        <f>(L107/0.01)*10^($C$107)</f>
        <v>500000000</v>
      </c>
      <c r="X107" s="146">
        <f>(M107/0.01)*10^($C$107)</f>
        <v>700000000</v>
      </c>
      <c r="Y107" s="146">
        <f t="shared" si="128"/>
        <v>360000000</v>
      </c>
      <c r="Z107" s="5" t="s">
        <v>179</v>
      </c>
      <c r="AA107" s="5">
        <v>5</v>
      </c>
      <c r="AB107" s="5">
        <v>6</v>
      </c>
      <c r="AC107" s="5">
        <v>8</v>
      </c>
      <c r="AD107" s="5">
        <v>5</v>
      </c>
      <c r="AE107" s="5">
        <v>5</v>
      </c>
      <c r="AF107" s="5">
        <v>6</v>
      </c>
      <c r="AG107" s="5">
        <v>6</v>
      </c>
      <c r="AH107" s="5">
        <v>3</v>
      </c>
      <c r="AI107" s="5">
        <v>3</v>
      </c>
      <c r="AJ107" s="5">
        <v>2</v>
      </c>
      <c r="AK107" s="5">
        <v>4</v>
      </c>
      <c r="AM107" s="146">
        <f t="shared" ref="AM107:AV107" si="157">(AB107/0.01)*10^($AA$107)</f>
        <v>60000000</v>
      </c>
      <c r="AN107" s="146">
        <f t="shared" si="157"/>
        <v>80000000</v>
      </c>
      <c r="AO107" s="146">
        <f t="shared" si="157"/>
        <v>50000000</v>
      </c>
      <c r="AP107" s="146">
        <f t="shared" si="157"/>
        <v>50000000</v>
      </c>
      <c r="AQ107" s="146">
        <f t="shared" si="157"/>
        <v>60000000</v>
      </c>
      <c r="AR107" s="146">
        <f t="shared" si="157"/>
        <v>60000000</v>
      </c>
      <c r="AS107" s="146">
        <f t="shared" si="157"/>
        <v>30000000</v>
      </c>
      <c r="AT107" s="146">
        <f t="shared" si="157"/>
        <v>30000000</v>
      </c>
      <c r="AU107" s="146">
        <f t="shared" si="157"/>
        <v>20000000</v>
      </c>
      <c r="AV107" s="146">
        <f t="shared" si="157"/>
        <v>40000000</v>
      </c>
      <c r="AW107" s="146">
        <f t="shared" si="149"/>
        <v>48000000</v>
      </c>
      <c r="AX107" s="5" t="s">
        <v>166</v>
      </c>
    </row>
    <row r="108" spans="1:50" x14ac:dyDescent="0.25"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AA108" s="5">
        <v>5</v>
      </c>
      <c r="AB108" s="5">
        <v>30</v>
      </c>
      <c r="AC108" s="5">
        <v>22</v>
      </c>
      <c r="AD108" s="5">
        <v>23</v>
      </c>
      <c r="AE108" s="5">
        <v>28</v>
      </c>
      <c r="AF108" s="5">
        <v>21</v>
      </c>
      <c r="AG108" s="5">
        <v>24</v>
      </c>
      <c r="AH108" s="5">
        <v>25</v>
      </c>
      <c r="AI108" s="5">
        <v>24</v>
      </c>
      <c r="AJ108" s="5">
        <v>30</v>
      </c>
      <c r="AK108" s="5">
        <v>23</v>
      </c>
      <c r="AM108" s="146">
        <f t="shared" ref="AM108:AV108" si="158">(AB108/0.01)*10^($AA$108)</f>
        <v>300000000</v>
      </c>
      <c r="AN108" s="146">
        <f t="shared" si="158"/>
        <v>220000000</v>
      </c>
      <c r="AO108" s="146">
        <f t="shared" si="158"/>
        <v>230000000</v>
      </c>
      <c r="AP108" s="146">
        <f t="shared" si="158"/>
        <v>280000000</v>
      </c>
      <c r="AQ108" s="146">
        <f t="shared" si="158"/>
        <v>210000000</v>
      </c>
      <c r="AR108" s="146">
        <f t="shared" si="158"/>
        <v>240000000</v>
      </c>
      <c r="AS108" s="146">
        <f t="shared" si="158"/>
        <v>250000000</v>
      </c>
      <c r="AT108" s="146">
        <f t="shared" si="158"/>
        <v>240000000</v>
      </c>
      <c r="AU108" s="146">
        <f t="shared" si="158"/>
        <v>300000000</v>
      </c>
      <c r="AV108" s="146">
        <f t="shared" si="158"/>
        <v>230000000</v>
      </c>
      <c r="AW108" s="146">
        <f t="shared" si="149"/>
        <v>250000000</v>
      </c>
      <c r="AX108" s="5" t="s">
        <v>188</v>
      </c>
    </row>
    <row r="109" spans="1:50" x14ac:dyDescent="0.25">
      <c r="B109" s="5" t="s">
        <v>180</v>
      </c>
      <c r="C109" s="5">
        <v>6</v>
      </c>
      <c r="D109" s="5">
        <v>6</v>
      </c>
      <c r="E109" s="5">
        <v>1</v>
      </c>
      <c r="F109" s="5">
        <v>1</v>
      </c>
      <c r="G109" s="5">
        <v>3</v>
      </c>
      <c r="H109" s="5">
        <v>2</v>
      </c>
      <c r="I109" s="5">
        <v>5</v>
      </c>
      <c r="J109" s="5">
        <v>4</v>
      </c>
      <c r="K109" s="5">
        <v>2</v>
      </c>
      <c r="L109" s="5">
        <v>3</v>
      </c>
      <c r="M109" s="5">
        <v>2</v>
      </c>
      <c r="N109" s="5">
        <f>AVERAGE(D109:M109)</f>
        <v>2.9</v>
      </c>
      <c r="O109" s="146">
        <f>(D109/0.01)*10^($C$109)</f>
        <v>600000000</v>
      </c>
      <c r="P109" s="146">
        <f>(E109/0.01)*10^($C$109)</f>
        <v>100000000</v>
      </c>
      <c r="Q109" s="146">
        <f>(F109/0.01)*10^($C$109)</f>
        <v>100000000</v>
      </c>
      <c r="R109" s="146">
        <f>(G109/0.01)*10^($C$109)</f>
        <v>300000000</v>
      </c>
      <c r="S109" s="146">
        <f t="shared" ref="S109" si="159">(H109/0.01)*10^($C$109)</f>
        <v>200000000</v>
      </c>
      <c r="T109" s="146">
        <f>(I109/0.01)*10^($C$109)</f>
        <v>500000000</v>
      </c>
      <c r="U109" s="146">
        <f>(J109/0.01)*10^($C$109)</f>
        <v>400000000</v>
      </c>
      <c r="V109" s="146">
        <f>(K109/0.01)*10^($C$109)</f>
        <v>200000000</v>
      </c>
      <c r="W109" s="146">
        <f>(L109/0.01)*10^($C$109)</f>
        <v>300000000</v>
      </c>
      <c r="X109" s="146">
        <f>(M109/0.01)*10^($C$109)</f>
        <v>200000000</v>
      </c>
      <c r="Y109" s="146">
        <f>AVERAGE(O109:X109)</f>
        <v>290000000</v>
      </c>
      <c r="Z109" s="5" t="s">
        <v>180</v>
      </c>
      <c r="AA109" s="5">
        <v>5</v>
      </c>
      <c r="AB109" s="5">
        <v>9</v>
      </c>
      <c r="AC109" s="5">
        <v>3</v>
      </c>
      <c r="AD109" s="5">
        <v>8</v>
      </c>
      <c r="AE109" s="5">
        <v>4</v>
      </c>
      <c r="AF109" s="5">
        <v>5</v>
      </c>
      <c r="AG109" s="5">
        <v>8</v>
      </c>
      <c r="AH109" s="5">
        <v>8</v>
      </c>
      <c r="AI109" s="5">
        <v>4</v>
      </c>
      <c r="AJ109" s="5">
        <v>1</v>
      </c>
      <c r="AK109" s="5">
        <v>0</v>
      </c>
      <c r="AM109" s="146">
        <f t="shared" ref="AM109:AV109" si="160">(AB109/0.01)*10^($AA$109)</f>
        <v>90000000</v>
      </c>
      <c r="AN109" s="146">
        <f t="shared" si="160"/>
        <v>30000000</v>
      </c>
      <c r="AO109" s="146">
        <f t="shared" si="160"/>
        <v>80000000</v>
      </c>
      <c r="AP109" s="146">
        <f t="shared" si="160"/>
        <v>40000000</v>
      </c>
      <c r="AQ109" s="146">
        <f t="shared" si="160"/>
        <v>50000000</v>
      </c>
      <c r="AR109" s="146">
        <f t="shared" si="160"/>
        <v>80000000</v>
      </c>
      <c r="AS109" s="146">
        <f t="shared" si="160"/>
        <v>80000000</v>
      </c>
      <c r="AT109" s="146">
        <f t="shared" si="160"/>
        <v>40000000</v>
      </c>
      <c r="AU109" s="146">
        <f t="shared" si="160"/>
        <v>10000000</v>
      </c>
      <c r="AV109" s="146">
        <f t="shared" si="160"/>
        <v>0</v>
      </c>
      <c r="AW109" s="146">
        <f t="shared" si="149"/>
        <v>50000000</v>
      </c>
      <c r="AX109" s="5" t="s">
        <v>166</v>
      </c>
    </row>
    <row r="110" spans="1:50" x14ac:dyDescent="0.25"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AA110" s="5">
        <v>5</v>
      </c>
      <c r="AB110" s="5">
        <v>27</v>
      </c>
      <c r="AC110" s="5">
        <v>22</v>
      </c>
      <c r="AD110" s="5">
        <v>35</v>
      </c>
      <c r="AE110" s="5">
        <v>24</v>
      </c>
      <c r="AF110" s="5">
        <v>26</v>
      </c>
      <c r="AG110" s="5">
        <v>28</v>
      </c>
      <c r="AH110" s="5">
        <v>25</v>
      </c>
      <c r="AI110" s="5">
        <v>28</v>
      </c>
      <c r="AJ110" s="5">
        <v>28</v>
      </c>
      <c r="AK110" s="5">
        <v>22</v>
      </c>
      <c r="AM110" s="146">
        <f t="shared" ref="AM110:AV110" si="161">(AB110/0.01)*10^($AA$110)</f>
        <v>270000000</v>
      </c>
      <c r="AN110" s="146">
        <f t="shared" si="161"/>
        <v>220000000</v>
      </c>
      <c r="AO110" s="146">
        <f t="shared" si="161"/>
        <v>350000000</v>
      </c>
      <c r="AP110" s="146">
        <f t="shared" si="161"/>
        <v>240000000</v>
      </c>
      <c r="AQ110" s="146">
        <f t="shared" si="161"/>
        <v>260000000</v>
      </c>
      <c r="AR110" s="146">
        <f t="shared" si="161"/>
        <v>280000000</v>
      </c>
      <c r="AS110" s="146">
        <f t="shared" si="161"/>
        <v>250000000</v>
      </c>
      <c r="AT110" s="146">
        <f t="shared" si="161"/>
        <v>280000000</v>
      </c>
      <c r="AU110" s="146">
        <f t="shared" si="161"/>
        <v>280000000</v>
      </c>
      <c r="AV110" s="146">
        <f t="shared" si="161"/>
        <v>220000000</v>
      </c>
      <c r="AW110" s="146">
        <f t="shared" si="149"/>
        <v>265000000</v>
      </c>
      <c r="AX110" s="5" t="s">
        <v>189</v>
      </c>
    </row>
    <row r="111" spans="1:50" x14ac:dyDescent="0.25">
      <c r="B111" s="5" t="s">
        <v>181</v>
      </c>
      <c r="C111" s="5">
        <v>6</v>
      </c>
      <c r="D111" s="5">
        <v>6</v>
      </c>
      <c r="E111" s="5">
        <v>4</v>
      </c>
      <c r="F111" s="5">
        <v>0</v>
      </c>
      <c r="G111" s="5">
        <v>3</v>
      </c>
      <c r="H111" s="5">
        <v>5</v>
      </c>
      <c r="I111" s="5">
        <v>2</v>
      </c>
      <c r="J111" s="5">
        <v>7</v>
      </c>
      <c r="K111" s="5">
        <v>5</v>
      </c>
      <c r="L111" s="5">
        <v>5</v>
      </c>
      <c r="M111" s="5">
        <v>6</v>
      </c>
      <c r="N111" s="5">
        <f>AVERAGE(D111:M111)</f>
        <v>4.3</v>
      </c>
      <c r="O111" s="146">
        <f>(D111/0.01)*10^($C$111)</f>
        <v>600000000</v>
      </c>
      <c r="P111" s="146">
        <f>(E111/0.01)*10^($C$111)</f>
        <v>400000000</v>
      </c>
      <c r="Q111" s="146">
        <f>(F111/0.01)*10^($C$111)</f>
        <v>0</v>
      </c>
      <c r="R111" s="146">
        <f>(G111/0.01)*10^($C$111)</f>
        <v>300000000</v>
      </c>
      <c r="S111" s="146">
        <f t="shared" ref="S111" si="162">(H111/0.01)*10^($C$111)</f>
        <v>500000000</v>
      </c>
      <c r="T111" s="146">
        <f>(I111/0.01)*10^($C$111)</f>
        <v>200000000</v>
      </c>
      <c r="U111" s="146">
        <f>(J111/0.01)*10^($C$111)</f>
        <v>700000000</v>
      </c>
      <c r="V111" s="146">
        <f>(K111/0.01)*10^($C$111)</f>
        <v>500000000</v>
      </c>
      <c r="W111" s="146">
        <f>(L111/0.01)*10^($C$111)</f>
        <v>500000000</v>
      </c>
      <c r="X111" s="146">
        <f>(M111/0.01)*10^($C$111)</f>
        <v>600000000</v>
      </c>
      <c r="Y111" s="146">
        <f>AVERAGE(O111:X111)</f>
        <v>430000000</v>
      </c>
      <c r="Z111" s="5" t="s">
        <v>181</v>
      </c>
      <c r="AA111" s="5">
        <v>5</v>
      </c>
      <c r="AB111" s="5">
        <v>3</v>
      </c>
      <c r="AC111" s="5">
        <v>3</v>
      </c>
      <c r="AD111" s="5">
        <v>4</v>
      </c>
      <c r="AE111" s="5">
        <v>7</v>
      </c>
      <c r="AF111" s="5">
        <v>6</v>
      </c>
      <c r="AG111" s="5">
        <v>6</v>
      </c>
      <c r="AH111" s="5">
        <v>4</v>
      </c>
      <c r="AI111" s="5">
        <v>3</v>
      </c>
      <c r="AJ111" s="5">
        <v>4</v>
      </c>
      <c r="AK111" s="5">
        <v>2</v>
      </c>
      <c r="AM111" s="146">
        <f t="shared" ref="AM111:AV111" si="163">(AB111/0.01)*10^($AA$111)</f>
        <v>30000000</v>
      </c>
      <c r="AN111" s="146">
        <f t="shared" si="163"/>
        <v>30000000</v>
      </c>
      <c r="AO111" s="146">
        <f t="shared" si="163"/>
        <v>40000000</v>
      </c>
      <c r="AP111" s="146">
        <f t="shared" si="163"/>
        <v>70000000</v>
      </c>
      <c r="AQ111" s="146">
        <f t="shared" si="163"/>
        <v>60000000</v>
      </c>
      <c r="AR111" s="146">
        <f t="shared" si="163"/>
        <v>60000000</v>
      </c>
      <c r="AS111" s="146">
        <f t="shared" si="163"/>
        <v>40000000</v>
      </c>
      <c r="AT111" s="146">
        <f t="shared" si="163"/>
        <v>30000000</v>
      </c>
      <c r="AU111" s="146">
        <f t="shared" si="163"/>
        <v>40000000</v>
      </c>
      <c r="AV111" s="146">
        <f t="shared" si="163"/>
        <v>20000000</v>
      </c>
      <c r="AW111" s="146">
        <f t="shared" si="149"/>
        <v>42000000</v>
      </c>
      <c r="AX111" s="5" t="s">
        <v>166</v>
      </c>
    </row>
    <row r="112" spans="1:50" x14ac:dyDescent="0.25">
      <c r="B112" s="5" t="s">
        <v>182</v>
      </c>
      <c r="C112" s="5">
        <v>6</v>
      </c>
      <c r="D112" s="5">
        <v>6</v>
      </c>
      <c r="E112" s="5">
        <v>9</v>
      </c>
      <c r="F112" s="5">
        <v>4</v>
      </c>
      <c r="G112" s="5">
        <v>5</v>
      </c>
      <c r="H112" s="5">
        <v>10</v>
      </c>
      <c r="I112" s="5">
        <v>6</v>
      </c>
      <c r="J112" s="5">
        <v>3</v>
      </c>
      <c r="K112" s="5">
        <v>4</v>
      </c>
      <c r="L112" s="5">
        <v>8</v>
      </c>
      <c r="M112" s="5">
        <v>1</v>
      </c>
      <c r="N112" s="5">
        <f>AVERAGE(D112:M112)</f>
        <v>5.6</v>
      </c>
      <c r="O112" s="146">
        <f>(D112/0.01)*10^($C$112)</f>
        <v>600000000</v>
      </c>
      <c r="P112" s="146">
        <f>(E112/0.01)*10^($C$112)</f>
        <v>900000000</v>
      </c>
      <c r="Q112" s="146">
        <f>(F112/0.01)*10^($C$112)</f>
        <v>400000000</v>
      </c>
      <c r="R112" s="146">
        <f>(G112/0.01)*10^($C$112)</f>
        <v>500000000</v>
      </c>
      <c r="S112" s="146">
        <f t="shared" ref="S112" si="164">(H112/0.01)*10^($C$112)</f>
        <v>1000000000</v>
      </c>
      <c r="T112" s="146">
        <f>(I112/0.01)*10^($C$112)</f>
        <v>600000000</v>
      </c>
      <c r="U112" s="146">
        <f>(J112/0.01)*10^($C$112)</f>
        <v>300000000</v>
      </c>
      <c r="V112" s="146">
        <f>(K112/0.01)*10^($C$112)</f>
        <v>400000000</v>
      </c>
      <c r="W112" s="146">
        <f>(L112/0.01)*10^($C$112)</f>
        <v>800000000</v>
      </c>
      <c r="X112" s="146">
        <f>(M112/0.01)*10^($C$112)</f>
        <v>100000000</v>
      </c>
      <c r="Y112" s="146">
        <f>AVERAGE(O112:X112)</f>
        <v>560000000</v>
      </c>
      <c r="Z112" s="5" t="s">
        <v>182</v>
      </c>
      <c r="AA112" s="5">
        <v>5</v>
      </c>
      <c r="AB112" s="5">
        <v>14</v>
      </c>
      <c r="AC112" s="5">
        <v>11</v>
      </c>
      <c r="AD112" s="5">
        <v>8</v>
      </c>
      <c r="AE112" s="5">
        <v>17</v>
      </c>
      <c r="AF112" s="5">
        <v>14</v>
      </c>
      <c r="AG112" s="5">
        <v>15</v>
      </c>
      <c r="AH112" s="5">
        <v>13</v>
      </c>
      <c r="AI112" s="5">
        <v>12</v>
      </c>
      <c r="AJ112" s="5">
        <v>14</v>
      </c>
      <c r="AK112" s="5">
        <v>13</v>
      </c>
      <c r="AM112" s="146">
        <f t="shared" ref="AM112:AV112" si="165">(AB112/0.01)*10^($AA$112)</f>
        <v>140000000</v>
      </c>
      <c r="AN112" s="146">
        <f t="shared" si="165"/>
        <v>110000000</v>
      </c>
      <c r="AO112" s="146">
        <f t="shared" si="165"/>
        <v>80000000</v>
      </c>
      <c r="AP112" s="146">
        <f t="shared" si="165"/>
        <v>170000000</v>
      </c>
      <c r="AQ112" s="146">
        <f t="shared" si="165"/>
        <v>140000000</v>
      </c>
      <c r="AR112" s="146">
        <f t="shared" si="165"/>
        <v>150000000</v>
      </c>
      <c r="AS112" s="146">
        <f t="shared" si="165"/>
        <v>130000000</v>
      </c>
      <c r="AT112" s="146">
        <f t="shared" si="165"/>
        <v>120000000</v>
      </c>
      <c r="AU112" s="146">
        <f t="shared" si="165"/>
        <v>140000000</v>
      </c>
      <c r="AV112" s="146">
        <f t="shared" si="165"/>
        <v>130000000</v>
      </c>
      <c r="AW112" s="146">
        <f t="shared" si="149"/>
        <v>131000000</v>
      </c>
      <c r="AX112" s="5" t="s">
        <v>166</v>
      </c>
    </row>
    <row r="113" spans="2:50" x14ac:dyDescent="0.25">
      <c r="B113" s="5" t="s">
        <v>183</v>
      </c>
      <c r="C113" s="5">
        <v>6</v>
      </c>
      <c r="D113" s="5">
        <v>4</v>
      </c>
      <c r="E113" s="5">
        <v>4</v>
      </c>
      <c r="F113" s="5">
        <v>5</v>
      </c>
      <c r="G113" s="5">
        <v>3</v>
      </c>
      <c r="H113" s="5">
        <v>2</v>
      </c>
      <c r="I113" s="5">
        <v>5</v>
      </c>
      <c r="J113" s="5">
        <v>3</v>
      </c>
      <c r="K113" s="5">
        <v>3</v>
      </c>
      <c r="L113" s="5">
        <v>3</v>
      </c>
      <c r="M113" s="5">
        <v>7</v>
      </c>
      <c r="N113" s="5">
        <f>AVERAGE(D113:M113)</f>
        <v>3.9</v>
      </c>
      <c r="O113" s="146">
        <f>(D113/0.01)*10^($C$113)</f>
        <v>400000000</v>
      </c>
      <c r="P113" s="146">
        <f>(E113/0.01)*10^($C$113)</f>
        <v>400000000</v>
      </c>
      <c r="Q113" s="146">
        <f>(F113/0.01)*10^($C$113)</f>
        <v>500000000</v>
      </c>
      <c r="R113" s="146">
        <f>(G113/0.01)*10^($C$113)</f>
        <v>300000000</v>
      </c>
      <c r="S113" s="146">
        <f t="shared" ref="S113" si="166">(H113/0.01)*10^($C$113)</f>
        <v>200000000</v>
      </c>
      <c r="T113" s="146">
        <f>(I113/0.01)*10^($C$113)</f>
        <v>500000000</v>
      </c>
      <c r="U113" s="146">
        <f>(J113/0.01)*10^($C$113)</f>
        <v>300000000</v>
      </c>
      <c r="V113" s="146">
        <f>(K113/0.01)*10^($C$113)</f>
        <v>300000000</v>
      </c>
      <c r="W113" s="146">
        <f>(L113/0.01)*10^($C$113)</f>
        <v>300000000</v>
      </c>
      <c r="X113" s="146">
        <f>(M113/0.01)*10^($C$113)</f>
        <v>700000000</v>
      </c>
      <c r="Y113" s="146">
        <f>AVERAGE(O113:X113)</f>
        <v>390000000</v>
      </c>
      <c r="Z113" s="5" t="s">
        <v>183</v>
      </c>
      <c r="AA113" s="5">
        <v>5</v>
      </c>
      <c r="AB113" s="5">
        <v>14</v>
      </c>
      <c r="AC113" s="5">
        <v>11</v>
      </c>
      <c r="AD113" s="5">
        <v>13</v>
      </c>
      <c r="AE113" s="5">
        <v>14</v>
      </c>
      <c r="AF113" s="5">
        <v>12</v>
      </c>
      <c r="AG113" s="5">
        <v>12</v>
      </c>
      <c r="AH113" s="5">
        <v>10</v>
      </c>
      <c r="AI113" s="5">
        <v>6</v>
      </c>
      <c r="AJ113" s="5">
        <v>10</v>
      </c>
      <c r="AK113" s="5">
        <v>12</v>
      </c>
      <c r="AM113" s="146">
        <f t="shared" ref="AM113:AV113" si="167">(AB113/0.01)*10^($AA$113)</f>
        <v>140000000</v>
      </c>
      <c r="AN113" s="146">
        <f t="shared" si="167"/>
        <v>110000000</v>
      </c>
      <c r="AO113" s="146">
        <f t="shared" si="167"/>
        <v>130000000</v>
      </c>
      <c r="AP113" s="146">
        <f t="shared" si="167"/>
        <v>140000000</v>
      </c>
      <c r="AQ113" s="146">
        <f t="shared" si="167"/>
        <v>120000000</v>
      </c>
      <c r="AR113" s="146">
        <f t="shared" si="167"/>
        <v>120000000</v>
      </c>
      <c r="AS113" s="146">
        <f t="shared" si="167"/>
        <v>100000000</v>
      </c>
      <c r="AT113" s="146">
        <f t="shared" si="167"/>
        <v>60000000</v>
      </c>
      <c r="AU113" s="146">
        <f t="shared" si="167"/>
        <v>100000000</v>
      </c>
      <c r="AV113" s="146">
        <f t="shared" si="167"/>
        <v>120000000</v>
      </c>
      <c r="AW113" s="146">
        <f t="shared" si="149"/>
        <v>114000000</v>
      </c>
      <c r="AX113" s="5" t="s">
        <v>166</v>
      </c>
    </row>
    <row r="114" spans="2:50" x14ac:dyDescent="0.25">
      <c r="B114" s="5" t="s">
        <v>184</v>
      </c>
      <c r="C114" s="5">
        <v>6</v>
      </c>
      <c r="D114" s="5">
        <v>0</v>
      </c>
      <c r="E114" s="5">
        <v>2</v>
      </c>
      <c r="F114" s="5">
        <v>2</v>
      </c>
      <c r="G114" s="5">
        <v>1</v>
      </c>
      <c r="H114" s="5">
        <v>3</v>
      </c>
      <c r="I114" s="5">
        <v>1</v>
      </c>
      <c r="J114" s="5">
        <v>1</v>
      </c>
      <c r="K114" s="5">
        <v>0</v>
      </c>
      <c r="L114" s="5">
        <v>2</v>
      </c>
      <c r="M114" s="5">
        <v>2</v>
      </c>
      <c r="N114" s="5">
        <f>AVERAGE(D114:M114)</f>
        <v>1.4</v>
      </c>
      <c r="O114" s="146">
        <f>(D114/0.01)*10^($C$114)</f>
        <v>0</v>
      </c>
      <c r="P114" s="146">
        <f>(E114/0.01)*10^($C$114)</f>
        <v>200000000</v>
      </c>
      <c r="Q114" s="146">
        <f>(F114/0.01)*10^($C$114)</f>
        <v>200000000</v>
      </c>
      <c r="R114" s="146">
        <f>(G114/0.01)*10^($C$114)</f>
        <v>100000000</v>
      </c>
      <c r="S114" s="146">
        <f t="shared" ref="S114" si="168">(H114/0.01)*10^($C$114)</f>
        <v>300000000</v>
      </c>
      <c r="T114" s="146">
        <f>(I114/0.01)*10^($C$114)</f>
        <v>100000000</v>
      </c>
      <c r="U114" s="146">
        <f>(J114/0.01)*10^($C$114)</f>
        <v>100000000</v>
      </c>
      <c r="V114" s="146">
        <f>(K114/0.01)*10^($C$114)</f>
        <v>0</v>
      </c>
      <c r="W114" s="146">
        <f>(L114/0.01)*10^($C$114)</f>
        <v>200000000</v>
      </c>
      <c r="X114" s="146">
        <f>(M114/0.01)*10^($C$114)</f>
        <v>200000000</v>
      </c>
      <c r="Y114" s="146">
        <f>AVERAGE(O114:X114)</f>
        <v>140000000</v>
      </c>
      <c r="Z114" s="5" t="s">
        <v>184</v>
      </c>
      <c r="AA114" s="5">
        <v>5</v>
      </c>
      <c r="AB114" s="5">
        <v>6</v>
      </c>
      <c r="AC114" s="5">
        <v>6</v>
      </c>
      <c r="AD114" s="5">
        <v>6</v>
      </c>
      <c r="AE114" s="5">
        <v>4</v>
      </c>
      <c r="AF114" s="5">
        <v>1</v>
      </c>
      <c r="AG114" s="5">
        <v>4</v>
      </c>
      <c r="AH114" s="5">
        <v>1</v>
      </c>
      <c r="AI114" s="5">
        <v>2</v>
      </c>
      <c r="AJ114" s="5">
        <v>4</v>
      </c>
      <c r="AK114" s="5">
        <v>2</v>
      </c>
      <c r="AM114" s="146">
        <f t="shared" ref="AM114:AV114" si="169">(AB114/0.01)*10^($AA$114)</f>
        <v>60000000</v>
      </c>
      <c r="AN114" s="146">
        <f t="shared" si="169"/>
        <v>60000000</v>
      </c>
      <c r="AO114" s="146">
        <f t="shared" si="169"/>
        <v>60000000</v>
      </c>
      <c r="AP114" s="146">
        <f t="shared" si="169"/>
        <v>40000000</v>
      </c>
      <c r="AQ114" s="146">
        <f t="shared" si="169"/>
        <v>10000000</v>
      </c>
      <c r="AR114" s="146">
        <f t="shared" si="169"/>
        <v>40000000</v>
      </c>
      <c r="AS114" s="146">
        <f t="shared" si="169"/>
        <v>10000000</v>
      </c>
      <c r="AT114" s="146">
        <f t="shared" si="169"/>
        <v>20000000</v>
      </c>
      <c r="AU114" s="146">
        <f t="shared" si="169"/>
        <v>40000000</v>
      </c>
      <c r="AV114" s="146">
        <f t="shared" si="169"/>
        <v>20000000</v>
      </c>
      <c r="AW114" s="146">
        <f t="shared" si="149"/>
        <v>36000000</v>
      </c>
      <c r="AX114" s="5" t="s">
        <v>166</v>
      </c>
    </row>
    <row r="115" spans="2:50" x14ac:dyDescent="0.25"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AA115" s="5">
        <v>5</v>
      </c>
      <c r="AB115" s="5">
        <v>7</v>
      </c>
      <c r="AC115" s="5">
        <v>9</v>
      </c>
      <c r="AD115" s="5">
        <v>6</v>
      </c>
      <c r="AE115" s="5">
        <v>9</v>
      </c>
      <c r="AF115" s="5">
        <v>7</v>
      </c>
      <c r="AG115" s="5">
        <v>9</v>
      </c>
      <c r="AH115" s="5">
        <v>10</v>
      </c>
      <c r="AI115" s="5">
        <v>7</v>
      </c>
      <c r="AJ115" s="5">
        <v>14</v>
      </c>
      <c r="AK115" s="5">
        <v>20</v>
      </c>
      <c r="AM115" s="146">
        <f t="shared" ref="AM115:AV115" si="170">(AB115/0.01)*10^($AA$115)</f>
        <v>70000000</v>
      </c>
      <c r="AN115" s="146">
        <f t="shared" si="170"/>
        <v>90000000</v>
      </c>
      <c r="AO115" s="146">
        <f t="shared" si="170"/>
        <v>60000000</v>
      </c>
      <c r="AP115" s="146">
        <f t="shared" si="170"/>
        <v>90000000</v>
      </c>
      <c r="AQ115" s="146">
        <f t="shared" si="170"/>
        <v>70000000</v>
      </c>
      <c r="AR115" s="146">
        <f t="shared" si="170"/>
        <v>90000000</v>
      </c>
      <c r="AS115" s="146">
        <f t="shared" si="170"/>
        <v>100000000</v>
      </c>
      <c r="AT115" s="146">
        <f t="shared" si="170"/>
        <v>70000000</v>
      </c>
      <c r="AU115" s="146">
        <f t="shared" si="170"/>
        <v>140000000</v>
      </c>
      <c r="AV115" s="146">
        <f t="shared" si="170"/>
        <v>200000000</v>
      </c>
      <c r="AW115" s="146">
        <f t="shared" si="149"/>
        <v>98000000</v>
      </c>
      <c r="AX115" s="5" t="s">
        <v>188</v>
      </c>
    </row>
    <row r="116" spans="2:50" x14ac:dyDescent="0.25">
      <c r="B116" s="5" t="s">
        <v>185</v>
      </c>
      <c r="C116" s="5">
        <v>6</v>
      </c>
      <c r="D116" s="5">
        <v>8</v>
      </c>
      <c r="E116" s="5">
        <v>3</v>
      </c>
      <c r="F116" s="5">
        <v>3</v>
      </c>
      <c r="G116" s="5">
        <v>3</v>
      </c>
      <c r="H116" s="5">
        <v>7</v>
      </c>
      <c r="I116" s="5">
        <v>6</v>
      </c>
      <c r="J116" s="5">
        <v>4</v>
      </c>
      <c r="K116" s="5">
        <v>5</v>
      </c>
      <c r="L116" s="5">
        <v>6</v>
      </c>
      <c r="M116" s="5">
        <v>4</v>
      </c>
      <c r="N116" s="5">
        <f>AVERAGE(D116:M116)</f>
        <v>4.9000000000000004</v>
      </c>
      <c r="O116" s="146">
        <f>(D116/0.01)*10^($C$116)</f>
        <v>800000000</v>
      </c>
      <c r="P116" s="146">
        <f>(E116/0.01)*10^($C$116)</f>
        <v>300000000</v>
      </c>
      <c r="Q116" s="146">
        <f>(F116/0.01)*10^($C$116)</f>
        <v>300000000</v>
      </c>
      <c r="R116" s="146">
        <f>(G116/0.01)*10^($C$116)</f>
        <v>300000000</v>
      </c>
      <c r="S116" s="146">
        <f t="shared" ref="S116" si="171">(H116/0.01)*10^($C$116)</f>
        <v>700000000</v>
      </c>
      <c r="T116" s="146">
        <f>(I116/0.01)*10^($C$116)</f>
        <v>600000000</v>
      </c>
      <c r="U116" s="146">
        <f>(J116/0.01)*10^($C$116)</f>
        <v>400000000</v>
      </c>
      <c r="V116" s="146">
        <f>(K116/0.01)*10^($C$116)</f>
        <v>500000000</v>
      </c>
      <c r="W116" s="146">
        <f>(L116/0.01)*10^($C$116)</f>
        <v>600000000</v>
      </c>
      <c r="X116" s="146">
        <f>(M116/0.01)*10^($C$116)</f>
        <v>400000000</v>
      </c>
      <c r="Y116" s="146">
        <f>AVERAGE(O116:X116)</f>
        <v>490000000</v>
      </c>
      <c r="Z116" s="5" t="s">
        <v>185</v>
      </c>
      <c r="AA116" s="5">
        <v>5</v>
      </c>
      <c r="AB116" s="5">
        <v>6</v>
      </c>
      <c r="AC116" s="5">
        <v>7</v>
      </c>
      <c r="AD116" s="5">
        <v>13</v>
      </c>
      <c r="AE116" s="5">
        <v>11</v>
      </c>
      <c r="AF116" s="5">
        <v>11</v>
      </c>
      <c r="AG116" s="5">
        <v>13</v>
      </c>
      <c r="AH116" s="5">
        <v>7</v>
      </c>
      <c r="AI116" s="5">
        <v>11</v>
      </c>
      <c r="AJ116" s="5">
        <v>13</v>
      </c>
      <c r="AK116" s="5">
        <v>3</v>
      </c>
      <c r="AM116" s="146">
        <f t="shared" ref="AM116:AV116" si="172">(AB116/0.01)*10^($AA$116)</f>
        <v>60000000</v>
      </c>
      <c r="AN116" s="146">
        <f t="shared" si="172"/>
        <v>70000000</v>
      </c>
      <c r="AO116" s="146">
        <f t="shared" si="172"/>
        <v>130000000</v>
      </c>
      <c r="AP116" s="146">
        <f t="shared" si="172"/>
        <v>110000000</v>
      </c>
      <c r="AQ116" s="146">
        <f t="shared" si="172"/>
        <v>110000000</v>
      </c>
      <c r="AR116" s="146">
        <f t="shared" si="172"/>
        <v>130000000</v>
      </c>
      <c r="AS116" s="146">
        <f t="shared" si="172"/>
        <v>70000000</v>
      </c>
      <c r="AT116" s="146">
        <f t="shared" si="172"/>
        <v>110000000</v>
      </c>
      <c r="AU116" s="146">
        <f t="shared" si="172"/>
        <v>130000000</v>
      </c>
      <c r="AV116" s="146">
        <f t="shared" si="172"/>
        <v>30000000</v>
      </c>
      <c r="AW116" s="146">
        <f t="shared" si="149"/>
        <v>95000000</v>
      </c>
      <c r="AX116" s="5" t="s">
        <v>166</v>
      </c>
    </row>
    <row r="117" spans="2:50" x14ac:dyDescent="0.25"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AA117" s="5">
        <v>5</v>
      </c>
      <c r="AB117" s="5">
        <v>21</v>
      </c>
      <c r="AC117" s="5">
        <v>14</v>
      </c>
      <c r="AD117" s="5">
        <v>22</v>
      </c>
      <c r="AE117" s="5">
        <v>13</v>
      </c>
      <c r="AF117" s="5">
        <v>25</v>
      </c>
      <c r="AG117" s="5">
        <v>22</v>
      </c>
      <c r="AH117" s="5">
        <v>28</v>
      </c>
      <c r="AI117" s="5">
        <v>38</v>
      </c>
      <c r="AJ117" s="5">
        <v>19</v>
      </c>
      <c r="AK117" s="5">
        <v>28</v>
      </c>
      <c r="AM117" s="146">
        <f t="shared" ref="AM117:AV117" si="173">(AB117/0.01)*10^($AA$117)</f>
        <v>210000000</v>
      </c>
      <c r="AN117" s="146">
        <f t="shared" si="173"/>
        <v>140000000</v>
      </c>
      <c r="AO117" s="146">
        <f t="shared" si="173"/>
        <v>220000000</v>
      </c>
      <c r="AP117" s="146">
        <f t="shared" si="173"/>
        <v>130000000</v>
      </c>
      <c r="AQ117" s="146">
        <f t="shared" si="173"/>
        <v>250000000</v>
      </c>
      <c r="AR117" s="146">
        <f t="shared" si="173"/>
        <v>220000000</v>
      </c>
      <c r="AS117" s="146">
        <f t="shared" si="173"/>
        <v>280000000</v>
      </c>
      <c r="AT117" s="146">
        <f t="shared" si="173"/>
        <v>380000000</v>
      </c>
      <c r="AU117" s="146">
        <f t="shared" si="173"/>
        <v>190000000</v>
      </c>
      <c r="AV117" s="146">
        <f t="shared" si="173"/>
        <v>280000000</v>
      </c>
      <c r="AW117" s="146">
        <f t="shared" si="149"/>
        <v>230000000</v>
      </c>
      <c r="AX117" s="5" t="s">
        <v>188</v>
      </c>
    </row>
    <row r="118" spans="2:50" x14ac:dyDescent="0.25">
      <c r="B118" s="5" t="s">
        <v>186</v>
      </c>
      <c r="C118" s="5">
        <v>6</v>
      </c>
      <c r="D118" s="5">
        <v>1</v>
      </c>
      <c r="E118" s="5">
        <v>1</v>
      </c>
      <c r="F118" s="5">
        <v>4</v>
      </c>
      <c r="G118" s="5">
        <v>2</v>
      </c>
      <c r="H118" s="5">
        <v>1</v>
      </c>
      <c r="I118" s="5">
        <v>1</v>
      </c>
      <c r="J118" s="5">
        <v>2</v>
      </c>
      <c r="K118" s="5">
        <v>2</v>
      </c>
      <c r="L118" s="5">
        <v>2</v>
      </c>
      <c r="M118" s="5">
        <v>3</v>
      </c>
      <c r="N118" s="5">
        <f>AVERAGE(D118:M118)</f>
        <v>1.9</v>
      </c>
      <c r="O118" s="146">
        <f>(D118/0.01)*10^($C$118)</f>
        <v>100000000</v>
      </c>
      <c r="P118" s="146">
        <f>(E118/0.01)*10^($C$118)</f>
        <v>100000000</v>
      </c>
      <c r="Q118" s="146">
        <f>(F118/0.01)*10^($C$118)</f>
        <v>400000000</v>
      </c>
      <c r="R118" s="146">
        <f>(G118/0.01)*10^($C$118)</f>
        <v>200000000</v>
      </c>
      <c r="S118" s="146">
        <f t="shared" ref="S118" si="174">(H118/0.01)*10^($C$118)</f>
        <v>100000000</v>
      </c>
      <c r="T118" s="146">
        <f>(I118/0.01)*10^($C$118)</f>
        <v>100000000</v>
      </c>
      <c r="U118" s="146">
        <f>(J118/0.01)*10^($C$118)</f>
        <v>200000000</v>
      </c>
      <c r="V118" s="146">
        <f>(K118/0.01)*10^($C$118)</f>
        <v>200000000</v>
      </c>
      <c r="W118" s="146">
        <f>(L118/0.01)*10^($C$118)</f>
        <v>200000000</v>
      </c>
      <c r="X118" s="146">
        <f>(M118/0.01)*10^($C$118)</f>
        <v>300000000</v>
      </c>
      <c r="Y118" s="146">
        <f>AVERAGE(O118:X118)</f>
        <v>190000000</v>
      </c>
      <c r="Z118" s="5" t="s">
        <v>186</v>
      </c>
      <c r="AA118" s="5">
        <v>5</v>
      </c>
      <c r="AB118" s="5">
        <v>3</v>
      </c>
      <c r="AC118" s="5">
        <v>1</v>
      </c>
      <c r="AD118" s="5">
        <v>2</v>
      </c>
      <c r="AE118" s="5">
        <v>7</v>
      </c>
      <c r="AF118" s="5">
        <v>2</v>
      </c>
      <c r="AG118" s="5">
        <v>4</v>
      </c>
      <c r="AH118" s="5">
        <v>2</v>
      </c>
      <c r="AI118" s="5">
        <v>10</v>
      </c>
      <c r="AJ118" s="5">
        <v>8</v>
      </c>
      <c r="AK118" s="5">
        <v>4</v>
      </c>
      <c r="AM118" s="146">
        <f t="shared" ref="AM118:AV118" si="175">(AB118/0.01)*10^($AA$118)</f>
        <v>30000000</v>
      </c>
      <c r="AN118" s="146">
        <f t="shared" si="175"/>
        <v>10000000</v>
      </c>
      <c r="AO118" s="146">
        <f t="shared" si="175"/>
        <v>20000000</v>
      </c>
      <c r="AP118" s="146">
        <f t="shared" si="175"/>
        <v>70000000</v>
      </c>
      <c r="AQ118" s="146">
        <f t="shared" si="175"/>
        <v>20000000</v>
      </c>
      <c r="AR118" s="146">
        <f t="shared" si="175"/>
        <v>40000000</v>
      </c>
      <c r="AS118" s="146">
        <f t="shared" si="175"/>
        <v>20000000</v>
      </c>
      <c r="AT118" s="146">
        <f t="shared" si="175"/>
        <v>100000000</v>
      </c>
      <c r="AU118" s="146">
        <f t="shared" si="175"/>
        <v>80000000</v>
      </c>
      <c r="AV118" s="146">
        <f t="shared" si="175"/>
        <v>40000000</v>
      </c>
      <c r="AW118" s="146">
        <f t="shared" si="149"/>
        <v>43000000</v>
      </c>
      <c r="AX118" s="5" t="s">
        <v>166</v>
      </c>
    </row>
    <row r="119" spans="2:50" x14ac:dyDescent="0.25">
      <c r="AA119" s="5">
        <v>5</v>
      </c>
      <c r="AB119" s="5">
        <v>10</v>
      </c>
      <c r="AC119" s="5">
        <v>14</v>
      </c>
      <c r="AD119" s="5">
        <v>15</v>
      </c>
      <c r="AE119" s="5">
        <v>8</v>
      </c>
      <c r="AF119" s="5">
        <v>15</v>
      </c>
      <c r="AG119" s="5">
        <v>17</v>
      </c>
      <c r="AH119" s="5">
        <v>16</v>
      </c>
      <c r="AI119" s="5">
        <v>13</v>
      </c>
      <c r="AJ119" s="5">
        <v>10</v>
      </c>
      <c r="AK119" s="5">
        <v>15</v>
      </c>
      <c r="AM119" s="146">
        <f t="shared" ref="AM119:AV119" si="176">(AB119/0.01)*10^($AA$119)</f>
        <v>100000000</v>
      </c>
      <c r="AN119" s="146">
        <f t="shared" si="176"/>
        <v>140000000</v>
      </c>
      <c r="AO119" s="146">
        <f t="shared" si="176"/>
        <v>150000000</v>
      </c>
      <c r="AP119" s="146">
        <f t="shared" si="176"/>
        <v>80000000</v>
      </c>
      <c r="AQ119" s="146">
        <f t="shared" si="176"/>
        <v>150000000</v>
      </c>
      <c r="AR119" s="146">
        <f t="shared" si="176"/>
        <v>170000000</v>
      </c>
      <c r="AS119" s="146">
        <f t="shared" si="176"/>
        <v>160000000</v>
      </c>
      <c r="AT119" s="146">
        <f t="shared" si="176"/>
        <v>130000000</v>
      </c>
      <c r="AU119" s="146">
        <f t="shared" si="176"/>
        <v>100000000</v>
      </c>
      <c r="AV119" s="146">
        <f t="shared" si="176"/>
        <v>150000000</v>
      </c>
      <c r="AW119" s="146">
        <f t="shared" si="149"/>
        <v>133000000</v>
      </c>
      <c r="AX119" s="5" t="s">
        <v>188</v>
      </c>
    </row>
    <row r="121" spans="2:50" x14ac:dyDescent="0.25">
      <c r="G121" s="222"/>
    </row>
    <row r="122" spans="2:50" x14ac:dyDescent="0.25">
      <c r="C122" s="146"/>
      <c r="D122" s="146"/>
      <c r="E122" s="146"/>
      <c r="F122" s="146"/>
      <c r="G122" s="146"/>
      <c r="I122" s="55"/>
      <c r="J122" s="55"/>
    </row>
    <row r="123" spans="2:50" x14ac:dyDescent="0.25">
      <c r="C123" s="146"/>
      <c r="D123" s="146"/>
      <c r="E123" s="146"/>
      <c r="F123" s="146"/>
      <c r="G123" s="146"/>
      <c r="I123" s="55"/>
      <c r="J123" s="55"/>
    </row>
    <row r="124" spans="2:50" x14ac:dyDescent="0.25">
      <c r="C124" s="146"/>
      <c r="D124" s="146"/>
      <c r="E124" s="146"/>
      <c r="F124" s="146"/>
      <c r="G124" s="146"/>
      <c r="I124" s="55"/>
      <c r="J124" s="55"/>
    </row>
    <row r="125" spans="2:50" x14ac:dyDescent="0.25">
      <c r="C125" s="146"/>
      <c r="D125" s="146"/>
      <c r="E125" s="146"/>
      <c r="F125" s="146"/>
      <c r="G125" s="146"/>
      <c r="I125" s="55"/>
      <c r="J125" s="55"/>
    </row>
    <row r="126" spans="2:50" x14ac:dyDescent="0.25">
      <c r="C126" s="146"/>
      <c r="D126" s="146"/>
      <c r="E126" s="146"/>
      <c r="F126" s="146"/>
      <c r="G126" s="146"/>
      <c r="I126" s="55"/>
      <c r="J126" s="55"/>
    </row>
    <row r="127" spans="2:50" x14ac:dyDescent="0.25">
      <c r="C127" s="146"/>
      <c r="D127" s="146"/>
      <c r="E127" s="146"/>
      <c r="F127" s="146"/>
      <c r="G127" s="146"/>
      <c r="I127" s="55"/>
      <c r="J127" s="55"/>
    </row>
    <row r="128" spans="2:50" x14ac:dyDescent="0.25">
      <c r="C128" s="146"/>
      <c r="D128" s="146"/>
      <c r="E128" s="146"/>
      <c r="F128" s="146"/>
      <c r="G128" s="146"/>
      <c r="I128" s="55"/>
      <c r="J128" s="55"/>
    </row>
    <row r="129" spans="3:10" x14ac:dyDescent="0.25">
      <c r="C129" s="146"/>
      <c r="D129" s="146"/>
      <c r="E129" s="146"/>
      <c r="F129" s="146"/>
      <c r="G129" s="146"/>
      <c r="I129" s="55"/>
      <c r="J129" s="55"/>
    </row>
    <row r="130" spans="3:10" x14ac:dyDescent="0.25">
      <c r="C130" s="146"/>
      <c r="D130" s="146"/>
      <c r="E130" s="146"/>
      <c r="F130" s="146"/>
      <c r="G130" s="146"/>
      <c r="I130" s="55"/>
      <c r="J130" s="55"/>
    </row>
    <row r="131" spans="3:10" x14ac:dyDescent="0.25">
      <c r="C131" s="146"/>
      <c r="D131" s="146"/>
      <c r="E131" s="146"/>
      <c r="F131" s="146"/>
      <c r="G131" s="146"/>
      <c r="I131" s="55"/>
      <c r="J131" s="55"/>
    </row>
    <row r="132" spans="3:10" x14ac:dyDescent="0.25">
      <c r="C132" s="146"/>
      <c r="D132" s="146"/>
      <c r="E132" s="146"/>
      <c r="F132" s="146"/>
      <c r="G132" s="146"/>
      <c r="I132" s="55"/>
      <c r="J132" s="55"/>
    </row>
    <row r="133" spans="3:10" x14ac:dyDescent="0.25">
      <c r="C133" s="146"/>
      <c r="D133" s="146"/>
      <c r="E133" s="146"/>
      <c r="F133" s="146"/>
      <c r="G133" s="146"/>
      <c r="I133" s="55"/>
      <c r="J133" s="55"/>
    </row>
    <row r="134" spans="3:10" x14ac:dyDescent="0.25">
      <c r="C134" s="146"/>
      <c r="D134" s="146"/>
      <c r="E134" s="146"/>
      <c r="F134" s="146"/>
      <c r="G134" s="146"/>
      <c r="I134" s="55"/>
      <c r="J134" s="55"/>
    </row>
    <row r="135" spans="3:10" x14ac:dyDescent="0.25">
      <c r="C135" s="146"/>
      <c r="D135" s="146"/>
      <c r="E135" s="146"/>
      <c r="F135" s="146"/>
      <c r="G135" s="146"/>
      <c r="I135" s="55"/>
      <c r="J135" s="55"/>
    </row>
    <row r="136" spans="3:10" x14ac:dyDescent="0.25">
      <c r="C136" s="146"/>
      <c r="D136" s="146"/>
      <c r="E136" s="146"/>
      <c r="F136" s="146"/>
      <c r="G136" s="146"/>
      <c r="I136" s="55"/>
      <c r="J136" s="55"/>
    </row>
    <row r="137" spans="3:10" x14ac:dyDescent="0.25">
      <c r="C137" s="146"/>
      <c r="D137" s="146"/>
      <c r="E137" s="146"/>
      <c r="F137" s="146"/>
      <c r="G137" s="146"/>
      <c r="I137" s="55"/>
      <c r="J137" s="55"/>
    </row>
    <row r="138" spans="3:10" x14ac:dyDescent="0.25">
      <c r="C138" s="146"/>
      <c r="D138" s="146"/>
      <c r="E138" s="146"/>
      <c r="F138" s="146"/>
      <c r="G138" s="146"/>
      <c r="I138" s="55"/>
      <c r="J138" s="55"/>
    </row>
    <row r="139" spans="3:10" x14ac:dyDescent="0.25">
      <c r="C139" s="146"/>
      <c r="D139" s="146"/>
      <c r="E139" s="146"/>
      <c r="F139" s="146"/>
      <c r="G139" s="146"/>
      <c r="I139" s="55"/>
      <c r="J139" s="55"/>
    </row>
    <row r="140" spans="3:10" x14ac:dyDescent="0.25">
      <c r="C140" s="146"/>
      <c r="D140" s="146"/>
      <c r="E140" s="146"/>
      <c r="F140" s="146"/>
      <c r="G140" s="146"/>
      <c r="I140" s="55"/>
      <c r="J140" s="55"/>
    </row>
    <row r="141" spans="3:10" x14ac:dyDescent="0.25">
      <c r="C141" s="146"/>
      <c r="D141" s="146"/>
      <c r="E141" s="146"/>
      <c r="F141" s="146"/>
      <c r="G141" s="146"/>
      <c r="I141" s="55"/>
      <c r="J141" s="55"/>
    </row>
    <row r="142" spans="3:10" x14ac:dyDescent="0.25">
      <c r="C142" s="146"/>
      <c r="D142" s="146"/>
      <c r="E142" s="146"/>
      <c r="F142" s="146"/>
      <c r="G142" s="146"/>
      <c r="I142" s="55"/>
      <c r="J142" s="55"/>
    </row>
    <row r="143" spans="3:10" x14ac:dyDescent="0.25">
      <c r="C143" s="146"/>
      <c r="D143" s="146"/>
      <c r="E143" s="146"/>
      <c r="F143" s="146"/>
      <c r="G143" s="146"/>
      <c r="I143" s="55"/>
      <c r="J143" s="55"/>
    </row>
    <row r="144" spans="3:10" x14ac:dyDescent="0.25">
      <c r="C144" s="146"/>
      <c r="D144" s="146"/>
      <c r="E144" s="146"/>
      <c r="F144" s="146"/>
      <c r="G144" s="146"/>
      <c r="I144" s="55"/>
      <c r="J144" s="55"/>
    </row>
    <row r="145" spans="3:10" x14ac:dyDescent="0.25">
      <c r="C145" s="146"/>
      <c r="D145" s="146"/>
      <c r="E145" s="146"/>
      <c r="F145" s="146"/>
      <c r="G145" s="146"/>
      <c r="I145" s="55"/>
      <c r="J145" s="55"/>
    </row>
  </sheetData>
  <mergeCells count="15">
    <mergeCell ref="BS4:BW4"/>
    <mergeCell ref="BX4:CB4"/>
    <mergeCell ref="CC4:CG4"/>
    <mergeCell ref="AM4:AQ4"/>
    <mergeCell ref="AR4:AW4"/>
    <mergeCell ref="AX4:BB4"/>
    <mergeCell ref="BD4:BH4"/>
    <mergeCell ref="BI4:BM4"/>
    <mergeCell ref="BN4:BR4"/>
    <mergeCell ref="AG4:AL4"/>
    <mergeCell ref="E4:J4"/>
    <mergeCell ref="K4:O4"/>
    <mergeCell ref="P4:U4"/>
    <mergeCell ref="V4:AA4"/>
    <mergeCell ref="AB4:AF4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E046-4FBB-40F9-B75E-FC269F440CF1}">
  <dimension ref="A1:DU118"/>
  <sheetViews>
    <sheetView workbookViewId="0"/>
  </sheetViews>
  <sheetFormatPr defaultColWidth="8.7109375" defaultRowHeight="15" x14ac:dyDescent="0.25"/>
  <cols>
    <col min="1" max="1" width="8.7109375" style="5"/>
    <col min="2" max="2" width="15" style="5" customWidth="1"/>
    <col min="3" max="3" width="9" style="5" customWidth="1"/>
    <col min="4" max="4" width="9.85546875" style="5" customWidth="1"/>
    <col min="5" max="5" width="10" style="5" bestFit="1" customWidth="1"/>
    <col min="6" max="16" width="8.7109375" style="5"/>
    <col min="17" max="17" width="10" style="5" bestFit="1" customWidth="1"/>
    <col min="18" max="44" width="8.7109375" style="5"/>
    <col min="45" max="45" width="10" style="5" bestFit="1" customWidth="1"/>
    <col min="46" max="54" width="8.7109375" style="5"/>
    <col min="55" max="55" width="10" style="5" bestFit="1" customWidth="1"/>
    <col min="56" max="58" width="8.7109375" style="5"/>
    <col min="59" max="59" width="9" style="5" bestFit="1" customWidth="1"/>
    <col min="60" max="60" width="8.85546875" style="5" bestFit="1" customWidth="1"/>
    <col min="61" max="63" width="8.7109375" style="5"/>
    <col min="64" max="64" width="9" style="5" bestFit="1" customWidth="1"/>
    <col min="65" max="65" width="8.85546875" style="5" bestFit="1" customWidth="1"/>
    <col min="66" max="68" width="8.7109375" style="5"/>
    <col min="69" max="69" width="10" style="5" bestFit="1" customWidth="1"/>
    <col min="70" max="110" width="8.7109375" style="5"/>
    <col min="111" max="111" width="12" style="5" bestFit="1" customWidth="1"/>
    <col min="112" max="113" width="8.7109375" style="5"/>
    <col min="114" max="115" width="12" style="5" bestFit="1" customWidth="1"/>
    <col min="116" max="16384" width="8.7109375" style="5"/>
  </cols>
  <sheetData>
    <row r="1" spans="1:125" x14ac:dyDescent="0.25">
      <c r="A1" s="8" t="s">
        <v>119</v>
      </c>
      <c r="B1" s="155"/>
      <c r="C1" s="155"/>
      <c r="D1" s="155"/>
      <c r="E1" s="155"/>
      <c r="F1" s="5">
        <v>20170707</v>
      </c>
      <c r="CH1" s="155"/>
    </row>
    <row r="2" spans="1:125" x14ac:dyDescent="0.25">
      <c r="A2" s="9" t="s">
        <v>82</v>
      </c>
      <c r="B2" s="155"/>
      <c r="C2" s="155"/>
      <c r="D2" s="155"/>
      <c r="E2" s="155"/>
      <c r="CH2" s="5" t="s">
        <v>120</v>
      </c>
    </row>
    <row r="3" spans="1:125" x14ac:dyDescent="0.25">
      <c r="A3" s="9" t="s">
        <v>121</v>
      </c>
      <c r="B3" s="155"/>
      <c r="C3" s="155"/>
      <c r="D3" s="155"/>
      <c r="E3" s="155"/>
      <c r="CH3" s="155" t="s">
        <v>122</v>
      </c>
      <c r="CI3" s="155">
        <f>SLOPE(Y6:Y20,C6:C20)</f>
        <v>4.9311157078332064E-2</v>
      </c>
      <c r="CJ3" s="155"/>
      <c r="CK3" s="155"/>
      <c r="CL3" s="155"/>
    </row>
    <row r="4" spans="1:125" x14ac:dyDescent="0.25">
      <c r="C4" s="59"/>
      <c r="D4" s="59"/>
      <c r="E4" s="383" t="s">
        <v>12</v>
      </c>
      <c r="F4" s="383"/>
      <c r="G4" s="383"/>
      <c r="H4" s="383"/>
      <c r="I4" s="383"/>
      <c r="J4" s="384"/>
      <c r="K4" s="382" t="s">
        <v>123</v>
      </c>
      <c r="L4" s="383"/>
      <c r="M4" s="383"/>
      <c r="N4" s="383"/>
      <c r="O4" s="384"/>
      <c r="P4" s="382" t="s">
        <v>5</v>
      </c>
      <c r="Q4" s="383"/>
      <c r="R4" s="383"/>
      <c r="S4" s="383"/>
      <c r="T4" s="383"/>
      <c r="U4" s="384"/>
      <c r="V4" s="382" t="s">
        <v>124</v>
      </c>
      <c r="W4" s="383"/>
      <c r="X4" s="383"/>
      <c r="Y4" s="383"/>
      <c r="Z4" s="383"/>
      <c r="AA4" s="384"/>
      <c r="AB4" s="382" t="s">
        <v>125</v>
      </c>
      <c r="AC4" s="383"/>
      <c r="AD4" s="383"/>
      <c r="AE4" s="383"/>
      <c r="AF4" s="384"/>
      <c r="AG4" s="382" t="s">
        <v>126</v>
      </c>
      <c r="AH4" s="383"/>
      <c r="AI4" s="383"/>
      <c r="AJ4" s="383"/>
      <c r="AK4" s="383"/>
      <c r="AL4" s="384"/>
      <c r="AM4" s="382" t="s">
        <v>127</v>
      </c>
      <c r="AN4" s="383"/>
      <c r="AO4" s="383"/>
      <c r="AP4" s="383"/>
      <c r="AQ4" s="384"/>
      <c r="AR4" s="382" t="s">
        <v>128</v>
      </c>
      <c r="AS4" s="383"/>
      <c r="AT4" s="383"/>
      <c r="AU4" s="383"/>
      <c r="AV4" s="383"/>
      <c r="AW4" s="384"/>
      <c r="AX4" s="382" t="s">
        <v>129</v>
      </c>
      <c r="AY4" s="383"/>
      <c r="AZ4" s="383"/>
      <c r="BA4" s="383"/>
      <c r="BB4" s="384"/>
      <c r="BC4" s="189"/>
      <c r="BD4" s="383" t="s">
        <v>83</v>
      </c>
      <c r="BE4" s="383"/>
      <c r="BF4" s="383"/>
      <c r="BG4" s="383"/>
      <c r="BH4" s="384"/>
      <c r="BI4" s="382" t="s">
        <v>130</v>
      </c>
      <c r="BJ4" s="383"/>
      <c r="BK4" s="383"/>
      <c r="BL4" s="383"/>
      <c r="BM4" s="384"/>
      <c r="BN4" s="382" t="s">
        <v>84</v>
      </c>
      <c r="BO4" s="383"/>
      <c r="BP4" s="383"/>
      <c r="BQ4" s="383"/>
      <c r="BR4" s="384"/>
      <c r="BS4" s="382" t="s">
        <v>131</v>
      </c>
      <c r="BT4" s="383"/>
      <c r="BU4" s="383"/>
      <c r="BV4" s="383"/>
      <c r="BW4" s="384"/>
      <c r="BX4" s="386" t="s">
        <v>132</v>
      </c>
      <c r="BY4" s="387"/>
      <c r="BZ4" s="387"/>
      <c r="CA4" s="387"/>
      <c r="CB4" s="388"/>
      <c r="CC4" s="387" t="s">
        <v>133</v>
      </c>
      <c r="CD4" s="387"/>
      <c r="CE4" s="387"/>
      <c r="CF4" s="387"/>
      <c r="CG4" s="388"/>
      <c r="CH4" s="5" t="s">
        <v>134</v>
      </c>
      <c r="CI4" s="155">
        <f>INTERCEPT(Y6:Y20,C6:C20)</f>
        <v>26.205068185653143</v>
      </c>
      <c r="CJ4" s="155"/>
      <c r="CK4" s="155"/>
      <c r="CL4" s="155"/>
      <c r="CV4" s="5" t="s">
        <v>127</v>
      </c>
      <c r="DA4" s="5" t="s">
        <v>5</v>
      </c>
      <c r="DG4" s="5" t="s">
        <v>135</v>
      </c>
      <c r="DL4" s="5" t="s">
        <v>129</v>
      </c>
      <c r="DQ4" s="5" t="s">
        <v>136</v>
      </c>
    </row>
    <row r="5" spans="1:125" x14ac:dyDescent="0.25">
      <c r="B5" s="9" t="s">
        <v>15</v>
      </c>
      <c r="C5" s="190" t="s">
        <v>16</v>
      </c>
      <c r="D5" s="190" t="s">
        <v>137</v>
      </c>
      <c r="E5" s="13">
        <v>1</v>
      </c>
      <c r="F5" s="13">
        <v>2</v>
      </c>
      <c r="G5" s="13">
        <v>3</v>
      </c>
      <c r="H5" s="13" t="s">
        <v>4</v>
      </c>
      <c r="I5" s="14" t="s">
        <v>17</v>
      </c>
      <c r="J5" s="15" t="s">
        <v>18</v>
      </c>
      <c r="K5" s="12">
        <v>1</v>
      </c>
      <c r="L5" s="13">
        <v>2</v>
      </c>
      <c r="M5" s="13">
        <v>3</v>
      </c>
      <c r="N5" s="14" t="s">
        <v>17</v>
      </c>
      <c r="O5" s="15" t="s">
        <v>18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5" t="s">
        <v>18</v>
      </c>
      <c r="V5" s="12">
        <v>1</v>
      </c>
      <c r="W5" s="13">
        <v>2</v>
      </c>
      <c r="X5" s="13">
        <v>3</v>
      </c>
      <c r="Y5" s="13" t="s">
        <v>4</v>
      </c>
      <c r="Z5" s="14" t="s">
        <v>17</v>
      </c>
      <c r="AA5" s="15" t="s">
        <v>18</v>
      </c>
      <c r="AB5" s="12">
        <v>1</v>
      </c>
      <c r="AC5" s="13">
        <v>2</v>
      </c>
      <c r="AD5" s="13">
        <v>3</v>
      </c>
      <c r="AE5" s="191" t="s">
        <v>17</v>
      </c>
      <c r="AF5" s="192" t="s">
        <v>18</v>
      </c>
      <c r="AG5" s="12">
        <v>1</v>
      </c>
      <c r="AH5" s="13">
        <v>2</v>
      </c>
      <c r="AI5" s="13">
        <v>3</v>
      </c>
      <c r="AJ5" s="13" t="s">
        <v>4</v>
      </c>
      <c r="AK5" s="14" t="s">
        <v>17</v>
      </c>
      <c r="AL5" s="15" t="s">
        <v>18</v>
      </c>
      <c r="AM5" s="12">
        <v>1</v>
      </c>
      <c r="AN5" s="13">
        <v>2</v>
      </c>
      <c r="AO5" s="13">
        <v>3</v>
      </c>
      <c r="AP5" s="14" t="s">
        <v>17</v>
      </c>
      <c r="AQ5" s="15" t="s">
        <v>18</v>
      </c>
      <c r="AR5" s="193">
        <v>1</v>
      </c>
      <c r="AS5" s="194">
        <v>2</v>
      </c>
      <c r="AT5" s="194">
        <v>3</v>
      </c>
      <c r="AU5" s="194" t="s">
        <v>4</v>
      </c>
      <c r="AV5" s="195" t="s">
        <v>17</v>
      </c>
      <c r="AW5" s="196" t="s">
        <v>18</v>
      </c>
      <c r="AX5" s="12">
        <v>1</v>
      </c>
      <c r="AY5" s="13">
        <v>2</v>
      </c>
      <c r="AZ5" s="13">
        <v>3</v>
      </c>
      <c r="BA5" s="14" t="s">
        <v>17</v>
      </c>
      <c r="BB5" s="15" t="s">
        <v>18</v>
      </c>
      <c r="BC5" s="197"/>
      <c r="BD5" s="194">
        <v>1</v>
      </c>
      <c r="BE5" s="194">
        <v>2</v>
      </c>
      <c r="BF5" s="194">
        <v>3</v>
      </c>
      <c r="BG5" s="195" t="s">
        <v>17</v>
      </c>
      <c r="BH5" s="196" t="s">
        <v>18</v>
      </c>
      <c r="BI5" s="12">
        <v>1</v>
      </c>
      <c r="BJ5" s="13">
        <v>2</v>
      </c>
      <c r="BK5" s="13">
        <v>3</v>
      </c>
      <c r="BL5" s="14" t="s">
        <v>17</v>
      </c>
      <c r="BM5" s="15" t="s">
        <v>18</v>
      </c>
      <c r="BN5" s="12">
        <v>1</v>
      </c>
      <c r="BO5" s="13">
        <v>2</v>
      </c>
      <c r="BP5" s="13">
        <v>3</v>
      </c>
      <c r="BQ5" s="14" t="s">
        <v>17</v>
      </c>
      <c r="BR5" s="15" t="s">
        <v>18</v>
      </c>
      <c r="BS5" s="12">
        <v>1</v>
      </c>
      <c r="BT5" s="13">
        <v>2</v>
      </c>
      <c r="BU5" s="13">
        <v>3</v>
      </c>
      <c r="BV5" s="14" t="s">
        <v>17</v>
      </c>
      <c r="BW5" s="15" t="s">
        <v>18</v>
      </c>
      <c r="BX5" s="12">
        <v>1</v>
      </c>
      <c r="BY5" s="13">
        <v>2</v>
      </c>
      <c r="BZ5" s="13">
        <v>3</v>
      </c>
      <c r="CA5" s="14" t="s">
        <v>17</v>
      </c>
      <c r="CB5" s="15" t="s">
        <v>18</v>
      </c>
      <c r="CC5" s="13">
        <v>1</v>
      </c>
      <c r="CD5" s="13">
        <v>2</v>
      </c>
      <c r="CE5" s="13">
        <v>3</v>
      </c>
      <c r="CF5" s="14" t="s">
        <v>17</v>
      </c>
      <c r="CG5" s="15" t="s">
        <v>18</v>
      </c>
      <c r="CH5" s="155" t="s">
        <v>16</v>
      </c>
      <c r="CI5" s="155" t="s">
        <v>138</v>
      </c>
      <c r="CJ5" s="155" t="s">
        <v>139</v>
      </c>
      <c r="CK5" s="155" t="s">
        <v>140</v>
      </c>
      <c r="CL5" s="155" t="s">
        <v>141</v>
      </c>
      <c r="CV5" s="5">
        <v>1</v>
      </c>
      <c r="CW5" s="5">
        <v>2</v>
      </c>
      <c r="CX5" s="5">
        <v>3</v>
      </c>
      <c r="CY5" s="5" t="s">
        <v>17</v>
      </c>
      <c r="CZ5" s="5" t="s">
        <v>18</v>
      </c>
      <c r="DA5" s="5">
        <v>1</v>
      </c>
      <c r="DB5" s="5">
        <v>2</v>
      </c>
      <c r="DC5" s="5">
        <v>3</v>
      </c>
      <c r="DD5" s="5" t="s">
        <v>4</v>
      </c>
      <c r="DE5" s="5" t="s">
        <v>17</v>
      </c>
      <c r="DF5" s="5" t="s">
        <v>18</v>
      </c>
      <c r="DG5" s="5">
        <v>1</v>
      </c>
      <c r="DH5" s="5">
        <v>2</v>
      </c>
      <c r="DI5" s="5">
        <v>3</v>
      </c>
      <c r="DJ5" s="5" t="s">
        <v>17</v>
      </c>
      <c r="DK5" s="5" t="s">
        <v>18</v>
      </c>
      <c r="DL5" s="5">
        <v>1</v>
      </c>
      <c r="DM5" s="5">
        <v>2</v>
      </c>
      <c r="DN5" s="5">
        <v>3</v>
      </c>
      <c r="DO5" s="5" t="s">
        <v>17</v>
      </c>
      <c r="DP5" s="5" t="s">
        <v>18</v>
      </c>
      <c r="DQ5" s="5">
        <v>1</v>
      </c>
      <c r="DR5" s="5">
        <v>2</v>
      </c>
      <c r="DS5" s="5">
        <v>3</v>
      </c>
      <c r="DT5" s="5" t="s">
        <v>17</v>
      </c>
      <c r="DU5" s="5" t="s">
        <v>18</v>
      </c>
    </row>
    <row r="6" spans="1:125" x14ac:dyDescent="0.25">
      <c r="A6" s="5" t="s">
        <v>19</v>
      </c>
      <c r="B6" s="17">
        <v>42923.286111111112</v>
      </c>
      <c r="C6" s="117">
        <f t="shared" ref="C6:C20" si="0">(B6-$B$6)*24</f>
        <v>0</v>
      </c>
      <c r="D6" s="55">
        <f t="shared" ref="D6:D20" si="1">CL6</f>
        <v>1</v>
      </c>
      <c r="E6" s="198">
        <v>2.1000000000000001E-2</v>
      </c>
      <c r="F6" s="199">
        <v>2.1000000000000001E-2</v>
      </c>
      <c r="G6" s="199">
        <v>2.1000000000000001E-2</v>
      </c>
      <c r="H6" s="199">
        <v>1E-3</v>
      </c>
      <c r="I6" s="200">
        <f>AVERAGE(E6:G6)</f>
        <v>2.1000000000000001E-2</v>
      </c>
      <c r="J6" s="110">
        <f>STDEV(E6:G6)</f>
        <v>0</v>
      </c>
      <c r="K6" s="198">
        <f>E6*D6</f>
        <v>2.1000000000000001E-2</v>
      </c>
      <c r="L6" s="199">
        <f>F6*D6</f>
        <v>2.1000000000000001E-2</v>
      </c>
      <c r="M6" s="199">
        <f>G6*D6</f>
        <v>2.1000000000000001E-2</v>
      </c>
      <c r="N6" s="200">
        <f>AVERAGE(K6:M6)</f>
        <v>2.1000000000000001E-2</v>
      </c>
      <c r="O6" s="110">
        <f>STDEV(K6:M6)</f>
        <v>0</v>
      </c>
      <c r="P6" s="201">
        <v>6.98</v>
      </c>
      <c r="Q6" s="119">
        <v>6.98</v>
      </c>
      <c r="R6" s="119">
        <v>6.98</v>
      </c>
      <c r="S6" s="119">
        <v>7</v>
      </c>
      <c r="T6" s="202">
        <f t="shared" ref="T6:T20" si="2">AVERAGE(P6:R6)</f>
        <v>6.98</v>
      </c>
      <c r="U6" s="51">
        <f t="shared" ref="U6:U20" si="3">STDEV(P6:R6)</f>
        <v>0</v>
      </c>
      <c r="V6" s="201">
        <v>26.653019286504925</v>
      </c>
      <c r="W6" s="119">
        <v>26.265628868151481</v>
      </c>
      <c r="X6" s="119">
        <v>27.423914741361322</v>
      </c>
      <c r="Y6" s="119">
        <v>26.035936337682898</v>
      </c>
      <c r="Z6" s="202">
        <f>AVERAGE(V6:X6)</f>
        <v>26.78085429867258</v>
      </c>
      <c r="AA6" s="51">
        <f>STDEV(V6:X6)</f>
        <v>0.58962944615351343</v>
      </c>
      <c r="AB6" s="201">
        <f>V6*D6</f>
        <v>26.653019286504925</v>
      </c>
      <c r="AC6" s="119">
        <f>W6*D6</f>
        <v>26.265628868151481</v>
      </c>
      <c r="AD6" s="119">
        <f>X6*D6</f>
        <v>27.423914741361322</v>
      </c>
      <c r="AE6" s="202">
        <f>AVERAGE(AB6:AD6)</f>
        <v>26.78085429867258</v>
      </c>
      <c r="AF6" s="51">
        <f>STDEV(AB6:AD6)</f>
        <v>0.58962944615351343</v>
      </c>
      <c r="AG6" s="201">
        <v>5.1043563779807823E-2</v>
      </c>
      <c r="AH6" s="119">
        <v>2.7308519977620287E-2</v>
      </c>
      <c r="AI6" s="119">
        <v>9.9639681097493243E-2</v>
      </c>
      <c r="AJ6" s="203">
        <v>0</v>
      </c>
      <c r="AK6" s="202">
        <f>AVERAGE(AG6:AI6)</f>
        <v>5.9330588284973784E-2</v>
      </c>
      <c r="AL6" s="51">
        <f>STDEV(AG6:AI6)</f>
        <v>3.6870791944290687E-2</v>
      </c>
      <c r="AM6" s="201">
        <f>AG6*D6</f>
        <v>5.1043563779807823E-2</v>
      </c>
      <c r="AN6" s="119">
        <f>AH6*D6</f>
        <v>2.7308519977620287E-2</v>
      </c>
      <c r="AO6" s="119">
        <f>AI6*D6</f>
        <v>9.9639681097493243E-2</v>
      </c>
      <c r="AP6" s="202">
        <f>AVERAGE(AM6:AO6)</f>
        <v>5.9330588284973784E-2</v>
      </c>
      <c r="AQ6" s="51">
        <f>STDEV(AM6:AO6)</f>
        <v>3.6870791944290687E-2</v>
      </c>
      <c r="AR6" s="201">
        <v>0</v>
      </c>
      <c r="AS6" s="203">
        <v>0</v>
      </c>
      <c r="AT6" s="119">
        <v>0</v>
      </c>
      <c r="AU6" s="203">
        <v>0</v>
      </c>
      <c r="AV6" s="202">
        <f>AVERAGE(AR6:AT6)</f>
        <v>0</v>
      </c>
      <c r="AW6" s="51">
        <f>STDEV(AR6:AT6)</f>
        <v>0</v>
      </c>
      <c r="AX6" s="201">
        <f>AR6*D6</f>
        <v>0</v>
      </c>
      <c r="AY6" s="119">
        <f>AS6*D6</f>
        <v>0</v>
      </c>
      <c r="AZ6" s="119">
        <f>AT6*D6</f>
        <v>0</v>
      </c>
      <c r="BA6" s="202">
        <f>AVERAGE(AX6:AZ6)</f>
        <v>0</v>
      </c>
      <c r="BB6" s="51">
        <f>STDEV(AX6:AZ6)</f>
        <v>0</v>
      </c>
      <c r="BC6" s="5" t="s">
        <v>19</v>
      </c>
      <c r="BD6" s="204">
        <v>27470000</v>
      </c>
      <c r="BE6" s="205">
        <v>29560000</v>
      </c>
      <c r="BF6" s="205">
        <v>31370000</v>
      </c>
      <c r="BG6" s="206">
        <f>AVERAGE(BD6:BF6)</f>
        <v>29466666.666666668</v>
      </c>
      <c r="BH6" s="207">
        <f>STDEV(BD6:BF6)</f>
        <v>1951674.4947181467</v>
      </c>
      <c r="BI6" s="204">
        <f>BD6*D6</f>
        <v>27470000</v>
      </c>
      <c r="BJ6" s="205">
        <f>BE6*D6</f>
        <v>29560000</v>
      </c>
      <c r="BK6" s="205">
        <f>BF6*D6</f>
        <v>31370000</v>
      </c>
      <c r="BL6" s="206">
        <f>AVERAGE(BI6:BK6)</f>
        <v>29466666.666666668</v>
      </c>
      <c r="BM6" s="207">
        <f>STDEV(BI6:BK6)</f>
        <v>1951674.4947181467</v>
      </c>
      <c r="BN6" s="204">
        <v>2530000</v>
      </c>
      <c r="BO6" s="205">
        <v>2440000</v>
      </c>
      <c r="BP6" s="205">
        <v>2630000</v>
      </c>
      <c r="BQ6" s="206">
        <f>AVERAGE(BN6:BP6)</f>
        <v>2533333.3333333335</v>
      </c>
      <c r="BR6" s="207">
        <f>STDEV(BN6:BP6)</f>
        <v>95043.849529221683</v>
      </c>
      <c r="BS6" s="204">
        <f>BN6*D6</f>
        <v>2530000</v>
      </c>
      <c r="BT6" s="205">
        <f>BO6*D6</f>
        <v>2440000</v>
      </c>
      <c r="BU6" s="205">
        <f>BP6*D6</f>
        <v>2630000</v>
      </c>
      <c r="BV6" s="206">
        <f>AVERAGE(BS6:BU6)</f>
        <v>2533333.3333333335</v>
      </c>
      <c r="BW6" s="207">
        <f>STDEV(BS6:BU6)</f>
        <v>95043.849529221683</v>
      </c>
      <c r="BX6" s="201">
        <v>0.91566666666666663</v>
      </c>
      <c r="BY6" s="119">
        <v>0.92374999999999996</v>
      </c>
      <c r="BZ6" s="119">
        <v>0.92264705882352938</v>
      </c>
      <c r="CA6" s="202">
        <f>AVERAGE(BX6:BZ6)</f>
        <v>0.9206879084967321</v>
      </c>
      <c r="CB6" s="51">
        <f>STDEV(BX6:BZ6)</f>
        <v>4.3833516795583685E-3</v>
      </c>
      <c r="CC6" s="201">
        <v>8.433333333333333E-2</v>
      </c>
      <c r="CD6" s="119">
        <v>7.6249999999999998E-2</v>
      </c>
      <c r="CE6" s="119">
        <v>7.7352941176470583E-2</v>
      </c>
      <c r="CF6" s="202">
        <f>AVERAGE(CC6:CE6)</f>
        <v>7.931209150326797E-2</v>
      </c>
      <c r="CG6" s="51">
        <f>STDEV(CC6:CE6)</f>
        <v>4.3833516795583677E-3</v>
      </c>
      <c r="CH6" s="122">
        <f t="shared" ref="CH6:CH20" si="4">C6</f>
        <v>0</v>
      </c>
      <c r="CI6" s="55">
        <f>CH6*$CI$3+$CI$4</f>
        <v>26.205068185653143</v>
      </c>
      <c r="CJ6" s="5">
        <f t="shared" ref="CJ6:CJ20" si="5">CI6/$CI$6</f>
        <v>1</v>
      </c>
      <c r="CK6" s="5">
        <f t="shared" ref="CK6:CK20" si="6">100/CJ6</f>
        <v>100</v>
      </c>
      <c r="CL6" s="5">
        <f t="shared" ref="CL6:CL20" si="7">CK6/100</f>
        <v>1</v>
      </c>
      <c r="CV6" s="5">
        <v>5.1043563779807823E-2</v>
      </c>
      <c r="CW6" s="5">
        <v>2.7308519977620287E-2</v>
      </c>
      <c r="CX6" s="5">
        <v>9.9639681097493243E-2</v>
      </c>
      <c r="CY6" s="5">
        <v>5.9330588284973784E-2</v>
      </c>
      <c r="CZ6" s="5">
        <v>3.6870791944290687E-2</v>
      </c>
      <c r="DA6" s="5">
        <v>6.98</v>
      </c>
      <c r="DB6" s="5">
        <v>6.98</v>
      </c>
      <c r="DC6" s="5">
        <v>6.98</v>
      </c>
      <c r="DD6" s="5">
        <v>7</v>
      </c>
      <c r="DE6" s="5">
        <v>6.98</v>
      </c>
      <c r="DF6" s="5">
        <v>0</v>
      </c>
      <c r="DG6" s="5">
        <f>CV6/(1+10^(DA6-3.86))</f>
        <v>3.8691152592225516E-5</v>
      </c>
      <c r="DH6" s="5">
        <f t="shared" ref="DH6:DI20" si="8">CW6/(1+10^(DB6-3.86))</f>
        <v>2.0699928360799957E-5</v>
      </c>
      <c r="DI6" s="5">
        <f t="shared" si="8"/>
        <v>7.5527134473099956E-5</v>
      </c>
      <c r="DJ6" s="5">
        <f>AVERAGE(DG6:DI6)</f>
        <v>4.4972738475375145E-5</v>
      </c>
      <c r="DK6" s="5">
        <f>STDEV(DG6:DI6)</f>
        <v>2.7948155098784162E-5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f>DL6/(1+10^(DA6-4.76))</f>
        <v>0</v>
      </c>
      <c r="DR6" s="5">
        <f t="shared" ref="DR6:DS20" si="9">DM6/(1+10^(DB6-4.76))</f>
        <v>0</v>
      </c>
      <c r="DS6" s="5">
        <f t="shared" si="9"/>
        <v>0</v>
      </c>
      <c r="DT6" s="5">
        <f>AVERAGE(DQ6:DS6)</f>
        <v>0</v>
      </c>
      <c r="DU6" s="5">
        <f>STDEV(DQ6:DS6)</f>
        <v>0</v>
      </c>
    </row>
    <row r="7" spans="1:125" x14ac:dyDescent="0.25">
      <c r="A7" s="5" t="s">
        <v>20</v>
      </c>
      <c r="B7" s="17">
        <v>42923.461805555555</v>
      </c>
      <c r="C7" s="112">
        <f t="shared" si="0"/>
        <v>4.21666666661622</v>
      </c>
      <c r="D7" s="115">
        <f t="shared" si="1"/>
        <v>0.99212778795426115</v>
      </c>
      <c r="E7" s="29">
        <v>3.2000000000000001E-2</v>
      </c>
      <c r="F7" s="30">
        <v>3.3000000000000002E-2</v>
      </c>
      <c r="G7" s="30">
        <v>3.4000000000000002E-2</v>
      </c>
      <c r="H7" s="30">
        <v>1E-3</v>
      </c>
      <c r="I7" s="31">
        <f t="shared" ref="I7:I20" si="10">AVERAGE(E7:G7)</f>
        <v>3.3000000000000002E-2</v>
      </c>
      <c r="J7" s="32">
        <f t="shared" ref="J7:J20" si="11">STDEV(E7:G7)</f>
        <v>1.0000000000000009E-3</v>
      </c>
      <c r="K7" s="29">
        <f t="shared" ref="K7:K20" si="12">E7*D7</f>
        <v>3.1748089214536354E-2</v>
      </c>
      <c r="L7" s="30">
        <f t="shared" ref="L7:L20" si="13">F7*D7</f>
        <v>3.2740217002490621E-2</v>
      </c>
      <c r="M7" s="30">
        <f t="shared" ref="M7:M20" si="14">G7*D7</f>
        <v>3.3732344790444881E-2</v>
      </c>
      <c r="N7" s="31">
        <f t="shared" ref="N7:N20" si="15">AVERAGE(K7:M7)</f>
        <v>3.2740217002490614E-2</v>
      </c>
      <c r="O7" s="32">
        <f t="shared" ref="O7:O20" si="16">STDEV(K7:M7)</f>
        <v>9.9212778795426323E-4</v>
      </c>
      <c r="P7" s="33">
        <v>6.68</v>
      </c>
      <c r="Q7" s="34">
        <v>6.67</v>
      </c>
      <c r="R7" s="34">
        <v>6.64</v>
      </c>
      <c r="S7" s="34">
        <v>7</v>
      </c>
      <c r="T7" s="35">
        <f t="shared" si="2"/>
        <v>6.6633333333333331</v>
      </c>
      <c r="U7" s="36">
        <f t="shared" si="3"/>
        <v>2.0816659994661382E-2</v>
      </c>
      <c r="V7" s="33">
        <v>26.886395432987367</v>
      </c>
      <c r="W7" s="34">
        <v>26.185833045224399</v>
      </c>
      <c r="X7" s="34">
        <v>26.957669831567067</v>
      </c>
      <c r="Y7" s="34">
        <v>27.378853348957488</v>
      </c>
      <c r="Z7" s="35">
        <f t="shared" ref="Z7:Z20" si="17">AVERAGE(V7:X7)</f>
        <v>26.676632769926282</v>
      </c>
      <c r="AA7" s="36">
        <f t="shared" ref="AA7:AA20" si="18">STDEV(V7:X7)</f>
        <v>0.42653638449586501</v>
      </c>
      <c r="AB7" s="33">
        <f t="shared" ref="AB7:AB20" si="19">V7*D7</f>
        <v>26.674740026993305</v>
      </c>
      <c r="AC7" s="34">
        <f t="shared" ref="AC7:AC20" si="20">W7*D7</f>
        <v>25.979692614898077</v>
      </c>
      <c r="AD7" s="34">
        <f t="shared" ref="AD7:AD20" si="21">X7*D7</f>
        <v>26.745453338393954</v>
      </c>
      <c r="AE7" s="35">
        <f t="shared" ref="AE7:AE20" si="22">AVERAGE(AB7:AD7)</f>
        <v>26.466628660095111</v>
      </c>
      <c r="AF7" s="36">
        <f t="shared" ref="AF7:AF20" si="23">STDEV(AB7:AD7)</f>
        <v>0.42317859963189058</v>
      </c>
      <c r="AG7" s="33">
        <v>1.103169147042421</v>
      </c>
      <c r="AH7" s="34">
        <v>1.154880170346595</v>
      </c>
      <c r="AI7" s="34">
        <v>1.2499958528585728</v>
      </c>
      <c r="AJ7" s="37">
        <v>0</v>
      </c>
      <c r="AK7" s="35">
        <f t="shared" ref="AK7:AK17" si="24">AVERAGE(AG7:AI7)</f>
        <v>1.1693483900825297</v>
      </c>
      <c r="AL7" s="36">
        <f t="shared" ref="AL7:AL17" si="25">STDEV(AG7:AI7)</f>
        <v>7.4474944927479927E-2</v>
      </c>
      <c r="AM7" s="33">
        <f t="shared" ref="AM7:AM20" si="26">AG7*D7</f>
        <v>1.0944847655945862</v>
      </c>
      <c r="AN7" s="34">
        <f t="shared" ref="AN7:AN20" si="27">AH7*D7</f>
        <v>1.1457887087582075</v>
      </c>
      <c r="AO7" s="34">
        <f t="shared" ref="AO7:AO20" si="28">AI7*D7</f>
        <v>1.240155620448576</v>
      </c>
      <c r="AP7" s="35">
        <f t="shared" ref="AP7:AP20" si="29">AVERAGE(AM7:AO7)</f>
        <v>1.1601430316004564</v>
      </c>
      <c r="AQ7" s="36">
        <f t="shared" ref="AQ7:AQ20" si="30">STDEV(AM7:AO7)</f>
        <v>7.3888662368916072E-2</v>
      </c>
      <c r="AR7" s="33">
        <v>0</v>
      </c>
      <c r="AS7" s="37">
        <v>0</v>
      </c>
      <c r="AT7" s="34">
        <v>0</v>
      </c>
      <c r="AU7" s="37">
        <v>0</v>
      </c>
      <c r="AV7" s="35">
        <f t="shared" ref="AV7:AV20" si="31">AVERAGE(AR7:AT7)</f>
        <v>0</v>
      </c>
      <c r="AW7" s="36">
        <f t="shared" ref="AW7:AW20" si="32">STDEV(AR7:AT7)</f>
        <v>0</v>
      </c>
      <c r="AX7" s="33">
        <f t="shared" ref="AX7:AX20" si="33">AR7*D7</f>
        <v>0</v>
      </c>
      <c r="AY7" s="34">
        <f t="shared" ref="AY7:AY20" si="34">AS7*D7</f>
        <v>0</v>
      </c>
      <c r="AZ7" s="34">
        <f t="shared" ref="AZ7:AZ20" si="35">AT7*D7</f>
        <v>0</v>
      </c>
      <c r="BA7" s="35">
        <f t="shared" ref="BA7:BA20" si="36">AVERAGE(AX7:AZ7)</f>
        <v>0</v>
      </c>
      <c r="BB7" s="36">
        <f t="shared" ref="BB7:BB20" si="37">STDEV(AX7:AZ7)</f>
        <v>0</v>
      </c>
      <c r="BC7" s="5" t="s">
        <v>20</v>
      </c>
      <c r="BD7" s="133"/>
      <c r="BE7" s="134"/>
      <c r="BF7" s="134"/>
      <c r="BG7" s="135"/>
      <c r="BH7" s="136"/>
      <c r="BI7" s="133"/>
      <c r="BJ7" s="134"/>
      <c r="BK7" s="134"/>
      <c r="BL7" s="135"/>
      <c r="BM7" s="136"/>
      <c r="BN7" s="133"/>
      <c r="BO7" s="134"/>
      <c r="BP7" s="134"/>
      <c r="BQ7" s="135"/>
      <c r="BR7" s="136"/>
      <c r="BS7" s="133"/>
      <c r="BT7" s="134"/>
      <c r="BU7" s="134"/>
      <c r="BV7" s="135"/>
      <c r="BW7" s="136"/>
      <c r="BX7" s="23"/>
      <c r="BY7" s="24"/>
      <c r="BZ7" s="24"/>
      <c r="CA7" s="25"/>
      <c r="CB7" s="26"/>
      <c r="CC7" s="23"/>
      <c r="CD7" s="24"/>
      <c r="CE7" s="24"/>
      <c r="CF7" s="25"/>
      <c r="CG7" s="26"/>
      <c r="CH7" s="122">
        <f t="shared" si="4"/>
        <v>4.21666666661622</v>
      </c>
      <c r="CI7" s="55">
        <f t="shared" ref="CI7:CI20" si="38">CH7*$CI$3+$CI$4</f>
        <v>26.412996897997623</v>
      </c>
      <c r="CJ7" s="55">
        <f t="shared" si="5"/>
        <v>1.0079346754937397</v>
      </c>
      <c r="CK7" s="55">
        <f t="shared" si="6"/>
        <v>99.212778795426118</v>
      </c>
      <c r="CL7" s="55">
        <f t="shared" si="7"/>
        <v>0.99212778795426115</v>
      </c>
      <c r="CV7" s="5">
        <v>1.0944847655945862</v>
      </c>
      <c r="CW7" s="5">
        <v>1.1457887087582075</v>
      </c>
      <c r="CX7" s="5">
        <v>1.240155620448576</v>
      </c>
      <c r="CY7" s="5">
        <v>1.1601430316004564</v>
      </c>
      <c r="CZ7" s="5">
        <v>7.3888662368916072E-2</v>
      </c>
      <c r="DA7" s="5">
        <v>6.68</v>
      </c>
      <c r="DB7" s="5">
        <v>6.67</v>
      </c>
      <c r="DC7" s="5">
        <v>6.64</v>
      </c>
      <c r="DD7" s="5">
        <v>7</v>
      </c>
      <c r="DE7" s="5">
        <v>6.6633333333333331</v>
      </c>
      <c r="DF7" s="5">
        <v>2.0816659994661382E-2</v>
      </c>
      <c r="DG7" s="5">
        <f t="shared" ref="DG7:DG20" si="39">CV7/(1+10^(DA7-3.86))</f>
        <v>1.6540661977085516E-3</v>
      </c>
      <c r="DH7" s="5">
        <f t="shared" si="8"/>
        <v>1.7718722886397478E-3</v>
      </c>
      <c r="DI7" s="5">
        <f t="shared" si="8"/>
        <v>2.0547360178880341E-3</v>
      </c>
      <c r="DJ7" s="5">
        <f t="shared" ref="DJ7:DJ20" si="40">AVERAGE(DG7:DI7)</f>
        <v>1.826891501412111E-3</v>
      </c>
      <c r="DK7" s="5">
        <f t="shared" ref="DK7:DK20" si="41">STDEV(DG7:DI7)</f>
        <v>2.0592331468591082E-4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f t="shared" ref="DQ7:DQ20" si="42">DL7/(1+10^(DA7-4.76))</f>
        <v>0</v>
      </c>
      <c r="DR7" s="5">
        <f t="shared" si="9"/>
        <v>0</v>
      </c>
      <c r="DS7" s="5">
        <f t="shared" si="9"/>
        <v>0</v>
      </c>
      <c r="DT7" s="5">
        <f t="shared" ref="DT7:DT20" si="43">AVERAGE(DQ7:DS7)</f>
        <v>0</v>
      </c>
      <c r="DU7" s="5">
        <f t="shared" ref="DU7:DU20" si="44">STDEV(DQ7:DS7)</f>
        <v>0</v>
      </c>
    </row>
    <row r="8" spans="1:125" x14ac:dyDescent="0.25">
      <c r="A8" s="5" t="s">
        <v>22</v>
      </c>
      <c r="B8" s="17">
        <v>42923.65625</v>
      </c>
      <c r="C8" s="112">
        <f t="shared" si="0"/>
        <v>8.8833333333022892</v>
      </c>
      <c r="D8" s="115">
        <f t="shared" si="1"/>
        <v>0.98355870043714166</v>
      </c>
      <c r="E8" s="29">
        <v>6.4000000000000001E-2</v>
      </c>
      <c r="F8" s="30">
        <v>6.8000000000000005E-2</v>
      </c>
      <c r="G8" s="30">
        <v>6.8000000000000005E-2</v>
      </c>
      <c r="H8" s="30">
        <v>1E-3</v>
      </c>
      <c r="I8" s="31">
        <f t="shared" si="10"/>
        <v>6.6666666666666666E-2</v>
      </c>
      <c r="J8" s="32">
        <f t="shared" si="11"/>
        <v>2.3094010767585049E-3</v>
      </c>
      <c r="K8" s="29">
        <f t="shared" si="12"/>
        <v>6.2947756827977069E-2</v>
      </c>
      <c r="L8" s="30">
        <f t="shared" si="13"/>
        <v>6.6881991629725634E-2</v>
      </c>
      <c r="M8" s="30">
        <f t="shared" si="14"/>
        <v>6.6881991629725634E-2</v>
      </c>
      <c r="N8" s="31">
        <f t="shared" si="15"/>
        <v>6.5570580029142775E-2</v>
      </c>
      <c r="O8" s="32">
        <f t="shared" si="16"/>
        <v>2.271431521844728E-3</v>
      </c>
      <c r="P8" s="33">
        <v>5.27</v>
      </c>
      <c r="Q8" s="34">
        <v>4.91</v>
      </c>
      <c r="R8" s="34">
        <v>4.8899999999999997</v>
      </c>
      <c r="S8" s="34">
        <v>6.97</v>
      </c>
      <c r="T8" s="35">
        <f t="shared" si="2"/>
        <v>5.0233333333333334</v>
      </c>
      <c r="U8" s="36">
        <f t="shared" si="3"/>
        <v>0.21385353243127236</v>
      </c>
      <c r="V8" s="33">
        <v>25.906944254399569</v>
      </c>
      <c r="W8" s="34">
        <v>25.217020794418914</v>
      </c>
      <c r="X8" s="34">
        <v>25.675371278790514</v>
      </c>
      <c r="Y8" s="34">
        <v>26.993802664656211</v>
      </c>
      <c r="Z8" s="35">
        <f t="shared" si="17"/>
        <v>25.599778775869666</v>
      </c>
      <c r="AA8" s="36">
        <f t="shared" si="18"/>
        <v>0.35111859112171545</v>
      </c>
      <c r="AB8" s="33">
        <f t="shared" si="19"/>
        <v>25.481000423154715</v>
      </c>
      <c r="AC8" s="34">
        <f t="shared" si="20"/>
        <v>24.802420201455046</v>
      </c>
      <c r="AD8" s="34">
        <f t="shared" si="21"/>
        <v>25.253234808208312</v>
      </c>
      <c r="AE8" s="35">
        <f t="shared" si="22"/>
        <v>25.178885144272687</v>
      </c>
      <c r="AF8" s="36">
        <f t="shared" si="23"/>
        <v>0.34534574518299438</v>
      </c>
      <c r="AG8" s="33">
        <v>3.8047608478124744</v>
      </c>
      <c r="AH8" s="34">
        <v>4.0423040329223268</v>
      </c>
      <c r="AI8" s="34">
        <v>4.0695972629939323</v>
      </c>
      <c r="AJ8" s="37">
        <v>0</v>
      </c>
      <c r="AK8" s="35">
        <f t="shared" si="24"/>
        <v>3.972220714576244</v>
      </c>
      <c r="AL8" s="36">
        <f t="shared" si="25"/>
        <v>0.14566514797418129</v>
      </c>
      <c r="AM8" s="33">
        <f t="shared" si="26"/>
        <v>3.7422056349485544</v>
      </c>
      <c r="AN8" s="34">
        <f t="shared" si="27"/>
        <v>3.9758433013929002</v>
      </c>
      <c r="AO8" s="34">
        <f t="shared" si="28"/>
        <v>4.0026877952928608</v>
      </c>
      <c r="AP8" s="35">
        <f t="shared" si="29"/>
        <v>3.906912243878105</v>
      </c>
      <c r="AQ8" s="36">
        <f t="shared" si="30"/>
        <v>0.14327022364046976</v>
      </c>
      <c r="AR8" s="33">
        <v>0</v>
      </c>
      <c r="AS8" s="37">
        <v>0</v>
      </c>
      <c r="AT8" s="34">
        <v>0</v>
      </c>
      <c r="AU8" s="37">
        <v>0</v>
      </c>
      <c r="AV8" s="35">
        <f t="shared" si="31"/>
        <v>0</v>
      </c>
      <c r="AW8" s="36">
        <f t="shared" si="32"/>
        <v>0</v>
      </c>
      <c r="AX8" s="33">
        <f t="shared" si="33"/>
        <v>0</v>
      </c>
      <c r="AY8" s="34">
        <f t="shared" si="34"/>
        <v>0</v>
      </c>
      <c r="AZ8" s="34">
        <f t="shared" si="35"/>
        <v>0</v>
      </c>
      <c r="BA8" s="35">
        <f t="shared" si="36"/>
        <v>0</v>
      </c>
      <c r="BB8" s="36">
        <f t="shared" si="37"/>
        <v>0</v>
      </c>
      <c r="BC8" s="5" t="s">
        <v>22</v>
      </c>
      <c r="BD8" s="133"/>
      <c r="BE8" s="134"/>
      <c r="BF8" s="134"/>
      <c r="BG8" s="135"/>
      <c r="BH8" s="136"/>
      <c r="BI8" s="133"/>
      <c r="BJ8" s="134"/>
      <c r="BK8" s="134"/>
      <c r="BL8" s="135"/>
      <c r="BM8" s="136"/>
      <c r="BN8" s="133"/>
      <c r="BO8" s="134"/>
      <c r="BP8" s="134"/>
      <c r="BQ8" s="135"/>
      <c r="BR8" s="136"/>
      <c r="BS8" s="133"/>
      <c r="BT8" s="134"/>
      <c r="BU8" s="134"/>
      <c r="BV8" s="135"/>
      <c r="BW8" s="136"/>
      <c r="BX8" s="23"/>
      <c r="BY8" s="24"/>
      <c r="BZ8" s="24"/>
      <c r="CA8" s="25"/>
      <c r="CB8" s="26"/>
      <c r="CC8" s="23"/>
      <c r="CD8" s="24"/>
      <c r="CE8" s="24"/>
      <c r="CF8" s="25"/>
      <c r="CG8" s="26"/>
      <c r="CH8" s="122">
        <f t="shared" si="4"/>
        <v>8.8833333333022892</v>
      </c>
      <c r="CI8" s="55">
        <f t="shared" si="38"/>
        <v>26.643115631030795</v>
      </c>
      <c r="CJ8" s="55">
        <f t="shared" si="5"/>
        <v>1.0167161345383362</v>
      </c>
      <c r="CK8" s="55">
        <f t="shared" si="6"/>
        <v>98.355870043714162</v>
      </c>
      <c r="CL8" s="55">
        <f t="shared" si="7"/>
        <v>0.98355870043714166</v>
      </c>
      <c r="CV8" s="5">
        <v>3.7422056349485544</v>
      </c>
      <c r="CW8" s="5">
        <v>3.9758433013929002</v>
      </c>
      <c r="CX8" s="5">
        <v>4.0026877952928608</v>
      </c>
      <c r="CY8" s="5">
        <v>3.906912243878105</v>
      </c>
      <c r="CZ8" s="5">
        <v>0.14327022364046976</v>
      </c>
      <c r="DA8" s="5">
        <v>5.27</v>
      </c>
      <c r="DB8" s="5">
        <v>4.91</v>
      </c>
      <c r="DC8" s="5">
        <v>4.8899999999999997</v>
      </c>
      <c r="DD8" s="5">
        <v>6.97</v>
      </c>
      <c r="DE8" s="5">
        <v>5.0233333333333334</v>
      </c>
      <c r="DF8" s="5">
        <v>0.21385353243127236</v>
      </c>
      <c r="DG8" s="5">
        <f t="shared" si="39"/>
        <v>0.14013674149336625</v>
      </c>
      <c r="DH8" s="5">
        <f t="shared" si="8"/>
        <v>0.32535051229352863</v>
      </c>
      <c r="DI8" s="5">
        <f t="shared" si="8"/>
        <v>0.34166639656706638</v>
      </c>
      <c r="DJ8" s="5">
        <f t="shared" si="40"/>
        <v>0.26905121678465377</v>
      </c>
      <c r="DK8" s="5">
        <f t="shared" si="41"/>
        <v>0.11194087043894135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f t="shared" si="42"/>
        <v>0</v>
      </c>
      <c r="DR8" s="5">
        <f t="shared" si="9"/>
        <v>0</v>
      </c>
      <c r="DS8" s="5">
        <f t="shared" si="9"/>
        <v>0</v>
      </c>
      <c r="DT8" s="5">
        <f t="shared" si="43"/>
        <v>0</v>
      </c>
      <c r="DU8" s="5">
        <f t="shared" si="44"/>
        <v>0</v>
      </c>
    </row>
    <row r="9" spans="1:125" x14ac:dyDescent="0.25">
      <c r="A9" s="5" t="s">
        <v>23</v>
      </c>
      <c r="B9" s="17">
        <v>42923.809027777781</v>
      </c>
      <c r="C9" s="112">
        <f t="shared" si="0"/>
        <v>12.550000000046566</v>
      </c>
      <c r="D9" s="115">
        <f t="shared" si="1"/>
        <v>0.97692898922503135</v>
      </c>
      <c r="E9" s="29">
        <v>6.4000000000000001E-2</v>
      </c>
      <c r="F9" s="30">
        <v>6.9000000000000006E-2</v>
      </c>
      <c r="G9" s="30">
        <v>7.0000000000000007E-2</v>
      </c>
      <c r="H9" s="30">
        <v>1E-3</v>
      </c>
      <c r="I9" s="31">
        <f t="shared" si="10"/>
        <v>6.7666666666666667E-2</v>
      </c>
      <c r="J9" s="32">
        <f t="shared" si="11"/>
        <v>3.2145502536643214E-3</v>
      </c>
      <c r="K9" s="29">
        <f t="shared" si="12"/>
        <v>6.2523455310402001E-2</v>
      </c>
      <c r="L9" s="30">
        <f t="shared" si="13"/>
        <v>6.7408100256527173E-2</v>
      </c>
      <c r="M9" s="30">
        <f t="shared" si="14"/>
        <v>6.8385029245752196E-2</v>
      </c>
      <c r="N9" s="31">
        <f t="shared" si="15"/>
        <v>6.610552827089379E-2</v>
      </c>
      <c r="O9" s="32">
        <f t="shared" si="16"/>
        <v>3.1403873301253564E-3</v>
      </c>
      <c r="P9" s="33">
        <v>4.6500000000000004</v>
      </c>
      <c r="Q9" s="34">
        <v>4.6399999999999997</v>
      </c>
      <c r="R9" s="34">
        <v>4.67</v>
      </c>
      <c r="S9" s="34">
        <v>6.95</v>
      </c>
      <c r="T9" s="35">
        <f t="shared" si="2"/>
        <v>4.6533333333333333</v>
      </c>
      <c r="U9" s="36">
        <f t="shared" si="3"/>
        <v>1.5275252316519529E-2</v>
      </c>
      <c r="V9" s="33">
        <v>25.743714483277969</v>
      </c>
      <c r="W9" s="34">
        <v>25.55137247219708</v>
      </c>
      <c r="X9" s="34">
        <v>25.507721052919969</v>
      </c>
      <c r="Y9" s="34">
        <v>26.670808001026838</v>
      </c>
      <c r="Z9" s="35">
        <f t="shared" si="17"/>
        <v>25.600936002798338</v>
      </c>
      <c r="AA9" s="36">
        <f t="shared" si="18"/>
        <v>0.1255612697740851</v>
      </c>
      <c r="AB9" s="33">
        <f t="shared" si="19"/>
        <v>25.149780969046546</v>
      </c>
      <c r="AC9" s="34">
        <f t="shared" si="20"/>
        <v>24.961876482575786</v>
      </c>
      <c r="AD9" s="34">
        <f t="shared" si="21"/>
        <v>24.919232145663159</v>
      </c>
      <c r="AE9" s="35">
        <f t="shared" si="22"/>
        <v>25.010296532428498</v>
      </c>
      <c r="AF9" s="36">
        <f t="shared" si="23"/>
        <v>0.1226644443662071</v>
      </c>
      <c r="AG9" s="33">
        <v>4.3801901894115973</v>
      </c>
      <c r="AH9" s="34">
        <v>4.4177419100832456</v>
      </c>
      <c r="AI9" s="34">
        <v>4.3424121798468232</v>
      </c>
      <c r="AJ9" s="37">
        <v>0</v>
      </c>
      <c r="AK9" s="35">
        <f t="shared" si="24"/>
        <v>4.3801147597805556</v>
      </c>
      <c r="AL9" s="36">
        <f t="shared" si="25"/>
        <v>3.7664921765416859E-2</v>
      </c>
      <c r="AM9" s="33">
        <f t="shared" si="26"/>
        <v>4.2791347743552706</v>
      </c>
      <c r="AN9" s="34">
        <f t="shared" si="27"/>
        <v>4.3158201388746846</v>
      </c>
      <c r="AO9" s="34">
        <f t="shared" si="28"/>
        <v>4.2422283416562223</v>
      </c>
      <c r="AP9" s="35">
        <f t="shared" si="29"/>
        <v>4.2790610849620592</v>
      </c>
      <c r="AQ9" s="36">
        <f t="shared" si="30"/>
        <v>3.6795953949528518E-2</v>
      </c>
      <c r="AR9" s="33">
        <v>0</v>
      </c>
      <c r="AS9" s="37">
        <v>0</v>
      </c>
      <c r="AT9" s="34">
        <v>0</v>
      </c>
      <c r="AU9" s="37">
        <v>0</v>
      </c>
      <c r="AV9" s="35">
        <f t="shared" si="31"/>
        <v>0</v>
      </c>
      <c r="AW9" s="36">
        <f t="shared" si="32"/>
        <v>0</v>
      </c>
      <c r="AX9" s="33">
        <f t="shared" si="33"/>
        <v>0</v>
      </c>
      <c r="AY9" s="34">
        <f t="shared" si="34"/>
        <v>0</v>
      </c>
      <c r="AZ9" s="34">
        <f t="shared" si="35"/>
        <v>0</v>
      </c>
      <c r="BA9" s="35">
        <f t="shared" si="36"/>
        <v>0</v>
      </c>
      <c r="BB9" s="36">
        <f t="shared" si="37"/>
        <v>0</v>
      </c>
      <c r="BC9" s="5" t="s">
        <v>23</v>
      </c>
      <c r="BD9" s="133">
        <v>95300000</v>
      </c>
      <c r="BE9" s="134">
        <v>78400000</v>
      </c>
      <c r="BF9" s="134">
        <v>48000000</v>
      </c>
      <c r="BG9" s="135">
        <f t="shared" ref="BG9:BG19" si="45">AVERAGE(BD9:BF9)</f>
        <v>73900000</v>
      </c>
      <c r="BH9" s="136">
        <f t="shared" ref="BH9:BH19" si="46">STDEV(BD9:BF9)</f>
        <v>23968938.232637674</v>
      </c>
      <c r="BI9" s="133">
        <f t="shared" ref="BI9:BI19" si="47">BD9*D9</f>
        <v>93101332.673145488</v>
      </c>
      <c r="BJ9" s="134">
        <f t="shared" ref="BJ9:BJ19" si="48">BE9*D9</f>
        <v>76591232.755242452</v>
      </c>
      <c r="BK9" s="134">
        <f t="shared" ref="BK9:BK19" si="49">BF9*D9</f>
        <v>46892591.482801504</v>
      </c>
      <c r="BL9" s="135">
        <f t="shared" ref="BL9:BL19" si="50">AVERAGE(BI9:BK9)</f>
        <v>72195052.303729817</v>
      </c>
      <c r="BM9" s="136">
        <f t="shared" ref="BM9:BM19" si="51">STDEV(BI9:BK9)</f>
        <v>23415950.600407939</v>
      </c>
      <c r="BN9" s="133">
        <v>4700000</v>
      </c>
      <c r="BO9" s="134">
        <v>4600000</v>
      </c>
      <c r="BP9" s="134">
        <v>7000000</v>
      </c>
      <c r="BQ9" s="135">
        <f t="shared" ref="BQ9:BQ19" si="52">AVERAGE(BN9:BP9)</f>
        <v>5433333.333333333</v>
      </c>
      <c r="BR9" s="136">
        <f t="shared" ref="BR9:BR19" si="53">STDEV(BN9:BP9)</f>
        <v>1357694.1236277544</v>
      </c>
      <c r="BS9" s="133">
        <f t="shared" ref="BS9:BS19" si="54">BN9*D9</f>
        <v>4591566.2493576473</v>
      </c>
      <c r="BT9" s="134">
        <f t="shared" ref="BT9:BT19" si="55">BO9*D9</f>
        <v>4493873.3504351443</v>
      </c>
      <c r="BU9" s="134">
        <f t="shared" ref="BU9:BU19" si="56">BP9*D9</f>
        <v>6838502.9245752199</v>
      </c>
      <c r="BV9" s="135">
        <f t="shared" ref="BV9:BV19" si="57">AVERAGE(BS9:BU9)</f>
        <v>5307980.8414560035</v>
      </c>
      <c r="BW9" s="136">
        <f t="shared" ref="BW9:BW19" si="58">STDEV(BS9:BU9)</f>
        <v>1326370.747872428</v>
      </c>
      <c r="BX9" s="23">
        <v>0.95299999999999996</v>
      </c>
      <c r="BY9" s="24">
        <v>0.944578313253012</v>
      </c>
      <c r="BZ9" s="24">
        <v>0.87272727272727268</v>
      </c>
      <c r="CA9" s="25">
        <f t="shared" ref="CA9:CA14" si="59">AVERAGE(BX9:BZ9)</f>
        <v>0.92343519532676155</v>
      </c>
      <c r="CB9" s="26">
        <f t="shared" ref="CB9:CB14" si="60">STDEV(BX9:BZ9)</f>
        <v>4.4115771133268353E-2</v>
      </c>
      <c r="CC9" s="23">
        <v>4.7E-2</v>
      </c>
      <c r="CD9" s="24">
        <v>5.5421686746987948E-2</v>
      </c>
      <c r="CE9" s="24">
        <v>0.12727272727272726</v>
      </c>
      <c r="CF9" s="25">
        <f t="shared" ref="CF9:CF14" si="61">AVERAGE(CC9:CE9)</f>
        <v>7.656480467323841E-2</v>
      </c>
      <c r="CG9" s="26">
        <f t="shared" ref="CG9:CG14" si="62">STDEV(CC9:CE9)</f>
        <v>4.4115771133268332E-2</v>
      </c>
      <c r="CH9" s="122">
        <f t="shared" si="4"/>
        <v>12.550000000046566</v>
      </c>
      <c r="CI9" s="55">
        <f t="shared" si="38"/>
        <v>26.823923206988507</v>
      </c>
      <c r="CJ9" s="55">
        <f t="shared" si="5"/>
        <v>1.023615852359208</v>
      </c>
      <c r="CK9" s="55">
        <f t="shared" si="6"/>
        <v>97.692898922503133</v>
      </c>
      <c r="CL9" s="55">
        <f t="shared" si="7"/>
        <v>0.97692898922503135</v>
      </c>
      <c r="CV9" s="5">
        <v>4.2791347743552706</v>
      </c>
      <c r="CW9" s="5">
        <v>4.3158201388746846</v>
      </c>
      <c r="CX9" s="5">
        <v>4.2422283416562223</v>
      </c>
      <c r="CY9" s="5">
        <v>4.2790610849620592</v>
      </c>
      <c r="CZ9" s="5">
        <v>3.6795953949528518E-2</v>
      </c>
      <c r="DA9" s="5">
        <v>4.6500000000000004</v>
      </c>
      <c r="DB9" s="5">
        <v>4.6399999999999997</v>
      </c>
      <c r="DC9" s="5">
        <v>4.67</v>
      </c>
      <c r="DD9" s="5">
        <v>6.95</v>
      </c>
      <c r="DE9" s="5">
        <v>4.6533333333333333</v>
      </c>
      <c r="DF9" s="5">
        <v>1.5275252316519529E-2</v>
      </c>
      <c r="DG9" s="5">
        <f t="shared" si="39"/>
        <v>0.59714828644345219</v>
      </c>
      <c r="DH9" s="5">
        <f t="shared" si="8"/>
        <v>0.61429951628585522</v>
      </c>
      <c r="DI9" s="5">
        <f t="shared" si="8"/>
        <v>0.56892701422056258</v>
      </c>
      <c r="DJ9" s="5">
        <f t="shared" si="40"/>
        <v>0.5934582723166234</v>
      </c>
      <c r="DK9" s="5">
        <f t="shared" si="41"/>
        <v>2.2910219097782406E-2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f t="shared" si="42"/>
        <v>0</v>
      </c>
      <c r="DR9" s="5">
        <f t="shared" si="9"/>
        <v>0</v>
      </c>
      <c r="DS9" s="5">
        <f t="shared" si="9"/>
        <v>0</v>
      </c>
      <c r="DT9" s="5">
        <f t="shared" si="43"/>
        <v>0</v>
      </c>
      <c r="DU9" s="5">
        <f t="shared" si="44"/>
        <v>0</v>
      </c>
    </row>
    <row r="10" spans="1:125" x14ac:dyDescent="0.25">
      <c r="A10" s="5" t="s">
        <v>24</v>
      </c>
      <c r="B10" s="17">
        <v>42923.980555555558</v>
      </c>
      <c r="C10" s="112">
        <f t="shared" si="0"/>
        <v>16.666666666686069</v>
      </c>
      <c r="D10" s="115">
        <f t="shared" si="1"/>
        <v>0.96959133362085081</v>
      </c>
      <c r="E10" s="29">
        <v>7.6999999999999999E-2</v>
      </c>
      <c r="F10" s="30">
        <v>8.4000000000000005E-2</v>
      </c>
      <c r="G10" s="30">
        <v>8.7999999999999995E-2</v>
      </c>
      <c r="H10" s="30">
        <v>2E-3</v>
      </c>
      <c r="I10" s="31">
        <f t="shared" si="10"/>
        <v>8.3000000000000004E-2</v>
      </c>
      <c r="J10" s="32">
        <f t="shared" si="11"/>
        <v>5.5677643628300206E-3</v>
      </c>
      <c r="K10" s="29">
        <f t="shared" si="12"/>
        <v>7.4658532688805512E-2</v>
      </c>
      <c r="L10" s="30">
        <f t="shared" si="13"/>
        <v>8.1445672024151469E-2</v>
      </c>
      <c r="M10" s="30">
        <f t="shared" si="14"/>
        <v>8.5324037358634863E-2</v>
      </c>
      <c r="N10" s="31">
        <f t="shared" si="15"/>
        <v>8.0476080690530624E-2</v>
      </c>
      <c r="O10" s="32">
        <f t="shared" si="16"/>
        <v>5.398456073843004E-3</v>
      </c>
      <c r="P10" s="33">
        <v>4.6500000000000004</v>
      </c>
      <c r="Q10" s="34">
        <v>4.68</v>
      </c>
      <c r="R10" s="34">
        <v>4.72</v>
      </c>
      <c r="S10" s="34">
        <v>6.92</v>
      </c>
      <c r="T10" s="35">
        <f t="shared" si="2"/>
        <v>4.6833333333333336</v>
      </c>
      <c r="U10" s="36">
        <f t="shared" si="3"/>
        <v>3.5118845842842181E-2</v>
      </c>
      <c r="V10" s="33">
        <v>25.300510337790584</v>
      </c>
      <c r="W10" s="34">
        <v>24.132543418033563</v>
      </c>
      <c r="X10" s="34">
        <v>25.797181210037174</v>
      </c>
      <c r="Y10" s="34">
        <v>27.679090015842736</v>
      </c>
      <c r="Z10" s="35">
        <f t="shared" si="17"/>
        <v>25.076744988620437</v>
      </c>
      <c r="AA10" s="36">
        <f t="shared" si="18"/>
        <v>0.8545805656920773</v>
      </c>
      <c r="AB10" s="33">
        <f t="shared" si="19"/>
        <v>24.531155559706495</v>
      </c>
      <c r="AC10" s="34">
        <f t="shared" si="20"/>
        <v>23.398704956354248</v>
      </c>
      <c r="AD10" s="34">
        <f t="shared" si="21"/>
        <v>25.012723333098698</v>
      </c>
      <c r="AE10" s="35">
        <f t="shared" si="22"/>
        <v>24.314194616386477</v>
      </c>
      <c r="AF10" s="36">
        <f t="shared" si="23"/>
        <v>0.82859391037584307</v>
      </c>
      <c r="AG10" s="33">
        <v>4.2309657347119778</v>
      </c>
      <c r="AH10" s="34">
        <v>4.2151242267460223</v>
      </c>
      <c r="AI10" s="34">
        <v>4.2287037860410637</v>
      </c>
      <c r="AJ10" s="37">
        <v>0</v>
      </c>
      <c r="AK10" s="35">
        <f t="shared" si="24"/>
        <v>4.224931249166354</v>
      </c>
      <c r="AL10" s="36">
        <f t="shared" si="25"/>
        <v>8.5681018616807943E-3</v>
      </c>
      <c r="AM10" s="33">
        <f t="shared" si="26"/>
        <v>4.1023077092235098</v>
      </c>
      <c r="AN10" s="34">
        <f t="shared" si="27"/>
        <v>4.0869479203882335</v>
      </c>
      <c r="AO10" s="34">
        <f t="shared" si="28"/>
        <v>4.1001145433950956</v>
      </c>
      <c r="AP10" s="35">
        <f t="shared" si="29"/>
        <v>4.0964567243356127</v>
      </c>
      <c r="AQ10" s="36">
        <f t="shared" si="30"/>
        <v>8.3075573106663348E-3</v>
      </c>
      <c r="AR10" s="33">
        <v>0</v>
      </c>
      <c r="AS10" s="37">
        <v>0</v>
      </c>
      <c r="AT10" s="34">
        <v>0</v>
      </c>
      <c r="AU10" s="37">
        <v>0</v>
      </c>
      <c r="AV10" s="35">
        <f t="shared" si="31"/>
        <v>0</v>
      </c>
      <c r="AW10" s="36">
        <f t="shared" si="32"/>
        <v>0</v>
      </c>
      <c r="AX10" s="33">
        <f t="shared" si="33"/>
        <v>0</v>
      </c>
      <c r="AY10" s="34">
        <f t="shared" si="34"/>
        <v>0</v>
      </c>
      <c r="AZ10" s="34">
        <f t="shared" si="35"/>
        <v>0</v>
      </c>
      <c r="BA10" s="35">
        <f t="shared" si="36"/>
        <v>0</v>
      </c>
      <c r="BB10" s="36">
        <f t="shared" si="37"/>
        <v>0</v>
      </c>
      <c r="BC10" s="5" t="s">
        <v>24</v>
      </c>
      <c r="BD10" s="133"/>
      <c r="BE10" s="134"/>
      <c r="BF10" s="134"/>
      <c r="BG10" s="135"/>
      <c r="BH10" s="136"/>
      <c r="BI10" s="133"/>
      <c r="BJ10" s="134"/>
      <c r="BK10" s="134"/>
      <c r="BL10" s="135"/>
      <c r="BM10" s="136"/>
      <c r="BN10" s="133"/>
      <c r="BO10" s="134"/>
      <c r="BP10" s="134"/>
      <c r="BQ10" s="135"/>
      <c r="BR10" s="136"/>
      <c r="BS10" s="133"/>
      <c r="BT10" s="134"/>
      <c r="BU10" s="134"/>
      <c r="BV10" s="135"/>
      <c r="BW10" s="136"/>
      <c r="BX10" s="23"/>
      <c r="BY10" s="24"/>
      <c r="BZ10" s="24"/>
      <c r="CA10" s="25"/>
      <c r="CB10" s="26"/>
      <c r="CC10" s="23"/>
      <c r="CD10" s="24"/>
      <c r="CE10" s="24"/>
      <c r="CF10" s="25"/>
      <c r="CG10" s="26"/>
      <c r="CH10" s="122">
        <f t="shared" si="4"/>
        <v>16.666666666686069</v>
      </c>
      <c r="CI10" s="55">
        <f t="shared" si="38"/>
        <v>27.0269208036263</v>
      </c>
      <c r="CJ10" s="55">
        <f t="shared" si="5"/>
        <v>1.031362353730608</v>
      </c>
      <c r="CK10" s="55">
        <f t="shared" si="6"/>
        <v>96.959133362085083</v>
      </c>
      <c r="CL10" s="55">
        <f t="shared" si="7"/>
        <v>0.96959133362085081</v>
      </c>
      <c r="CV10" s="5">
        <v>4.1023077092235098</v>
      </c>
      <c r="CW10" s="5">
        <v>4.0869479203882335</v>
      </c>
      <c r="CX10" s="5">
        <v>4.1001145433950956</v>
      </c>
      <c r="CY10" s="5">
        <v>4.0964567243356127</v>
      </c>
      <c r="CZ10" s="5">
        <v>8.3075573106663348E-3</v>
      </c>
      <c r="DA10" s="5">
        <v>4.6500000000000004</v>
      </c>
      <c r="DB10" s="5">
        <v>4.68</v>
      </c>
      <c r="DC10" s="5">
        <v>4.72</v>
      </c>
      <c r="DD10" s="5">
        <v>6.92</v>
      </c>
      <c r="DE10" s="5">
        <v>4.6833333333333336</v>
      </c>
      <c r="DF10" s="5">
        <v>3.5118845842842181E-2</v>
      </c>
      <c r="DG10" s="5">
        <f t="shared" si="39"/>
        <v>0.57247227493452169</v>
      </c>
      <c r="DH10" s="5">
        <f t="shared" si="8"/>
        <v>0.53726608676500964</v>
      </c>
      <c r="DI10" s="5">
        <f t="shared" si="8"/>
        <v>0.49732359357810546</v>
      </c>
      <c r="DJ10" s="5">
        <f t="shared" si="40"/>
        <v>0.53568731842587891</v>
      </c>
      <c r="DK10" s="5">
        <f t="shared" si="41"/>
        <v>3.7599208229742366E-2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f t="shared" si="42"/>
        <v>0</v>
      </c>
      <c r="DR10" s="5">
        <f t="shared" si="9"/>
        <v>0</v>
      </c>
      <c r="DS10" s="5">
        <f t="shared" si="9"/>
        <v>0</v>
      </c>
      <c r="DT10" s="5">
        <f t="shared" si="43"/>
        <v>0</v>
      </c>
      <c r="DU10" s="5">
        <f t="shared" si="44"/>
        <v>0</v>
      </c>
    </row>
    <row r="11" spans="1:125" x14ac:dyDescent="0.25">
      <c r="A11" s="5" t="s">
        <v>40</v>
      </c>
      <c r="B11" s="17">
        <v>42924.206944444442</v>
      </c>
      <c r="C11" s="112">
        <f t="shared" si="0"/>
        <v>22.099999999918509</v>
      </c>
      <c r="D11" s="115">
        <f t="shared" si="1"/>
        <v>0.96007390475652254</v>
      </c>
      <c r="E11" s="29">
        <v>0.13200000000000001</v>
      </c>
      <c r="F11" s="30">
        <v>0.16200000000000001</v>
      </c>
      <c r="G11" s="30">
        <v>0.185</v>
      </c>
      <c r="H11" s="30">
        <v>0</v>
      </c>
      <c r="I11" s="31">
        <f t="shared" si="10"/>
        <v>0.15966666666666668</v>
      </c>
      <c r="J11" s="32">
        <f t="shared" si="11"/>
        <v>2.6576932353703328E-2</v>
      </c>
      <c r="K11" s="29">
        <f t="shared" si="12"/>
        <v>0.12672975542786097</v>
      </c>
      <c r="L11" s="30">
        <f t="shared" si="13"/>
        <v>0.15553197257055665</v>
      </c>
      <c r="M11" s="30">
        <f t="shared" si="14"/>
        <v>0.17761367237995668</v>
      </c>
      <c r="N11" s="31">
        <f t="shared" si="15"/>
        <v>0.15329180012612478</v>
      </c>
      <c r="O11" s="32">
        <f t="shared" si="16"/>
        <v>2.5515819221269997E-2</v>
      </c>
      <c r="P11" s="33">
        <v>5.1100000000000003</v>
      </c>
      <c r="Q11" s="34">
        <v>5.39</v>
      </c>
      <c r="R11" s="34">
        <v>5.61</v>
      </c>
      <c r="S11" s="34">
        <v>6.91</v>
      </c>
      <c r="T11" s="35">
        <f t="shared" si="2"/>
        <v>5.37</v>
      </c>
      <c r="U11" s="36">
        <f t="shared" si="3"/>
        <v>0.2505992817228333</v>
      </c>
      <c r="V11" s="33">
        <v>25.644028809414355</v>
      </c>
      <c r="W11" s="34">
        <v>25.448858377906603</v>
      </c>
      <c r="X11" s="34">
        <v>25.58375715477575</v>
      </c>
      <c r="Y11" s="34">
        <v>26.944236697747485</v>
      </c>
      <c r="Z11" s="35">
        <f t="shared" si="17"/>
        <v>25.558881447365568</v>
      </c>
      <c r="AA11" s="36">
        <f t="shared" si="18"/>
        <v>9.993485352017159E-2</v>
      </c>
      <c r="AB11" s="33">
        <f t="shared" si="19"/>
        <v>24.620162872743197</v>
      </c>
      <c r="AC11" s="34">
        <f t="shared" si="20"/>
        <v>24.432784834472535</v>
      </c>
      <c r="AD11" s="34">
        <f t="shared" si="21"/>
        <v>24.562297629928175</v>
      </c>
      <c r="AE11" s="35">
        <f t="shared" si="22"/>
        <v>24.538415112381301</v>
      </c>
      <c r="AF11" s="36">
        <f t="shared" si="23"/>
        <v>9.594484504038199E-2</v>
      </c>
      <c r="AG11" s="33">
        <v>3.5548437715233838</v>
      </c>
      <c r="AH11" s="34">
        <v>3.2460460199562178</v>
      </c>
      <c r="AI11" s="34">
        <v>2.9905438567098241</v>
      </c>
      <c r="AJ11" s="37">
        <v>0</v>
      </c>
      <c r="AK11" s="35">
        <f t="shared" si="24"/>
        <v>3.2638112160631416</v>
      </c>
      <c r="AL11" s="36">
        <f t="shared" si="25"/>
        <v>0.28256910678484615</v>
      </c>
      <c r="AM11" s="33">
        <f t="shared" si="26"/>
        <v>3.4129127405258588</v>
      </c>
      <c r="AN11" s="34">
        <f t="shared" si="27"/>
        <v>3.116444077398735</v>
      </c>
      <c r="AO11" s="34">
        <f t="shared" si="28"/>
        <v>2.8711431178570312</v>
      </c>
      <c r="AP11" s="35">
        <f t="shared" si="29"/>
        <v>3.1334999785938749</v>
      </c>
      <c r="AQ11" s="36">
        <f t="shared" si="30"/>
        <v>0.27128722571449015</v>
      </c>
      <c r="AR11" s="33">
        <v>0.30390107739922034</v>
      </c>
      <c r="AS11" s="34">
        <v>0.23288001486064636</v>
      </c>
      <c r="AT11" s="34">
        <v>0.15894711468081252</v>
      </c>
      <c r="AU11" s="37">
        <v>0</v>
      </c>
      <c r="AV11" s="35">
        <f t="shared" si="31"/>
        <v>0.23190940231355972</v>
      </c>
      <c r="AW11" s="36">
        <f t="shared" si="32"/>
        <v>7.2481855615594032E-2</v>
      </c>
      <c r="AX11" s="33">
        <f t="shared" si="33"/>
        <v>0.29176749403838365</v>
      </c>
      <c r="AY11" s="34">
        <f t="shared" si="34"/>
        <v>0.22358202520701775</v>
      </c>
      <c r="AZ11" s="34">
        <f t="shared" si="35"/>
        <v>0.15260097704139047</v>
      </c>
      <c r="BA11" s="35">
        <f t="shared" si="36"/>
        <v>0.22265016542893065</v>
      </c>
      <c r="BB11" s="36">
        <f t="shared" si="37"/>
        <v>6.9587938144861791E-2</v>
      </c>
      <c r="BC11" s="5" t="s">
        <v>40</v>
      </c>
      <c r="BD11" s="133"/>
      <c r="BE11" s="134"/>
      <c r="BF11" s="134"/>
      <c r="BG11" s="135"/>
      <c r="BH11" s="136"/>
      <c r="BI11" s="133"/>
      <c r="BJ11" s="134"/>
      <c r="BK11" s="134"/>
      <c r="BL11" s="135"/>
      <c r="BM11" s="136"/>
      <c r="BN11" s="133"/>
      <c r="BO11" s="134"/>
      <c r="BP11" s="134"/>
      <c r="BQ11" s="135"/>
      <c r="BR11" s="136"/>
      <c r="BS11" s="133"/>
      <c r="BT11" s="134"/>
      <c r="BU11" s="134"/>
      <c r="BV11" s="135"/>
      <c r="BW11" s="136"/>
      <c r="BX11" s="23"/>
      <c r="BY11" s="24"/>
      <c r="BZ11" s="24"/>
      <c r="CA11" s="25"/>
      <c r="CB11" s="26"/>
      <c r="CC11" s="23"/>
      <c r="CD11" s="24"/>
      <c r="CE11" s="24"/>
      <c r="CF11" s="25"/>
      <c r="CG11" s="26"/>
      <c r="CH11" s="122">
        <f t="shared" si="4"/>
        <v>22.099999999918509</v>
      </c>
      <c r="CI11" s="55">
        <f t="shared" si="38"/>
        <v>27.294844757080263</v>
      </c>
      <c r="CJ11" s="55">
        <f t="shared" si="5"/>
        <v>1.0415864810465845</v>
      </c>
      <c r="CK11" s="55">
        <f t="shared" si="6"/>
        <v>96.007390475652258</v>
      </c>
      <c r="CL11" s="55">
        <f t="shared" si="7"/>
        <v>0.96007390475652254</v>
      </c>
      <c r="CV11" s="5">
        <v>3.4129127405258588</v>
      </c>
      <c r="CW11" s="5">
        <v>3.116444077398735</v>
      </c>
      <c r="CX11" s="5">
        <v>2.8711431178570312</v>
      </c>
      <c r="CY11" s="5">
        <v>3.1334999785938749</v>
      </c>
      <c r="CZ11" s="5">
        <v>0.27128722571449015</v>
      </c>
      <c r="DA11" s="5">
        <v>5.1100000000000003</v>
      </c>
      <c r="DB11" s="5">
        <v>5.39</v>
      </c>
      <c r="DC11" s="5">
        <v>5.61</v>
      </c>
      <c r="DD11" s="5">
        <v>6.91</v>
      </c>
      <c r="DE11" s="5">
        <v>5.37</v>
      </c>
      <c r="DF11" s="5">
        <v>0.2505992817228333</v>
      </c>
      <c r="DG11" s="5">
        <f t="shared" si="39"/>
        <v>0.18170420877132065</v>
      </c>
      <c r="DH11" s="5">
        <f t="shared" si="8"/>
        <v>8.9336284485589931E-2</v>
      </c>
      <c r="DI11" s="5">
        <f t="shared" si="8"/>
        <v>5.0164875249959356E-2</v>
      </c>
      <c r="DJ11" s="5">
        <f t="shared" si="40"/>
        <v>0.10706845616895666</v>
      </c>
      <c r="DK11" s="5">
        <f t="shared" si="41"/>
        <v>6.7538666704838587E-2</v>
      </c>
      <c r="DL11" s="5">
        <v>0.29176749403838365</v>
      </c>
      <c r="DM11" s="5">
        <v>0.22358202520701775</v>
      </c>
      <c r="DN11" s="5">
        <v>0.15260097704139047</v>
      </c>
      <c r="DO11" s="5">
        <v>0.22265016542893065</v>
      </c>
      <c r="DP11" s="5">
        <v>6.9587938144861791E-2</v>
      </c>
      <c r="DQ11" s="5">
        <f t="shared" si="42"/>
        <v>9.0087254059593946E-2</v>
      </c>
      <c r="DR11" s="5">
        <f t="shared" si="9"/>
        <v>4.2459309035766002E-2</v>
      </c>
      <c r="DS11" s="5">
        <f t="shared" si="9"/>
        <v>1.8887526860197852E-2</v>
      </c>
      <c r="DT11" s="5">
        <f t="shared" si="43"/>
        <v>5.0478029985185933E-2</v>
      </c>
      <c r="DU11" s="5">
        <f t="shared" si="44"/>
        <v>3.6270858861703358E-2</v>
      </c>
    </row>
    <row r="12" spans="1:125" x14ac:dyDescent="0.25">
      <c r="A12" s="5" t="s">
        <v>46</v>
      </c>
      <c r="B12" s="17">
        <v>42924.381944444445</v>
      </c>
      <c r="C12" s="117">
        <f t="shared" si="0"/>
        <v>26.299999999988358</v>
      </c>
      <c r="D12" s="55">
        <f t="shared" si="1"/>
        <v>0.95284394906844583</v>
      </c>
      <c r="E12" s="19">
        <v>0.152</v>
      </c>
      <c r="F12" s="20">
        <v>0.192</v>
      </c>
      <c r="G12" s="20">
        <v>0.214</v>
      </c>
      <c r="H12" s="20">
        <v>-1E-3</v>
      </c>
      <c r="I12" s="21">
        <f t="shared" si="10"/>
        <v>0.18599999999999997</v>
      </c>
      <c r="J12" s="22">
        <f t="shared" si="11"/>
        <v>3.1432467291003574E-2</v>
      </c>
      <c r="K12" s="19">
        <f t="shared" si="12"/>
        <v>0.14483228025840375</v>
      </c>
      <c r="L12" s="20">
        <f t="shared" si="13"/>
        <v>0.18294603822114161</v>
      </c>
      <c r="M12" s="20">
        <f t="shared" si="14"/>
        <v>0.2039086051006474</v>
      </c>
      <c r="N12" s="21">
        <f t="shared" si="15"/>
        <v>0.17722897452673092</v>
      </c>
      <c r="O12" s="22">
        <f t="shared" si="16"/>
        <v>2.9950236262524639E-2</v>
      </c>
      <c r="P12" s="23">
        <v>5.45</v>
      </c>
      <c r="Q12" s="24">
        <v>5.76</v>
      </c>
      <c r="R12" s="24">
        <v>5.9</v>
      </c>
      <c r="S12" s="24">
        <v>6.9</v>
      </c>
      <c r="T12" s="25">
        <f t="shared" si="2"/>
        <v>5.7033333333333331</v>
      </c>
      <c r="U12" s="26">
        <f t="shared" si="3"/>
        <v>0.23028967265887837</v>
      </c>
      <c r="V12" s="23"/>
      <c r="W12" s="208"/>
      <c r="X12" s="24"/>
      <c r="Y12" s="208"/>
      <c r="Z12" s="25"/>
      <c r="AA12" s="26"/>
      <c r="AB12" s="23"/>
      <c r="AC12" s="24"/>
      <c r="AD12" s="24"/>
      <c r="AE12" s="25"/>
      <c r="AF12" s="26"/>
      <c r="AG12" s="23"/>
      <c r="AH12" s="208"/>
      <c r="AI12" s="24"/>
      <c r="AJ12" s="209"/>
      <c r="AK12" s="25"/>
      <c r="AL12" s="26"/>
      <c r="AM12" s="23"/>
      <c r="AN12" s="24"/>
      <c r="AO12" s="24"/>
      <c r="AP12" s="25"/>
      <c r="AQ12" s="26"/>
      <c r="AR12" s="23"/>
      <c r="AS12" s="208"/>
      <c r="AT12" s="24"/>
      <c r="AU12" s="209"/>
      <c r="AV12" s="25"/>
      <c r="AW12" s="26"/>
      <c r="AX12" s="23"/>
      <c r="AY12" s="24"/>
      <c r="AZ12" s="24"/>
      <c r="BA12" s="25"/>
      <c r="BB12" s="26"/>
      <c r="BC12" s="5" t="s">
        <v>46</v>
      </c>
      <c r="BD12" s="133">
        <v>4000000</v>
      </c>
      <c r="BE12" s="134">
        <v>5000000</v>
      </c>
      <c r="BF12" s="134">
        <v>24000000</v>
      </c>
      <c r="BG12" s="135">
        <f t="shared" si="45"/>
        <v>11000000</v>
      </c>
      <c r="BH12" s="136">
        <f t="shared" si="46"/>
        <v>11269427.669584645</v>
      </c>
      <c r="BI12" s="133">
        <f t="shared" si="47"/>
        <v>3811375.7962737833</v>
      </c>
      <c r="BJ12" s="134">
        <f t="shared" si="48"/>
        <v>4764219.7453422295</v>
      </c>
      <c r="BK12" s="134">
        <f t="shared" si="49"/>
        <v>22868254.777642701</v>
      </c>
      <c r="BL12" s="135">
        <f t="shared" si="50"/>
        <v>10481283.439752905</v>
      </c>
      <c r="BM12" s="136">
        <f t="shared" si="51"/>
        <v>10738005.964428244</v>
      </c>
      <c r="BN12" s="133">
        <v>127000000</v>
      </c>
      <c r="BO12" s="134">
        <v>229000000</v>
      </c>
      <c r="BP12" s="134">
        <v>264000000</v>
      </c>
      <c r="BQ12" s="135">
        <f t="shared" si="52"/>
        <v>206666666.66666666</v>
      </c>
      <c r="BR12" s="136">
        <f t="shared" si="53"/>
        <v>71178180.177167609</v>
      </c>
      <c r="BS12" s="133">
        <f t="shared" si="54"/>
        <v>121011181.53169262</v>
      </c>
      <c r="BT12" s="134">
        <f t="shared" si="55"/>
        <v>218201264.33667409</v>
      </c>
      <c r="BU12" s="134">
        <f t="shared" si="56"/>
        <v>251550802.5540697</v>
      </c>
      <c r="BV12" s="135">
        <f t="shared" si="57"/>
        <v>196921082.80747882</v>
      </c>
      <c r="BW12" s="136">
        <f t="shared" si="58"/>
        <v>67821698.287517637</v>
      </c>
      <c r="BX12" s="23">
        <v>3.0534351145038167E-2</v>
      </c>
      <c r="BY12" s="24">
        <v>2.1367521367521368E-2</v>
      </c>
      <c r="BZ12" s="24">
        <v>8.3333333333333329E-2</v>
      </c>
      <c r="CA12" s="25">
        <f t="shared" si="59"/>
        <v>4.5078401948630963E-2</v>
      </c>
      <c r="CB12" s="26">
        <f t="shared" si="60"/>
        <v>3.3445291499383092E-2</v>
      </c>
      <c r="CC12" s="23">
        <v>0.96946564885496178</v>
      </c>
      <c r="CD12" s="24">
        <v>0.9786324786324786</v>
      </c>
      <c r="CE12" s="24">
        <v>0.91666666666666663</v>
      </c>
      <c r="CF12" s="25">
        <f t="shared" si="61"/>
        <v>0.954921598051369</v>
      </c>
      <c r="CG12" s="26">
        <f t="shared" si="62"/>
        <v>3.3445291499383099E-2</v>
      </c>
      <c r="CH12" s="122">
        <f t="shared" si="4"/>
        <v>26.299999999988358</v>
      </c>
      <c r="CI12" s="55">
        <f t="shared" si="38"/>
        <v>27.501951616812704</v>
      </c>
      <c r="CJ12" s="55">
        <f t="shared" si="5"/>
        <v>1.04948979418682</v>
      </c>
      <c r="CK12" s="55">
        <f t="shared" si="6"/>
        <v>95.284394906844582</v>
      </c>
      <c r="CL12" s="55">
        <f t="shared" si="7"/>
        <v>0.95284394906844583</v>
      </c>
      <c r="DA12" s="5">
        <v>5.45</v>
      </c>
      <c r="DB12" s="5">
        <v>5.76</v>
      </c>
      <c r="DC12" s="5">
        <v>5.9</v>
      </c>
      <c r="DD12" s="5">
        <v>6.9</v>
      </c>
      <c r="DE12" s="5">
        <v>5.7033333333333331</v>
      </c>
      <c r="DF12" s="5">
        <v>0.23028967265887837</v>
      </c>
    </row>
    <row r="13" spans="1:125" x14ac:dyDescent="0.25">
      <c r="A13" s="5" t="s">
        <v>65</v>
      </c>
      <c r="B13" s="17">
        <v>42924.722222222219</v>
      </c>
      <c r="C13" s="117">
        <f t="shared" si="0"/>
        <v>34.466666666558012</v>
      </c>
      <c r="D13" s="55">
        <f t="shared" si="1"/>
        <v>0.9390929238869461</v>
      </c>
      <c r="E13" s="19">
        <v>0.17</v>
      </c>
      <c r="F13" s="20">
        <v>0.21299999999999999</v>
      </c>
      <c r="G13" s="20">
        <v>0.245</v>
      </c>
      <c r="H13" s="20">
        <v>-1E-3</v>
      </c>
      <c r="I13" s="21">
        <f t="shared" si="10"/>
        <v>0.20933333333333334</v>
      </c>
      <c r="J13" s="22">
        <f t="shared" si="11"/>
        <v>3.7634204300520627E-2</v>
      </c>
      <c r="K13" s="19">
        <f t="shared" si="12"/>
        <v>0.15964579706078086</v>
      </c>
      <c r="L13" s="20">
        <f t="shared" si="13"/>
        <v>0.20002679278791952</v>
      </c>
      <c r="M13" s="20">
        <f t="shared" si="14"/>
        <v>0.23007776635230179</v>
      </c>
      <c r="N13" s="21">
        <f t="shared" si="15"/>
        <v>0.1965834520670007</v>
      </c>
      <c r="O13" s="22">
        <f t="shared" si="16"/>
        <v>3.5342014954734713E-2</v>
      </c>
      <c r="P13" s="23">
        <v>5.74</v>
      </c>
      <c r="Q13" s="24">
        <v>5.99</v>
      </c>
      <c r="R13" s="24">
        <v>6.13</v>
      </c>
      <c r="S13" s="24">
        <v>6.89</v>
      </c>
      <c r="T13" s="25">
        <f t="shared" si="2"/>
        <v>5.9533333333333331</v>
      </c>
      <c r="U13" s="26">
        <f t="shared" si="3"/>
        <v>0.19756855350316579</v>
      </c>
      <c r="V13" s="23">
        <v>25.986156655741937</v>
      </c>
      <c r="W13" s="24">
        <v>25.369194648224664</v>
      </c>
      <c r="X13" s="24">
        <v>25.630933689101855</v>
      </c>
      <c r="Y13" s="24">
        <v>27.958890752176309</v>
      </c>
      <c r="Z13" s="25">
        <f t="shared" si="17"/>
        <v>25.662094997689483</v>
      </c>
      <c r="AA13" s="26">
        <f t="shared" si="18"/>
        <v>0.30965916754490902</v>
      </c>
      <c r="AB13" s="23">
        <f t="shared" si="19"/>
        <v>24.403415834424919</v>
      </c>
      <c r="AC13" s="24">
        <f t="shared" si="20"/>
        <v>23.824031178858363</v>
      </c>
      <c r="AD13" s="24">
        <f t="shared" si="21"/>
        <v>24.069828460051092</v>
      </c>
      <c r="AE13" s="25">
        <f t="shared" si="22"/>
        <v>24.099091824444788</v>
      </c>
      <c r="AF13" s="26">
        <f t="shared" si="23"/>
        <v>0.29079873305814663</v>
      </c>
      <c r="AG13" s="23">
        <v>2.3368092873681419</v>
      </c>
      <c r="AH13" s="24">
        <v>1.9587347600442173</v>
      </c>
      <c r="AI13" s="24">
        <v>1.8834481286229383</v>
      </c>
      <c r="AJ13" s="209">
        <v>0</v>
      </c>
      <c r="AK13" s="25">
        <f t="shared" si="24"/>
        <v>2.0596640586784325</v>
      </c>
      <c r="AL13" s="26">
        <f t="shared" si="25"/>
        <v>0.24294881674293942</v>
      </c>
      <c r="AM13" s="23">
        <f t="shared" si="26"/>
        <v>2.1944810662407193</v>
      </c>
      <c r="AN13" s="24">
        <f t="shared" si="27"/>
        <v>1.8394339529289199</v>
      </c>
      <c r="AO13" s="24">
        <f t="shared" si="28"/>
        <v>1.7687328100979121</v>
      </c>
      <c r="AP13" s="25">
        <f t="shared" si="29"/>
        <v>1.9342159430891837</v>
      </c>
      <c r="AQ13" s="26">
        <f t="shared" si="30"/>
        <v>0.22815151467000083</v>
      </c>
      <c r="AR13" s="23">
        <v>0.83734804440244714</v>
      </c>
      <c r="AS13" s="24">
        <v>0.48518783066991333</v>
      </c>
      <c r="AT13" s="24">
        <v>0.29265306748824432</v>
      </c>
      <c r="AU13" s="209">
        <v>0</v>
      </c>
      <c r="AV13" s="25">
        <f t="shared" si="31"/>
        <v>0.53839631418686829</v>
      </c>
      <c r="AW13" s="26">
        <f t="shared" si="32"/>
        <v>0.27621823167112175</v>
      </c>
      <c r="AX13" s="23">
        <f t="shared" si="33"/>
        <v>0.78634762332891051</v>
      </c>
      <c r="AY13" s="24">
        <f t="shared" si="34"/>
        <v>0.45563645853817342</v>
      </c>
      <c r="AZ13" s="24">
        <f t="shared" si="35"/>
        <v>0.27482842483201914</v>
      </c>
      <c r="BA13" s="25">
        <f t="shared" si="36"/>
        <v>0.50560416889970106</v>
      </c>
      <c r="BB13" s="26">
        <f t="shared" si="37"/>
        <v>0.25939458681091565</v>
      </c>
      <c r="BC13" s="5" t="s">
        <v>65</v>
      </c>
      <c r="BD13" s="133"/>
      <c r="BE13" s="134"/>
      <c r="BF13" s="134"/>
      <c r="BG13" s="135"/>
      <c r="BH13" s="136"/>
      <c r="BI13" s="133"/>
      <c r="BJ13" s="134"/>
      <c r="BK13" s="134"/>
      <c r="BL13" s="135"/>
      <c r="BM13" s="136"/>
      <c r="BN13" s="133"/>
      <c r="BO13" s="134"/>
      <c r="BP13" s="134"/>
      <c r="BQ13" s="135"/>
      <c r="BR13" s="136"/>
      <c r="BS13" s="133"/>
      <c r="BT13" s="134"/>
      <c r="BU13" s="134"/>
      <c r="BV13" s="135"/>
      <c r="BW13" s="136"/>
      <c r="BX13" s="23"/>
      <c r="BY13" s="24"/>
      <c r="BZ13" s="24"/>
      <c r="CA13" s="25"/>
      <c r="CB13" s="26"/>
      <c r="CC13" s="23"/>
      <c r="CD13" s="24"/>
      <c r="CE13" s="24"/>
      <c r="CF13" s="25"/>
      <c r="CG13" s="26"/>
      <c r="CH13" s="122">
        <f t="shared" si="4"/>
        <v>34.466666666558012</v>
      </c>
      <c r="CI13" s="55">
        <f t="shared" si="38"/>
        <v>27.904659399614296</v>
      </c>
      <c r="CJ13" s="55">
        <f t="shared" si="5"/>
        <v>1.0648573475146175</v>
      </c>
      <c r="CK13" s="55">
        <f t="shared" si="6"/>
        <v>93.90929238869461</v>
      </c>
      <c r="CL13" s="55">
        <f t="shared" si="7"/>
        <v>0.9390929238869461</v>
      </c>
      <c r="CV13" s="5">
        <v>2.1944810662407193</v>
      </c>
      <c r="CW13" s="5">
        <v>1.8394339529289199</v>
      </c>
      <c r="CX13" s="5">
        <v>1.7687328100979121</v>
      </c>
      <c r="CY13" s="5">
        <v>1.9342159430891837</v>
      </c>
      <c r="CZ13" s="5">
        <v>0.22815151467000083</v>
      </c>
      <c r="DA13" s="5">
        <v>5.74</v>
      </c>
      <c r="DB13" s="5">
        <v>5.99</v>
      </c>
      <c r="DC13" s="5">
        <v>6.13</v>
      </c>
      <c r="DD13" s="5">
        <v>6.89</v>
      </c>
      <c r="DE13" s="5">
        <v>5.9533333333333331</v>
      </c>
      <c r="DF13" s="5">
        <v>0.19756855350316579</v>
      </c>
      <c r="DG13" s="5">
        <f t="shared" si="39"/>
        <v>2.8552499286196176E-2</v>
      </c>
      <c r="DH13" s="5">
        <f t="shared" si="8"/>
        <v>1.3535571695828563E-2</v>
      </c>
      <c r="DI13" s="5">
        <f t="shared" si="8"/>
        <v>9.4479192525771371E-3</v>
      </c>
      <c r="DJ13" s="5">
        <f t="shared" si="40"/>
        <v>1.717866341153396E-2</v>
      </c>
      <c r="DK13" s="5">
        <f t="shared" si="41"/>
        <v>1.0059837598193117E-2</v>
      </c>
      <c r="DL13" s="5">
        <v>0.78634762332891051</v>
      </c>
      <c r="DM13" s="5">
        <v>0.45563645853817342</v>
      </c>
      <c r="DN13" s="5">
        <v>0.27482842483201914</v>
      </c>
      <c r="DO13" s="5">
        <v>0.50560416889970106</v>
      </c>
      <c r="DP13" s="5">
        <v>0.25939458681091565</v>
      </c>
      <c r="DQ13" s="5">
        <f t="shared" si="42"/>
        <v>7.4535843545059002E-2</v>
      </c>
      <c r="DR13" s="5">
        <f t="shared" si="9"/>
        <v>2.533785996766454E-2</v>
      </c>
      <c r="DS13" s="5">
        <f t="shared" si="9"/>
        <v>1.1243972868229483E-2</v>
      </c>
      <c r="DT13" s="5">
        <f t="shared" si="43"/>
        <v>3.7039225460317675E-2</v>
      </c>
      <c r="DU13" s="5">
        <f t="shared" si="44"/>
        <v>3.3228853263957497E-2</v>
      </c>
    </row>
    <row r="14" spans="1:125" x14ac:dyDescent="0.25">
      <c r="A14" s="5" t="s">
        <v>66</v>
      </c>
      <c r="B14" s="17">
        <v>42925.361111111109</v>
      </c>
      <c r="C14" s="117">
        <f t="shared" si="0"/>
        <v>49.799999999930151</v>
      </c>
      <c r="D14" s="55">
        <f t="shared" si="1"/>
        <v>0.91431855623473879</v>
      </c>
      <c r="E14" s="19">
        <v>0.185</v>
      </c>
      <c r="F14" s="20">
        <v>0.24</v>
      </c>
      <c r="G14" s="20">
        <v>0.27700000000000002</v>
      </c>
      <c r="H14" s="20">
        <v>0</v>
      </c>
      <c r="I14" s="21">
        <f t="shared" si="10"/>
        <v>0.23399999999999999</v>
      </c>
      <c r="J14" s="22">
        <f t="shared" si="11"/>
        <v>4.6292547996410888E-2</v>
      </c>
      <c r="K14" s="19">
        <f t="shared" si="12"/>
        <v>0.16914893290342667</v>
      </c>
      <c r="L14" s="20">
        <f t="shared" si="13"/>
        <v>0.21943645349633731</v>
      </c>
      <c r="M14" s="20">
        <f t="shared" si="14"/>
        <v>0.25326624007702264</v>
      </c>
      <c r="N14" s="21">
        <f t="shared" si="15"/>
        <v>0.21395054215892886</v>
      </c>
      <c r="O14" s="22">
        <f t="shared" si="16"/>
        <v>4.2326135648505722E-2</v>
      </c>
      <c r="P14" s="23">
        <v>5.84</v>
      </c>
      <c r="Q14" s="24">
        <v>6.17</v>
      </c>
      <c r="R14" s="24">
        <v>6.29</v>
      </c>
      <c r="S14" s="24">
        <v>6.82</v>
      </c>
      <c r="T14" s="25">
        <f t="shared" si="2"/>
        <v>6.1000000000000005</v>
      </c>
      <c r="U14" s="26">
        <f t="shared" si="3"/>
        <v>0.23302360395462096</v>
      </c>
      <c r="V14" s="23"/>
      <c r="W14" s="208"/>
      <c r="X14" s="24"/>
      <c r="Y14" s="208"/>
      <c r="Z14" s="25"/>
      <c r="AA14" s="26"/>
      <c r="AB14" s="23"/>
      <c r="AC14" s="24"/>
      <c r="AD14" s="24"/>
      <c r="AE14" s="25"/>
      <c r="AF14" s="26"/>
      <c r="AG14" s="23"/>
      <c r="AH14" s="208"/>
      <c r="AI14" s="24"/>
      <c r="AJ14" s="209"/>
      <c r="AK14" s="25"/>
      <c r="AL14" s="26"/>
      <c r="AM14" s="23"/>
      <c r="AN14" s="24"/>
      <c r="AO14" s="24"/>
      <c r="AP14" s="25"/>
      <c r="AQ14" s="26"/>
      <c r="AR14" s="23"/>
      <c r="AS14" s="208"/>
      <c r="AT14" s="24"/>
      <c r="AU14" s="209"/>
      <c r="AV14" s="25"/>
      <c r="AW14" s="26"/>
      <c r="AX14" s="23"/>
      <c r="AY14" s="24"/>
      <c r="AZ14" s="24"/>
      <c r="BA14" s="25"/>
      <c r="BB14" s="26"/>
      <c r="BC14" s="5" t="s">
        <v>66</v>
      </c>
      <c r="BD14" s="133">
        <v>-28000000</v>
      </c>
      <c r="BE14" s="134">
        <v>46000000</v>
      </c>
      <c r="BF14" s="134">
        <v>40000000</v>
      </c>
      <c r="BG14" s="135">
        <f t="shared" si="45"/>
        <v>19333333.333333332</v>
      </c>
      <c r="BH14" s="136">
        <f t="shared" si="46"/>
        <v>41101500.378128938</v>
      </c>
      <c r="BI14" s="133">
        <f t="shared" si="47"/>
        <v>-25600919.574572686</v>
      </c>
      <c r="BJ14" s="134">
        <f t="shared" si="48"/>
        <v>42058653.586797982</v>
      </c>
      <c r="BK14" s="134">
        <f t="shared" si="49"/>
        <v>36572742.249389552</v>
      </c>
      <c r="BL14" s="135">
        <f t="shared" si="50"/>
        <v>17676825.42053828</v>
      </c>
      <c r="BM14" s="136">
        <f t="shared" si="51"/>
        <v>37579864.484812424</v>
      </c>
      <c r="BN14" s="133">
        <v>225000000</v>
      </c>
      <c r="BO14" s="134">
        <v>293000000</v>
      </c>
      <c r="BP14" s="134">
        <v>400000000</v>
      </c>
      <c r="BQ14" s="135">
        <f t="shared" si="52"/>
        <v>306000000</v>
      </c>
      <c r="BR14" s="136">
        <f t="shared" si="53"/>
        <v>88221312.617756948</v>
      </c>
      <c r="BS14" s="133">
        <f t="shared" si="54"/>
        <v>205721675.15281624</v>
      </c>
      <c r="BT14" s="134">
        <f t="shared" si="55"/>
        <v>267895336.97677848</v>
      </c>
      <c r="BU14" s="134">
        <f t="shared" si="56"/>
        <v>365727422.49389553</v>
      </c>
      <c r="BV14" s="135">
        <f t="shared" si="57"/>
        <v>279781478.20783007</v>
      </c>
      <c r="BW14" s="136">
        <f t="shared" si="58"/>
        <v>80662383.181801125</v>
      </c>
      <c r="BX14" s="23">
        <v>-0.14213197969543148</v>
      </c>
      <c r="BY14" s="24">
        <v>0.13569321533923304</v>
      </c>
      <c r="BZ14" s="24">
        <v>9.0909090909090912E-2</v>
      </c>
      <c r="CA14" s="25">
        <f t="shared" si="59"/>
        <v>2.8156775517630822E-2</v>
      </c>
      <c r="CB14" s="26">
        <f t="shared" si="60"/>
        <v>0.1491646726415283</v>
      </c>
      <c r="CC14" s="23">
        <v>1.1421319796954315</v>
      </c>
      <c r="CD14" s="24">
        <v>0.86430678466076694</v>
      </c>
      <c r="CE14" s="24">
        <v>0.90909090909090906</v>
      </c>
      <c r="CF14" s="25">
        <f t="shared" si="61"/>
        <v>0.97184322448236926</v>
      </c>
      <c r="CG14" s="26">
        <f t="shared" si="62"/>
        <v>0.14916467264152747</v>
      </c>
      <c r="CH14" s="122">
        <f t="shared" si="4"/>
        <v>49.799999999930151</v>
      </c>
      <c r="CI14" s="55">
        <f t="shared" si="38"/>
        <v>28.660763808150637</v>
      </c>
      <c r="CJ14" s="55">
        <f t="shared" si="5"/>
        <v>1.0937107129468164</v>
      </c>
      <c r="CK14" s="55">
        <f t="shared" si="6"/>
        <v>91.431855623473879</v>
      </c>
      <c r="CL14" s="55">
        <f t="shared" si="7"/>
        <v>0.91431855623473879</v>
      </c>
      <c r="DA14" s="5">
        <v>5.84</v>
      </c>
      <c r="DB14" s="5">
        <v>6.17</v>
      </c>
      <c r="DC14" s="5">
        <v>6.29</v>
      </c>
      <c r="DD14" s="5">
        <v>6.82</v>
      </c>
      <c r="DE14" s="5">
        <v>6.1000000000000005</v>
      </c>
      <c r="DF14" s="5">
        <v>0.23302360395462096</v>
      </c>
    </row>
    <row r="15" spans="1:125" x14ac:dyDescent="0.25">
      <c r="A15" s="5" t="s">
        <v>142</v>
      </c>
      <c r="B15" s="17">
        <v>42925.944444444445</v>
      </c>
      <c r="C15" s="117">
        <f t="shared" si="0"/>
        <v>63.799999999988358</v>
      </c>
      <c r="D15" s="55">
        <f t="shared" si="1"/>
        <v>0.89281322754225756</v>
      </c>
      <c r="E15" s="19">
        <v>0.19800000000000001</v>
      </c>
      <c r="F15" s="20">
        <v>0.25700000000000001</v>
      </c>
      <c r="G15" s="20">
        <v>0.29899999999999999</v>
      </c>
      <c r="H15" s="20">
        <v>0</v>
      </c>
      <c r="I15" s="21">
        <f t="shared" si="10"/>
        <v>0.25133333333333335</v>
      </c>
      <c r="J15" s="22">
        <f t="shared" si="11"/>
        <v>5.0737888538382549E-2</v>
      </c>
      <c r="K15" s="19">
        <f t="shared" si="12"/>
        <v>0.17677701905336701</v>
      </c>
      <c r="L15" s="20">
        <f t="shared" si="13"/>
        <v>0.2294529994783602</v>
      </c>
      <c r="M15" s="20">
        <f t="shared" si="14"/>
        <v>0.266951155035135</v>
      </c>
      <c r="N15" s="21">
        <f t="shared" si="15"/>
        <v>0.22439372452228742</v>
      </c>
      <c r="O15" s="22">
        <f t="shared" si="16"/>
        <v>4.5299458024632644E-2</v>
      </c>
      <c r="P15" s="23">
        <v>5.99</v>
      </c>
      <c r="Q15" s="24">
        <v>6.29</v>
      </c>
      <c r="R15" s="24">
        <v>6.36</v>
      </c>
      <c r="S15" s="24">
        <v>6.76</v>
      </c>
      <c r="T15" s="25">
        <f t="shared" si="2"/>
        <v>6.2133333333333338</v>
      </c>
      <c r="U15" s="26">
        <f t="shared" si="3"/>
        <v>0.19655363983740759</v>
      </c>
      <c r="V15" s="23">
        <v>26.499169507718001</v>
      </c>
      <c r="W15" s="24">
        <v>26.023912690115541</v>
      </c>
      <c r="X15" s="24">
        <v>25.465192992617368</v>
      </c>
      <c r="Y15" s="24">
        <v>28.340124160674165</v>
      </c>
      <c r="Z15" s="25">
        <f t="shared" si="17"/>
        <v>25.996091730150301</v>
      </c>
      <c r="AA15" s="26">
        <f t="shared" si="18"/>
        <v>0.51754938199649425</v>
      </c>
      <c r="AB15" s="23">
        <f t="shared" si="19"/>
        <v>23.658809055375084</v>
      </c>
      <c r="AC15" s="24">
        <f t="shared" si="20"/>
        <v>23.234493482139971</v>
      </c>
      <c r="AD15" s="24">
        <f t="shared" si="21"/>
        <v>22.735661145725192</v>
      </c>
      <c r="AE15" s="25">
        <f t="shared" si="22"/>
        <v>23.209654561080082</v>
      </c>
      <c r="AF15" s="26">
        <f t="shared" si="23"/>
        <v>0.4620749341527905</v>
      </c>
      <c r="AG15" s="23">
        <v>1.5894864229316359</v>
      </c>
      <c r="AH15" s="24">
        <v>1.4804165321717258</v>
      </c>
      <c r="AI15" s="24">
        <v>1.073973452029509</v>
      </c>
      <c r="AJ15" s="209">
        <v>0</v>
      </c>
      <c r="AK15" s="25">
        <f t="shared" si="24"/>
        <v>1.3812921357109567</v>
      </c>
      <c r="AL15" s="26">
        <f t="shared" si="25"/>
        <v>0.27167561589581052</v>
      </c>
      <c r="AM15" s="23">
        <f t="shared" si="26"/>
        <v>1.4191145033921917</v>
      </c>
      <c r="AN15" s="24">
        <f t="shared" si="27"/>
        <v>1.3217354621951549</v>
      </c>
      <c r="AO15" s="24">
        <f t="shared" si="28"/>
        <v>0.95885770400116588</v>
      </c>
      <c r="AP15" s="25">
        <f t="shared" si="29"/>
        <v>1.2332358898628375</v>
      </c>
      <c r="AQ15" s="26">
        <f t="shared" si="30"/>
        <v>0.24255558347246836</v>
      </c>
      <c r="AR15" s="23">
        <v>1.0210727558536816</v>
      </c>
      <c r="AS15" s="209">
        <v>0</v>
      </c>
      <c r="AT15" s="24">
        <v>0</v>
      </c>
      <c r="AU15" s="209">
        <v>0</v>
      </c>
      <c r="AV15" s="25">
        <f t="shared" si="31"/>
        <v>0.34035758528456056</v>
      </c>
      <c r="AW15" s="26">
        <f t="shared" si="32"/>
        <v>0.58951663045431613</v>
      </c>
      <c r="AX15" s="23">
        <f t="shared" si="33"/>
        <v>0.91162726270919303</v>
      </c>
      <c r="AY15" s="24">
        <f t="shared" si="34"/>
        <v>0</v>
      </c>
      <c r="AZ15" s="24">
        <f t="shared" si="35"/>
        <v>0</v>
      </c>
      <c r="BA15" s="25">
        <f t="shared" si="36"/>
        <v>0.30387575423639768</v>
      </c>
      <c r="BB15" s="26">
        <f t="shared" si="37"/>
        <v>0.5263282455257543</v>
      </c>
      <c r="BC15" s="5" t="s">
        <v>142</v>
      </c>
      <c r="BD15" s="133"/>
      <c r="BE15" s="134"/>
      <c r="BF15" s="134"/>
      <c r="BG15" s="135"/>
      <c r="BH15" s="136"/>
      <c r="BI15" s="133"/>
      <c r="BJ15" s="134"/>
      <c r="BK15" s="134"/>
      <c r="BL15" s="135"/>
      <c r="BM15" s="136"/>
      <c r="BN15" s="133"/>
      <c r="BO15" s="134"/>
      <c r="BP15" s="134"/>
      <c r="BQ15" s="135"/>
      <c r="BR15" s="136"/>
      <c r="BS15" s="133"/>
      <c r="BT15" s="134"/>
      <c r="BU15" s="134"/>
      <c r="BV15" s="135"/>
      <c r="BW15" s="136"/>
      <c r="BX15" s="23"/>
      <c r="BY15" s="24"/>
      <c r="BZ15" s="24"/>
      <c r="CA15" s="25"/>
      <c r="CB15" s="26"/>
      <c r="CC15" s="23"/>
      <c r="CD15" s="24"/>
      <c r="CE15" s="24"/>
      <c r="CF15" s="25"/>
      <c r="CG15" s="26"/>
      <c r="CH15" s="122">
        <f t="shared" si="4"/>
        <v>63.799999999988358</v>
      </c>
      <c r="CI15" s="55">
        <f t="shared" si="38"/>
        <v>29.351120007250156</v>
      </c>
      <c r="CJ15" s="55">
        <f t="shared" si="5"/>
        <v>1.1200550900806061</v>
      </c>
      <c r="CK15" s="55">
        <f t="shared" si="6"/>
        <v>89.281322754225755</v>
      </c>
      <c r="CL15" s="55">
        <f t="shared" si="7"/>
        <v>0.89281322754225756</v>
      </c>
      <c r="CV15" s="5">
        <v>1.4191145033921917</v>
      </c>
      <c r="CW15" s="5">
        <v>1.3217354621951549</v>
      </c>
      <c r="CX15" s="5">
        <v>0.95885770400116588</v>
      </c>
      <c r="CY15" s="5">
        <v>1.2332358898628375</v>
      </c>
      <c r="CZ15" s="5">
        <v>0.24255558347246836</v>
      </c>
      <c r="DA15" s="5">
        <v>5.99</v>
      </c>
      <c r="DB15" s="5">
        <v>6.29</v>
      </c>
      <c r="DC15" s="5">
        <v>6.36</v>
      </c>
      <c r="DD15" s="5">
        <v>6.76</v>
      </c>
      <c r="DE15" s="5">
        <v>6.2133333333333338</v>
      </c>
      <c r="DF15" s="5">
        <v>0.19655363983740759</v>
      </c>
      <c r="DG15" s="5">
        <f t="shared" si="39"/>
        <v>1.0442628872142723E-2</v>
      </c>
      <c r="DH15" s="5">
        <f t="shared" si="8"/>
        <v>4.8925353849741133E-3</v>
      </c>
      <c r="DI15" s="5">
        <f t="shared" si="8"/>
        <v>3.0226159457626715E-3</v>
      </c>
      <c r="DJ15" s="5">
        <f t="shared" si="40"/>
        <v>6.119260067626503E-3</v>
      </c>
      <c r="DK15" s="5">
        <f t="shared" si="41"/>
        <v>3.859117521167659E-3</v>
      </c>
      <c r="DL15" s="5">
        <v>0.91162726270919303</v>
      </c>
      <c r="DM15" s="5">
        <v>0</v>
      </c>
      <c r="DN15" s="5">
        <v>0</v>
      </c>
      <c r="DO15" s="5">
        <v>0.30387575423639768</v>
      </c>
      <c r="DP15" s="5">
        <v>0.5263282455257543</v>
      </c>
      <c r="DQ15" s="5">
        <f t="shared" si="42"/>
        <v>5.0695425031040721E-2</v>
      </c>
      <c r="DR15" s="5">
        <f t="shared" si="9"/>
        <v>0</v>
      </c>
      <c r="DS15" s="5">
        <f t="shared" si="9"/>
        <v>0</v>
      </c>
      <c r="DT15" s="5">
        <f t="shared" si="43"/>
        <v>1.6898475010346907E-2</v>
      </c>
      <c r="DU15" s="5">
        <f t="shared" si="44"/>
        <v>2.9269017288353849E-2</v>
      </c>
    </row>
    <row r="16" spans="1:125" x14ac:dyDescent="0.25">
      <c r="A16" s="5" t="s">
        <v>143</v>
      </c>
      <c r="B16" s="17">
        <v>42926.679861111108</v>
      </c>
      <c r="C16" s="117">
        <f t="shared" si="0"/>
        <v>81.449999999895226</v>
      </c>
      <c r="D16" s="55">
        <f t="shared" si="1"/>
        <v>0.86710127546540705</v>
      </c>
      <c r="E16" s="19">
        <v>0.20699999999999999</v>
      </c>
      <c r="F16" s="20">
        <v>0.27600000000000002</v>
      </c>
      <c r="G16" s="20">
        <f>0.165*2</f>
        <v>0.33</v>
      </c>
      <c r="H16" s="20">
        <v>2E-3</v>
      </c>
      <c r="I16" s="21">
        <f t="shared" si="10"/>
        <v>0.27099999999999996</v>
      </c>
      <c r="J16" s="22">
        <f t="shared" si="11"/>
        <v>6.1652250567193624E-2</v>
      </c>
      <c r="K16" s="19">
        <f t="shared" si="12"/>
        <v>0.17948996402133924</v>
      </c>
      <c r="L16" s="20">
        <f t="shared" si="13"/>
        <v>0.23931995202845235</v>
      </c>
      <c r="M16" s="20">
        <f t="shared" si="14"/>
        <v>0.28614342090358436</v>
      </c>
      <c r="N16" s="21">
        <f t="shared" si="15"/>
        <v>0.23498444565112531</v>
      </c>
      <c r="O16" s="22">
        <f t="shared" si="16"/>
        <v>5.3458745102126282E-2</v>
      </c>
      <c r="P16" s="23">
        <v>6.17</v>
      </c>
      <c r="Q16" s="24">
        <v>6.38</v>
      </c>
      <c r="R16" s="24">
        <v>6.46</v>
      </c>
      <c r="S16" s="24">
        <v>6.74</v>
      </c>
      <c r="T16" s="25">
        <f t="shared" si="2"/>
        <v>6.3366666666666669</v>
      </c>
      <c r="U16" s="26">
        <f t="shared" si="3"/>
        <v>0.14977761292440647</v>
      </c>
      <c r="V16" s="23"/>
      <c r="W16" s="208"/>
      <c r="X16" s="24"/>
      <c r="Y16" s="208"/>
      <c r="Z16" s="25"/>
      <c r="AA16" s="26"/>
      <c r="AB16" s="23"/>
      <c r="AC16" s="24"/>
      <c r="AD16" s="24"/>
      <c r="AE16" s="25"/>
      <c r="AF16" s="26"/>
      <c r="AG16" s="23"/>
      <c r="AH16" s="208"/>
      <c r="AI16" s="24"/>
      <c r="AJ16" s="209"/>
      <c r="AK16" s="25"/>
      <c r="AL16" s="26"/>
      <c r="AM16" s="23"/>
      <c r="AN16" s="24"/>
      <c r="AO16" s="24"/>
      <c r="AP16" s="25"/>
      <c r="AQ16" s="26"/>
      <c r="AR16" s="23"/>
      <c r="AS16" s="209"/>
      <c r="AT16" s="24"/>
      <c r="AU16" s="209"/>
      <c r="AV16" s="25"/>
      <c r="AW16" s="26"/>
      <c r="AX16" s="23"/>
      <c r="AY16" s="24"/>
      <c r="AZ16" s="24"/>
      <c r="BA16" s="25"/>
      <c r="BB16" s="26"/>
      <c r="BC16" s="5" t="s">
        <v>143</v>
      </c>
      <c r="BD16" s="133">
        <v>-56000000</v>
      </c>
      <c r="BE16" s="134">
        <v>-30000000</v>
      </c>
      <c r="BF16" s="134">
        <v>-10000000</v>
      </c>
      <c r="BG16" s="135">
        <f t="shared" si="45"/>
        <v>-32000000</v>
      </c>
      <c r="BH16" s="136">
        <f t="shared" si="46"/>
        <v>23065125.189341594</v>
      </c>
      <c r="BI16" s="133">
        <f t="shared" si="47"/>
        <v>-48557671.426062793</v>
      </c>
      <c r="BJ16" s="134">
        <f t="shared" si="48"/>
        <v>-26013038.263962213</v>
      </c>
      <c r="BK16" s="134">
        <f t="shared" si="49"/>
        <v>-8671012.7546540704</v>
      </c>
      <c r="BL16" s="135">
        <f t="shared" si="50"/>
        <v>-27747240.814893022</v>
      </c>
      <c r="BM16" s="136">
        <f t="shared" si="51"/>
        <v>19999799.470447384</v>
      </c>
      <c r="BN16" s="133">
        <v>290000000</v>
      </c>
      <c r="BO16" s="134">
        <v>440000000</v>
      </c>
      <c r="BP16" s="134">
        <v>490000000</v>
      </c>
      <c r="BQ16" s="135">
        <f t="shared" si="52"/>
        <v>406666666.66666669</v>
      </c>
      <c r="BR16" s="136">
        <f t="shared" si="53"/>
        <v>104083299.97330669</v>
      </c>
      <c r="BS16" s="133">
        <f t="shared" si="54"/>
        <v>251459369.88496804</v>
      </c>
      <c r="BT16" s="134">
        <f t="shared" si="55"/>
        <v>381524561.20477909</v>
      </c>
      <c r="BU16" s="134">
        <f t="shared" si="56"/>
        <v>424879624.97804946</v>
      </c>
      <c r="BV16" s="135">
        <f t="shared" si="57"/>
        <v>352621185.35593224</v>
      </c>
      <c r="BW16" s="136">
        <f t="shared" si="58"/>
        <v>90250762.161502525</v>
      </c>
      <c r="BX16" s="23">
        <v>-0.23931623931623933</v>
      </c>
      <c r="BY16" s="24">
        <v>-7.3170731707317069E-2</v>
      </c>
      <c r="BZ16" s="24">
        <v>-2.0833333333333332E-2</v>
      </c>
      <c r="CA16" s="25">
        <f t="shared" ref="CA16:CA19" si="63">AVERAGE(BX16:BZ16)</f>
        <v>-0.11110676811896324</v>
      </c>
      <c r="CB16" s="26">
        <f t="shared" ref="CB16:CB19" si="64">STDEV(BX16:BZ16)</f>
        <v>0.11407476581458821</v>
      </c>
      <c r="CC16" s="23">
        <v>1.2393162393162394</v>
      </c>
      <c r="CD16" s="24">
        <v>1.0731707317073171</v>
      </c>
      <c r="CE16" s="24">
        <v>1.0208333333333333</v>
      </c>
      <c r="CF16" s="25">
        <f t="shared" ref="CF16:CF19" si="65">AVERAGE(CC16:CE16)</f>
        <v>1.1111067681189633</v>
      </c>
      <c r="CG16" s="26">
        <f t="shared" ref="CG16:CG19" si="66">STDEV(CC16:CE16)</f>
        <v>0.11407476581458824</v>
      </c>
      <c r="CH16" s="122">
        <f t="shared" si="4"/>
        <v>81.449999999895226</v>
      </c>
      <c r="CI16" s="55">
        <f t="shared" si="38"/>
        <v>30.221461929678124</v>
      </c>
      <c r="CJ16" s="55">
        <f t="shared" si="5"/>
        <v>1.1532678226811062</v>
      </c>
      <c r="CK16" s="55">
        <f t="shared" si="6"/>
        <v>86.710127546540704</v>
      </c>
      <c r="CL16" s="55">
        <f t="shared" si="7"/>
        <v>0.86710127546540705</v>
      </c>
      <c r="DA16" s="5">
        <v>6.17</v>
      </c>
      <c r="DB16" s="5">
        <v>6.38</v>
      </c>
      <c r="DC16" s="5">
        <v>6.46</v>
      </c>
      <c r="DD16" s="5">
        <v>6.74</v>
      </c>
      <c r="DE16" s="5">
        <v>6.3366666666666669</v>
      </c>
      <c r="DF16" s="5">
        <v>0.14977761292440647</v>
      </c>
    </row>
    <row r="17" spans="1:125" x14ac:dyDescent="0.25">
      <c r="A17" s="5" t="s">
        <v>144</v>
      </c>
      <c r="B17" s="17">
        <v>42927.709027777775</v>
      </c>
      <c r="C17" s="117">
        <f t="shared" si="0"/>
        <v>106.14999999990687</v>
      </c>
      <c r="D17" s="55">
        <f t="shared" si="1"/>
        <v>0.83350918230110604</v>
      </c>
      <c r="E17" s="19">
        <v>0.22</v>
      </c>
      <c r="F17" s="20">
        <f>0.152*2</f>
        <v>0.30399999999999999</v>
      </c>
      <c r="G17" s="20">
        <f>0.179*2</f>
        <v>0.35799999999999998</v>
      </c>
      <c r="H17" s="20">
        <v>2E-3</v>
      </c>
      <c r="I17" s="21">
        <f t="shared" si="10"/>
        <v>0.29399999999999998</v>
      </c>
      <c r="J17" s="22">
        <f t="shared" si="11"/>
        <v>6.9541354602854696E-2</v>
      </c>
      <c r="K17" s="19">
        <f t="shared" si="12"/>
        <v>0.18337202010624334</v>
      </c>
      <c r="L17" s="20">
        <f t="shared" si="13"/>
        <v>0.25338679141953624</v>
      </c>
      <c r="M17" s="20">
        <f t="shared" si="14"/>
        <v>0.29839628726379597</v>
      </c>
      <c r="N17" s="21">
        <f t="shared" si="15"/>
        <v>0.24505169959652517</v>
      </c>
      <c r="O17" s="22">
        <f t="shared" si="16"/>
        <v>5.7963357611136954E-2</v>
      </c>
      <c r="P17" s="23">
        <v>6.35</v>
      </c>
      <c r="Q17" s="24">
        <v>6.47</v>
      </c>
      <c r="R17" s="24">
        <v>6.54</v>
      </c>
      <c r="S17" s="24">
        <v>6.66</v>
      </c>
      <c r="T17" s="25">
        <f t="shared" si="2"/>
        <v>6.4533333333333331</v>
      </c>
      <c r="U17" s="26">
        <f t="shared" si="3"/>
        <v>9.6090235369330687E-2</v>
      </c>
      <c r="V17" s="23">
        <v>27.791289459308203</v>
      </c>
      <c r="W17" s="24">
        <v>27.13570154527887</v>
      </c>
      <c r="X17" s="24">
        <v>26.424311567155208</v>
      </c>
      <c r="Y17" s="24">
        <v>30.441590518749496</v>
      </c>
      <c r="Z17" s="25">
        <f t="shared" si="17"/>
        <v>27.117100857247426</v>
      </c>
      <c r="AA17" s="26">
        <f t="shared" si="18"/>
        <v>0.68367874663850259</v>
      </c>
      <c r="AB17" s="23">
        <f t="shared" si="19"/>
        <v>23.164294952321328</v>
      </c>
      <c r="AC17" s="24">
        <f t="shared" si="20"/>
        <v>22.617856406172251</v>
      </c>
      <c r="AD17" s="24">
        <f t="shared" si="21"/>
        <v>22.024906327209195</v>
      </c>
      <c r="AE17" s="25">
        <f t="shared" si="22"/>
        <v>22.602352561900926</v>
      </c>
      <c r="AF17" s="26">
        <f t="shared" si="23"/>
        <v>0.56985251306730356</v>
      </c>
      <c r="AG17" s="23">
        <v>1.0118564200347731</v>
      </c>
      <c r="AH17" s="24">
        <v>0.56270195016032321</v>
      </c>
      <c r="AI17" s="24">
        <v>0.14252198196059362</v>
      </c>
      <c r="AJ17" s="209">
        <v>0</v>
      </c>
      <c r="AK17" s="25">
        <f t="shared" si="24"/>
        <v>0.57236011738522996</v>
      </c>
      <c r="AL17" s="26">
        <f t="shared" si="25"/>
        <v>0.43474768711408412</v>
      </c>
      <c r="AM17" s="23">
        <f t="shared" si="26"/>
        <v>0.84339161726930822</v>
      </c>
      <c r="AN17" s="24">
        <f t="shared" si="27"/>
        <v>0.46901724235736875</v>
      </c>
      <c r="AO17" s="24">
        <f t="shared" si="28"/>
        <v>0.11879338064390738</v>
      </c>
      <c r="AP17" s="25">
        <f t="shared" si="29"/>
        <v>0.47706741342352815</v>
      </c>
      <c r="AQ17" s="26">
        <f t="shared" si="30"/>
        <v>0.36236618919375735</v>
      </c>
      <c r="AR17" s="23">
        <v>0.57227205638601453</v>
      </c>
      <c r="AS17" s="209">
        <v>0</v>
      </c>
      <c r="AT17" s="24">
        <v>0</v>
      </c>
      <c r="AU17" s="209">
        <v>0</v>
      </c>
      <c r="AV17" s="25">
        <f t="shared" si="31"/>
        <v>0.19075735212867151</v>
      </c>
      <c r="AW17" s="26">
        <f t="shared" si="32"/>
        <v>0.33040142580416615</v>
      </c>
      <c r="AX17" s="23">
        <f t="shared" si="33"/>
        <v>0.47699401377207939</v>
      </c>
      <c r="AY17" s="24">
        <f t="shared" si="34"/>
        <v>0</v>
      </c>
      <c r="AZ17" s="24">
        <f t="shared" si="35"/>
        <v>0</v>
      </c>
      <c r="BA17" s="25">
        <f t="shared" si="36"/>
        <v>0.15899800459069313</v>
      </c>
      <c r="BB17" s="26">
        <f t="shared" si="37"/>
        <v>0.27539262225315009</v>
      </c>
      <c r="BC17" s="5" t="s">
        <v>144</v>
      </c>
      <c r="BD17" s="133"/>
      <c r="BE17" s="134"/>
      <c r="BF17" s="134"/>
      <c r="BG17" s="135"/>
      <c r="BH17" s="136"/>
      <c r="BI17" s="133"/>
      <c r="BJ17" s="134"/>
      <c r="BK17" s="134"/>
      <c r="BL17" s="135"/>
      <c r="BM17" s="136"/>
      <c r="BN17" s="133"/>
      <c r="BO17" s="134"/>
      <c r="BP17" s="134"/>
      <c r="BQ17" s="135"/>
      <c r="BR17" s="136"/>
      <c r="BS17" s="133"/>
      <c r="BT17" s="134"/>
      <c r="BU17" s="134"/>
      <c r="BV17" s="135"/>
      <c r="BW17" s="136"/>
      <c r="BX17" s="23"/>
      <c r="BY17" s="24"/>
      <c r="BZ17" s="24"/>
      <c r="CA17" s="25"/>
      <c r="CB17" s="26"/>
      <c r="CC17" s="23"/>
      <c r="CD17" s="24"/>
      <c r="CE17" s="24"/>
      <c r="CF17" s="25"/>
      <c r="CG17" s="26"/>
      <c r="CH17" s="122">
        <f t="shared" si="4"/>
        <v>106.14999999990687</v>
      </c>
      <c r="CI17" s="55">
        <f t="shared" si="38"/>
        <v>31.439447509513499</v>
      </c>
      <c r="CJ17" s="55">
        <f t="shared" si="5"/>
        <v>1.1997468309098351</v>
      </c>
      <c r="CK17" s="55">
        <f t="shared" si="6"/>
        <v>83.350918230110608</v>
      </c>
      <c r="CL17" s="55">
        <f t="shared" si="7"/>
        <v>0.83350918230110604</v>
      </c>
      <c r="CV17" s="5">
        <v>0.84339161726930822</v>
      </c>
      <c r="CW17" s="5">
        <v>0.46901724235736875</v>
      </c>
      <c r="CX17" s="5">
        <v>0.11879338064390738</v>
      </c>
      <c r="CY17" s="5">
        <v>0.47706741342352815</v>
      </c>
      <c r="CZ17" s="5">
        <v>0.36236618919375735</v>
      </c>
      <c r="DA17" s="5">
        <v>6.35</v>
      </c>
      <c r="DB17" s="5">
        <v>6.47</v>
      </c>
      <c r="DC17" s="5">
        <v>6.54</v>
      </c>
      <c r="DD17" s="5">
        <v>6.66</v>
      </c>
      <c r="DE17" s="5">
        <v>6.4533333333333331</v>
      </c>
      <c r="DF17" s="5">
        <v>9.6090235369330687E-2</v>
      </c>
      <c r="DG17" s="5">
        <f t="shared" si="39"/>
        <v>2.7203588678177074E-3</v>
      </c>
      <c r="DH17" s="5">
        <f t="shared" si="8"/>
        <v>1.1484816183565596E-3</v>
      </c>
      <c r="DI17" s="5">
        <f t="shared" si="8"/>
        <v>2.4767707978588869E-4</v>
      </c>
      <c r="DJ17" s="5">
        <f t="shared" si="40"/>
        <v>1.3721725219867185E-3</v>
      </c>
      <c r="DK17" s="5">
        <f t="shared" si="41"/>
        <v>1.251425995211549E-3</v>
      </c>
      <c r="DL17" s="5">
        <v>0.47699401377207939</v>
      </c>
      <c r="DM17" s="5">
        <v>0</v>
      </c>
      <c r="DN17" s="5">
        <v>0</v>
      </c>
      <c r="DO17" s="5">
        <v>0.15899800459069313</v>
      </c>
      <c r="DP17" s="5">
        <v>0.27539262225315009</v>
      </c>
      <c r="DQ17" s="5">
        <f t="shared" si="42"/>
        <v>1.1953384717383695E-2</v>
      </c>
      <c r="DR17" s="5">
        <f t="shared" si="9"/>
        <v>0</v>
      </c>
      <c r="DS17" s="5">
        <f t="shared" si="9"/>
        <v>0</v>
      </c>
      <c r="DT17" s="5">
        <f t="shared" si="43"/>
        <v>3.984461572461232E-3</v>
      </c>
      <c r="DU17" s="5">
        <f t="shared" si="44"/>
        <v>6.9012898843086356E-3</v>
      </c>
    </row>
    <row r="18" spans="1:125" x14ac:dyDescent="0.25">
      <c r="A18" s="5" t="s">
        <v>145</v>
      </c>
      <c r="B18" s="17">
        <v>42929.365972222222</v>
      </c>
      <c r="C18" s="117">
        <f t="shared" si="0"/>
        <v>145.91666666662786</v>
      </c>
      <c r="D18" s="55">
        <f t="shared" si="1"/>
        <v>0.78457376898236797</v>
      </c>
      <c r="E18" s="19">
        <v>0.24</v>
      </c>
      <c r="F18" s="20">
        <f>0.17*2</f>
        <v>0.34</v>
      </c>
      <c r="G18" s="20">
        <f>0.193*2</f>
        <v>0.38600000000000001</v>
      </c>
      <c r="H18" s="20">
        <v>0</v>
      </c>
      <c r="I18" s="21">
        <f t="shared" si="10"/>
        <v>0.32200000000000001</v>
      </c>
      <c r="J18" s="22">
        <f t="shared" si="11"/>
        <v>7.4645830426086052E-2</v>
      </c>
      <c r="K18" s="19">
        <f t="shared" si="12"/>
        <v>0.1882977045557683</v>
      </c>
      <c r="L18" s="20">
        <f t="shared" si="13"/>
        <v>0.26675508145400512</v>
      </c>
      <c r="M18" s="20">
        <f t="shared" si="14"/>
        <v>0.30284547482719404</v>
      </c>
      <c r="N18" s="21">
        <f t="shared" si="15"/>
        <v>0.25263275361232246</v>
      </c>
      <c r="O18" s="22">
        <f t="shared" si="16"/>
        <v>5.8565160516213056E-2</v>
      </c>
      <c r="P18" s="23">
        <v>6.48</v>
      </c>
      <c r="Q18" s="24">
        <v>6.5</v>
      </c>
      <c r="R18" s="24">
        <v>6.45</v>
      </c>
      <c r="S18" s="24">
        <v>6.57</v>
      </c>
      <c r="T18" s="25">
        <f t="shared" si="2"/>
        <v>6.4766666666666666</v>
      </c>
      <c r="U18" s="26">
        <f t="shared" si="3"/>
        <v>2.5166114784235766E-2</v>
      </c>
      <c r="V18" s="23"/>
      <c r="W18" s="24"/>
      <c r="X18" s="24"/>
      <c r="Y18" s="24"/>
      <c r="Z18" s="25"/>
      <c r="AA18" s="26"/>
      <c r="AB18" s="23"/>
      <c r="AC18" s="24"/>
      <c r="AD18" s="24"/>
      <c r="AE18" s="25"/>
      <c r="AF18" s="26"/>
      <c r="AG18" s="23"/>
      <c r="AH18" s="24"/>
      <c r="AI18" s="24"/>
      <c r="AJ18" s="24"/>
      <c r="AK18" s="25"/>
      <c r="AL18" s="26"/>
      <c r="AM18" s="23"/>
      <c r="AN18" s="24"/>
      <c r="AO18" s="24"/>
      <c r="AP18" s="25"/>
      <c r="AQ18" s="26"/>
      <c r="AR18" s="23"/>
      <c r="AS18" s="208"/>
      <c r="AT18" s="24"/>
      <c r="AU18" s="208"/>
      <c r="AV18" s="25"/>
      <c r="AW18" s="26"/>
      <c r="AX18" s="23"/>
      <c r="AY18" s="24"/>
      <c r="AZ18" s="24"/>
      <c r="BA18" s="25"/>
      <c r="BB18" s="26"/>
      <c r="BC18" s="5" t="s">
        <v>145</v>
      </c>
      <c r="BD18" s="133"/>
      <c r="BE18" s="134"/>
      <c r="BF18" s="134"/>
      <c r="BG18" s="135"/>
      <c r="BH18" s="136"/>
      <c r="BI18" s="133"/>
      <c r="BJ18" s="134"/>
      <c r="BK18" s="134"/>
      <c r="BL18" s="135"/>
      <c r="BM18" s="136"/>
      <c r="BN18" s="133"/>
      <c r="BO18" s="134"/>
      <c r="BP18" s="134"/>
      <c r="BQ18" s="135"/>
      <c r="BR18" s="136"/>
      <c r="BS18" s="133"/>
      <c r="BT18" s="134"/>
      <c r="BU18" s="134"/>
      <c r="BV18" s="135"/>
      <c r="BW18" s="136"/>
      <c r="BX18" s="23"/>
      <c r="BY18" s="24"/>
      <c r="BZ18" s="24"/>
      <c r="CA18" s="25"/>
      <c r="CB18" s="26"/>
      <c r="CC18" s="23"/>
      <c r="CD18" s="24"/>
      <c r="CE18" s="24"/>
      <c r="CF18" s="25"/>
      <c r="CG18" s="26"/>
      <c r="CH18" s="122">
        <f t="shared" si="4"/>
        <v>145.91666666662786</v>
      </c>
      <c r="CI18" s="55">
        <f t="shared" si="38"/>
        <v>33.400387855997849</v>
      </c>
      <c r="CJ18" s="55">
        <f t="shared" si="5"/>
        <v>1.2745774069110809</v>
      </c>
      <c r="CK18" s="55">
        <f t="shared" si="6"/>
        <v>78.457376898236802</v>
      </c>
      <c r="CL18" s="55">
        <f t="shared" si="7"/>
        <v>0.78457376898236797</v>
      </c>
      <c r="DA18" s="5">
        <v>6.48</v>
      </c>
      <c r="DB18" s="5">
        <v>6.5</v>
      </c>
      <c r="DC18" s="5">
        <v>6.45</v>
      </c>
      <c r="DD18" s="5">
        <v>6.57</v>
      </c>
      <c r="DE18" s="5">
        <v>6.4766666666666666</v>
      </c>
      <c r="DF18" s="5">
        <v>2.5166114784235766E-2</v>
      </c>
    </row>
    <row r="19" spans="1:125" x14ac:dyDescent="0.25">
      <c r="A19" s="5" t="s">
        <v>146</v>
      </c>
      <c r="B19" s="17">
        <v>42930.614583333336</v>
      </c>
      <c r="C19" s="117">
        <f t="shared" si="0"/>
        <v>175.8833333333605</v>
      </c>
      <c r="D19" s="55">
        <f t="shared" si="1"/>
        <v>0.75133347477363455</v>
      </c>
      <c r="E19" s="19">
        <v>0.26100000000000001</v>
      </c>
      <c r="F19" s="20">
        <f>0.187*2</f>
        <v>0.374</v>
      </c>
      <c r="G19" s="20">
        <f>0.209*2</f>
        <v>0.41799999999999998</v>
      </c>
      <c r="H19" s="20">
        <v>0</v>
      </c>
      <c r="I19" s="21">
        <f>AVERAGE(E19:G19)</f>
        <v>0.35099999999999998</v>
      </c>
      <c r="J19" s="22">
        <f t="shared" si="11"/>
        <v>8.0987653380006075E-2</v>
      </c>
      <c r="K19" s="19">
        <f t="shared" si="12"/>
        <v>0.19609803691591862</v>
      </c>
      <c r="L19" s="20">
        <f t="shared" si="13"/>
        <v>0.28099871956533934</v>
      </c>
      <c r="M19" s="20">
        <f t="shared" si="14"/>
        <v>0.31405739245537923</v>
      </c>
      <c r="N19" s="21">
        <f t="shared" si="15"/>
        <v>0.26371804964554574</v>
      </c>
      <c r="O19" s="22">
        <f t="shared" si="16"/>
        <v>6.0848735027762536E-2</v>
      </c>
      <c r="P19" s="23">
        <v>6.47</v>
      </c>
      <c r="Q19" s="24">
        <v>6.44</v>
      </c>
      <c r="R19" s="24">
        <v>6.42</v>
      </c>
      <c r="S19" s="24">
        <v>6.5</v>
      </c>
      <c r="T19" s="25">
        <f t="shared" si="2"/>
        <v>6.4433333333333325</v>
      </c>
      <c r="U19" s="26">
        <f t="shared" si="3"/>
        <v>2.5166114784235707E-2</v>
      </c>
      <c r="V19" s="23"/>
      <c r="W19" s="24"/>
      <c r="X19" s="24"/>
      <c r="Y19" s="24"/>
      <c r="Z19" s="25"/>
      <c r="AA19" s="26"/>
      <c r="AB19" s="23"/>
      <c r="AC19" s="24"/>
      <c r="AD19" s="24"/>
      <c r="AE19" s="25"/>
      <c r="AF19" s="26"/>
      <c r="AG19" s="23"/>
      <c r="AH19" s="24"/>
      <c r="AI19" s="24"/>
      <c r="AJ19" s="24"/>
      <c r="AK19" s="25"/>
      <c r="AL19" s="26"/>
      <c r="AM19" s="23"/>
      <c r="AN19" s="24"/>
      <c r="AO19" s="24"/>
      <c r="AP19" s="25"/>
      <c r="AQ19" s="26"/>
      <c r="AR19" s="23"/>
      <c r="AS19" s="208"/>
      <c r="AT19" s="24"/>
      <c r="AU19" s="208"/>
      <c r="AV19" s="25"/>
      <c r="AW19" s="26"/>
      <c r="AX19" s="23"/>
      <c r="AY19" s="24"/>
      <c r="AZ19" s="24"/>
      <c r="BA19" s="25"/>
      <c r="BB19" s="26"/>
      <c r="BC19" s="5" t="s">
        <v>146</v>
      </c>
      <c r="BD19" s="133">
        <v>-136000000</v>
      </c>
      <c r="BE19" s="134">
        <v>2000000</v>
      </c>
      <c r="BF19" s="134">
        <v>-118000000</v>
      </c>
      <c r="BG19" s="135">
        <f t="shared" si="45"/>
        <v>-84000000</v>
      </c>
      <c r="BH19" s="136">
        <f t="shared" si="46"/>
        <v>75019997.334044203</v>
      </c>
      <c r="BI19" s="133">
        <f t="shared" si="47"/>
        <v>-102181352.5692143</v>
      </c>
      <c r="BJ19" s="134">
        <f t="shared" si="48"/>
        <v>1502666.9495472691</v>
      </c>
      <c r="BK19" s="134">
        <f t="shared" si="49"/>
        <v>-88657350.023288876</v>
      </c>
      <c r="BL19" s="135">
        <f t="shared" si="50"/>
        <v>-63112011.880985297</v>
      </c>
      <c r="BM19" s="136">
        <f t="shared" si="51"/>
        <v>56365035.274496235</v>
      </c>
      <c r="BN19" s="133">
        <v>270000000</v>
      </c>
      <c r="BO19" s="134">
        <v>310000000</v>
      </c>
      <c r="BP19" s="134">
        <v>430000000</v>
      </c>
      <c r="BQ19" s="135">
        <f t="shared" si="52"/>
        <v>336666666.66666669</v>
      </c>
      <c r="BR19" s="136">
        <f t="shared" si="53"/>
        <v>83266639.978645369</v>
      </c>
      <c r="BS19" s="133">
        <f t="shared" si="54"/>
        <v>202860038.18888134</v>
      </c>
      <c r="BT19" s="134">
        <f t="shared" si="55"/>
        <v>232913377.17982671</v>
      </c>
      <c r="BU19" s="134">
        <f t="shared" si="56"/>
        <v>323073394.15266287</v>
      </c>
      <c r="BV19" s="135">
        <f t="shared" si="57"/>
        <v>252948936.50712362</v>
      </c>
      <c r="BW19" s="136">
        <f t="shared" si="58"/>
        <v>62561013.947880864</v>
      </c>
      <c r="BX19" s="23">
        <v>-1.0149253731343284</v>
      </c>
      <c r="BY19" s="24">
        <v>6.41025641025641E-3</v>
      </c>
      <c r="BZ19" s="24">
        <v>-0.37820512820512819</v>
      </c>
      <c r="CA19" s="25">
        <f t="shared" si="63"/>
        <v>-0.46224008164306674</v>
      </c>
      <c r="CB19" s="26">
        <f t="shared" si="64"/>
        <v>0.51582751195898391</v>
      </c>
      <c r="CC19" s="23">
        <v>2.0149253731343282</v>
      </c>
      <c r="CD19" s="24">
        <v>0.99358974358974361</v>
      </c>
      <c r="CE19" s="24">
        <v>1.3782051282051282</v>
      </c>
      <c r="CF19" s="25">
        <f t="shared" si="65"/>
        <v>1.4622400816430667</v>
      </c>
      <c r="CG19" s="26">
        <f t="shared" si="66"/>
        <v>0.51582751195898324</v>
      </c>
      <c r="CH19" s="122">
        <f t="shared" si="4"/>
        <v>175.8833333333605</v>
      </c>
      <c r="CI19" s="55">
        <f t="shared" si="38"/>
        <v>34.878078863115121</v>
      </c>
      <c r="CJ19" s="55">
        <f t="shared" si="5"/>
        <v>1.3309669189187729</v>
      </c>
      <c r="CK19" s="55">
        <f t="shared" si="6"/>
        <v>75.133347477363458</v>
      </c>
      <c r="CL19" s="55">
        <f t="shared" si="7"/>
        <v>0.75133347477363455</v>
      </c>
      <c r="DA19" s="5">
        <v>6.47</v>
      </c>
      <c r="DB19" s="5">
        <v>6.44</v>
      </c>
      <c r="DC19" s="5">
        <v>6.42</v>
      </c>
      <c r="DD19" s="5">
        <v>6.5</v>
      </c>
      <c r="DE19" s="5">
        <v>6.4433333333333325</v>
      </c>
      <c r="DF19" s="5">
        <v>2.5166114784235707E-2</v>
      </c>
    </row>
    <row r="20" spans="1:125" x14ac:dyDescent="0.25">
      <c r="A20" s="5" t="s">
        <v>147</v>
      </c>
      <c r="B20" s="17">
        <v>42933.416666666664</v>
      </c>
      <c r="C20" s="118">
        <f t="shared" si="0"/>
        <v>243.13333333324408</v>
      </c>
      <c r="D20" s="210">
        <f t="shared" si="1"/>
        <v>0.68609974852419586</v>
      </c>
      <c r="E20" s="40">
        <f>0.172*2</f>
        <v>0.34399999999999997</v>
      </c>
      <c r="F20" s="41">
        <f>0.247*2</f>
        <v>0.49399999999999999</v>
      </c>
      <c r="G20" s="41">
        <f>0.181*3</f>
        <v>0.54299999999999993</v>
      </c>
      <c r="H20" s="41">
        <v>0</v>
      </c>
      <c r="I20" s="42">
        <f t="shared" si="10"/>
        <v>0.46033333333333326</v>
      </c>
      <c r="J20" s="43">
        <f t="shared" si="11"/>
        <v>0.10368381423025178</v>
      </c>
      <c r="K20" s="40">
        <f t="shared" si="12"/>
        <v>0.23601831349232336</v>
      </c>
      <c r="L20" s="41">
        <f t="shared" si="13"/>
        <v>0.33893327577095278</v>
      </c>
      <c r="M20" s="41">
        <f t="shared" si="14"/>
        <v>0.37255216344863828</v>
      </c>
      <c r="N20" s="42">
        <f t="shared" si="15"/>
        <v>0.31583458423730482</v>
      </c>
      <c r="O20" s="43">
        <f t="shared" si="16"/>
        <v>7.1137438869404906E-2</v>
      </c>
      <c r="P20" s="44">
        <v>6.12</v>
      </c>
      <c r="Q20" s="45">
        <v>5.79</v>
      </c>
      <c r="R20" s="45">
        <v>5.75</v>
      </c>
      <c r="S20" s="45">
        <v>6.35</v>
      </c>
      <c r="T20" s="46">
        <f t="shared" si="2"/>
        <v>5.8866666666666667</v>
      </c>
      <c r="U20" s="47">
        <f t="shared" si="3"/>
        <v>0.20305992547357382</v>
      </c>
      <c r="V20" s="44">
        <v>33.538416715513321</v>
      </c>
      <c r="W20" s="45">
        <v>30.76454986155094</v>
      </c>
      <c r="X20" s="45">
        <v>28.49467457496721</v>
      </c>
      <c r="Y20" s="45">
        <v>38.853018077868114</v>
      </c>
      <c r="Z20" s="46">
        <f t="shared" si="17"/>
        <v>30.932547050677158</v>
      </c>
      <c r="AA20" s="47">
        <f t="shared" si="18"/>
        <v>2.5260643275154138</v>
      </c>
      <c r="AB20" s="44">
        <f t="shared" si="19"/>
        <v>23.010699274413376</v>
      </c>
      <c r="AC20" s="45">
        <f t="shared" si="20"/>
        <v>21.107549923470184</v>
      </c>
      <c r="AD20" s="45">
        <f t="shared" si="21"/>
        <v>19.550189060163799</v>
      </c>
      <c r="AE20" s="46">
        <f t="shared" si="22"/>
        <v>21.222812752682454</v>
      </c>
      <c r="AF20" s="47">
        <f t="shared" si="23"/>
        <v>1.7331320998642679</v>
      </c>
      <c r="AG20" s="211">
        <v>0</v>
      </c>
      <c r="AH20" s="212">
        <v>0</v>
      </c>
      <c r="AI20" s="212">
        <v>0</v>
      </c>
      <c r="AJ20" s="212">
        <v>0</v>
      </c>
      <c r="AK20" s="46">
        <v>0</v>
      </c>
      <c r="AL20" s="47">
        <v>0</v>
      </c>
      <c r="AM20" s="44">
        <f t="shared" si="26"/>
        <v>0</v>
      </c>
      <c r="AN20" s="45">
        <f t="shared" si="27"/>
        <v>0</v>
      </c>
      <c r="AO20" s="45">
        <f t="shared" si="28"/>
        <v>0</v>
      </c>
      <c r="AP20" s="46">
        <f t="shared" si="29"/>
        <v>0</v>
      </c>
      <c r="AQ20" s="47">
        <f t="shared" si="30"/>
        <v>0</v>
      </c>
      <c r="AR20" s="44">
        <v>0.85710062737093051</v>
      </c>
      <c r="AS20" s="45">
        <v>1.4902896217947759</v>
      </c>
      <c r="AT20" s="45">
        <v>0.71559084723240562</v>
      </c>
      <c r="AU20" s="212">
        <v>0</v>
      </c>
      <c r="AV20" s="46">
        <f t="shared" si="31"/>
        <v>1.0209936987993709</v>
      </c>
      <c r="AW20" s="47">
        <f t="shared" si="32"/>
        <v>0.41253515240982186</v>
      </c>
      <c r="AX20" s="44">
        <f t="shared" si="33"/>
        <v>0.58805652489912597</v>
      </c>
      <c r="AY20" s="45">
        <f t="shared" si="34"/>
        <v>1.0224873347416146</v>
      </c>
      <c r="AZ20" s="45">
        <f t="shared" si="35"/>
        <v>0.49096670033236978</v>
      </c>
      <c r="BA20" s="46">
        <f t="shared" si="36"/>
        <v>0.70050351999103677</v>
      </c>
      <c r="BB20" s="47">
        <f t="shared" si="37"/>
        <v>0.28304026432577023</v>
      </c>
      <c r="BC20" s="197" t="s">
        <v>147</v>
      </c>
      <c r="BD20" s="64"/>
      <c r="BE20" s="62"/>
      <c r="BF20" s="62"/>
      <c r="BG20" s="104"/>
      <c r="BH20" s="80"/>
      <c r="BI20" s="64"/>
      <c r="BJ20" s="62"/>
      <c r="BK20" s="62"/>
      <c r="BL20" s="104"/>
      <c r="BM20" s="213"/>
      <c r="BN20" s="64"/>
      <c r="BO20" s="62"/>
      <c r="BP20" s="62"/>
      <c r="BQ20" s="104"/>
      <c r="BR20" s="80"/>
      <c r="BS20" s="64"/>
      <c r="BT20" s="62"/>
      <c r="BU20" s="62"/>
      <c r="BV20" s="104"/>
      <c r="BW20" s="213"/>
      <c r="BX20" s="44"/>
      <c r="BY20" s="45"/>
      <c r="BZ20" s="45"/>
      <c r="CA20" s="46"/>
      <c r="CB20" s="47"/>
      <c r="CC20" s="44"/>
      <c r="CD20" s="45"/>
      <c r="CE20" s="45"/>
      <c r="CF20" s="46"/>
      <c r="CG20" s="47"/>
      <c r="CH20" s="122">
        <f t="shared" si="4"/>
        <v>243.13333333324408</v>
      </c>
      <c r="CI20" s="55">
        <f t="shared" si="38"/>
        <v>38.194254176627211</v>
      </c>
      <c r="CJ20" s="55">
        <f t="shared" si="5"/>
        <v>1.45751401622141</v>
      </c>
      <c r="CK20" s="55">
        <f t="shared" si="6"/>
        <v>68.609974852419583</v>
      </c>
      <c r="CL20" s="55">
        <f t="shared" si="7"/>
        <v>0.68609974852419586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6.12</v>
      </c>
      <c r="DB20" s="5">
        <v>5.79</v>
      </c>
      <c r="DC20" s="5">
        <v>5.75</v>
      </c>
      <c r="DD20" s="5">
        <v>6.35</v>
      </c>
      <c r="DE20" s="5">
        <v>5.8866666666666667</v>
      </c>
      <c r="DF20" s="5">
        <v>0.20305992547357382</v>
      </c>
      <c r="DG20" s="5">
        <f t="shared" si="39"/>
        <v>0</v>
      </c>
      <c r="DH20" s="5">
        <f t="shared" si="8"/>
        <v>0</v>
      </c>
      <c r="DI20" s="5">
        <f>CX20/(1+10^(DC20-3.86))</f>
        <v>0</v>
      </c>
      <c r="DJ20" s="5">
        <f t="shared" si="40"/>
        <v>0</v>
      </c>
      <c r="DK20" s="5">
        <f t="shared" si="41"/>
        <v>0</v>
      </c>
      <c r="DL20" s="5">
        <v>0.58805652489912597</v>
      </c>
      <c r="DM20" s="5">
        <v>1.0224873347416146</v>
      </c>
      <c r="DN20" s="5">
        <v>0.49096670033236978</v>
      </c>
      <c r="DO20" s="5">
        <v>0.70050351999103677</v>
      </c>
      <c r="DP20" s="5">
        <v>0.28304026432577023</v>
      </c>
      <c r="DQ20" s="5">
        <f t="shared" si="42"/>
        <v>2.4595946338492023E-2</v>
      </c>
      <c r="DR20" s="5">
        <f t="shared" si="9"/>
        <v>8.7278743949868925E-2</v>
      </c>
      <c r="DS20" s="5">
        <f t="shared" si="9"/>
        <v>4.5576470138744808E-2</v>
      </c>
      <c r="DT20" s="5">
        <f t="shared" si="43"/>
        <v>5.248372014236858E-2</v>
      </c>
      <c r="DU20" s="5">
        <f t="shared" si="44"/>
        <v>3.1907144279246152E-2</v>
      </c>
    </row>
    <row r="21" spans="1:125" ht="18.75" x14ac:dyDescent="0.35">
      <c r="C21" s="48" t="s">
        <v>25</v>
      </c>
      <c r="D21" s="214"/>
      <c r="E21" s="55">
        <f>LN(LOGEST(E7:E11,$C$7:$C$11))</f>
        <v>7.0237410453130367E-2</v>
      </c>
      <c r="F21" s="55">
        <f>LN(LOGEST(F7:F11,$C$7:$C$11))</f>
        <v>7.9069989595799445E-2</v>
      </c>
      <c r="G21" s="55">
        <f>LN(LOGEST(G7:G11,$C$7:$C$11))</f>
        <v>8.503419684522355E-2</v>
      </c>
      <c r="H21" s="55"/>
      <c r="I21" s="70">
        <f>AVERAGE(E21:G21)</f>
        <v>7.8113865631384449E-2</v>
      </c>
      <c r="J21" s="95">
        <f>STDEV(E21:G21)</f>
        <v>7.4445853920688549E-3</v>
      </c>
      <c r="K21" s="55">
        <f t="shared" ref="K21:M21" si="67">LN(LOGEST(K7:K11,$C$7:$C$11))</f>
        <v>6.8401146025330636E-2</v>
      </c>
      <c r="L21" s="55">
        <f t="shared" si="67"/>
        <v>7.7233725167999728E-2</v>
      </c>
      <c r="M21" s="55">
        <f t="shared" si="67"/>
        <v>8.3197932417423709E-2</v>
      </c>
      <c r="N21" s="70">
        <f>AVERAGE(K21:M21)</f>
        <v>7.6277601203584691E-2</v>
      </c>
      <c r="O21" s="95">
        <f>STDEV(K21:M21)</f>
        <v>7.4445853920688037E-3</v>
      </c>
      <c r="T21" s="81"/>
      <c r="U21" s="120"/>
      <c r="Y21" s="50"/>
      <c r="AA21" s="123" t="s">
        <v>87</v>
      </c>
      <c r="AB21" s="55">
        <f>AB7-AB11</f>
        <v>2.0545771542501079</v>
      </c>
      <c r="AC21" s="55">
        <f t="shared" ref="AC21:AD21" si="68">AC7-AC11</f>
        <v>1.546907780425542</v>
      </c>
      <c r="AD21" s="55">
        <f t="shared" si="68"/>
        <v>2.1831557084657796</v>
      </c>
      <c r="AE21" s="111">
        <f>AVERAGE(AB21:AD21)</f>
        <v>1.9282135477138098</v>
      </c>
      <c r="AF21" s="51">
        <f>STDEV(AB21:AD21)</f>
        <v>0.33642038772422644</v>
      </c>
      <c r="AJ21" s="127"/>
      <c r="AL21" s="123" t="s">
        <v>148</v>
      </c>
      <c r="AM21" s="55">
        <f>AM11-AM7</f>
        <v>2.3184279749312724</v>
      </c>
      <c r="AN21" s="55">
        <f t="shared" ref="AN21:AO21" si="69">AN11-AN7</f>
        <v>1.9706553686405275</v>
      </c>
      <c r="AO21" s="55">
        <f t="shared" si="69"/>
        <v>1.6309874974084553</v>
      </c>
      <c r="AP21" s="111">
        <f>AVERAGE(AM21:AO21)</f>
        <v>1.9733569469934185</v>
      </c>
      <c r="AQ21" s="51">
        <f>STDEV(AM21:AO21)</f>
        <v>0.34372820138649907</v>
      </c>
      <c r="AW21" s="215"/>
      <c r="AX21" s="55">
        <f>AX11-AX7</f>
        <v>0.29176749403838365</v>
      </c>
      <c r="AY21" s="55">
        <f t="shared" ref="AY21:AZ21" si="70">AY11-AY7</f>
        <v>0.22358202520701775</v>
      </c>
      <c r="AZ21" s="55">
        <f t="shared" si="70"/>
        <v>0.15260097704139047</v>
      </c>
      <c r="BA21" s="111">
        <f>AVERAGE(AX21:AZ21)</f>
        <v>0.22265016542893065</v>
      </c>
      <c r="BB21" s="51">
        <f>STDEV(AX21:AZ21)</f>
        <v>6.9587938144861791E-2</v>
      </c>
    </row>
    <row r="22" spans="1:125" ht="18" x14ac:dyDescent="0.35">
      <c r="A22" s="52" t="s">
        <v>27</v>
      </c>
      <c r="B22" s="53"/>
      <c r="C22" s="54" t="s">
        <v>28</v>
      </c>
      <c r="D22" s="189"/>
      <c r="K22" s="93">
        <f>K20*0.46</f>
        <v>0.10856842420646876</v>
      </c>
      <c r="L22" s="94">
        <f t="shared" ref="L22:M22" si="71">L20*0.46</f>
        <v>0.15590930685463827</v>
      </c>
      <c r="M22" s="94">
        <f t="shared" si="71"/>
        <v>0.17137399518637361</v>
      </c>
      <c r="N22" s="70">
        <f>AVERAGE(K22:M22)</f>
        <v>0.14528390874916022</v>
      </c>
      <c r="O22" s="95">
        <f>STDEV(K22:M22)</f>
        <v>3.2723221879926163E-2</v>
      </c>
      <c r="T22" s="81"/>
      <c r="U22" s="86"/>
      <c r="Y22" s="50"/>
      <c r="AA22" s="54" t="s">
        <v>29</v>
      </c>
      <c r="AB22" s="55">
        <f>(E11-E7)*0.46</f>
        <v>4.6000000000000006E-2</v>
      </c>
      <c r="AC22" s="55">
        <f t="shared" ref="AC22:AD22" si="72">(F11-F7)*0.46</f>
        <v>5.9340000000000004E-2</v>
      </c>
      <c r="AD22" s="55">
        <f t="shared" si="72"/>
        <v>6.9459999999999994E-2</v>
      </c>
      <c r="AE22" s="111">
        <f>AVERAGE(AB22:AD22)</f>
        <v>5.8266666666666668E-2</v>
      </c>
      <c r="AF22" s="26">
        <f>STDEV(AB22:AD22)</f>
        <v>1.1766772426342444E-2</v>
      </c>
      <c r="AJ22" s="127"/>
      <c r="AL22" s="54" t="s">
        <v>149</v>
      </c>
      <c r="AM22" s="55">
        <f>(AM21/1000*90.08)/(AB21/1000*180.16)</f>
        <v>0.56421049220160979</v>
      </c>
      <c r="AN22" s="55">
        <f>(AN21/1000*90.08)/(AC21/1000*180.16)</f>
        <v>0.63696601490310423</v>
      </c>
      <c r="AO22" s="55">
        <f>(AO21/1000*90.08)/(AD21/1000*180.16)</f>
        <v>0.37353897641928563</v>
      </c>
      <c r="AP22" s="111">
        <f>AVERAGE(AM22:AO22)</f>
        <v>0.52490516117466657</v>
      </c>
      <c r="AQ22" s="26">
        <f>STDEV(AM22:AO22)</f>
        <v>0.13604092375620638</v>
      </c>
      <c r="AW22" s="59"/>
      <c r="AX22" s="55">
        <f>(AX21/1000*59.04)/(AB21/1000*180.16)</f>
        <v>4.6537433242863545E-2</v>
      </c>
      <c r="AY22" s="55">
        <f>(AY21/1000*59.04)/(AC21/1000*180.16)</f>
        <v>4.7365315829197514E-2</v>
      </c>
      <c r="AZ22" s="55">
        <f>(AZ21/1000*59.04)/(AD21/1000*180.16)</f>
        <v>2.2906597145607221E-2</v>
      </c>
      <c r="BA22" s="111">
        <f>AVERAGE(AX22:AZ22)</f>
        <v>3.8936448739222758E-2</v>
      </c>
      <c r="BB22" s="26">
        <f>STDEV(AX22:AZ22)</f>
        <v>1.388842878007418E-2</v>
      </c>
    </row>
    <row r="23" spans="1:125" ht="18" x14ac:dyDescent="0.35">
      <c r="C23" s="56"/>
      <c r="D23" s="216"/>
      <c r="J23" s="59"/>
      <c r="O23" s="69" t="s">
        <v>34</v>
      </c>
      <c r="P23" s="55">
        <f>AB22/(P7-P11)</f>
        <v>2.9299363057324855E-2</v>
      </c>
      <c r="Q23" s="55">
        <f t="shared" ref="Q23:R23" si="73">AC22/(Q7-Q11)</f>
        <v>4.6359374999999994E-2</v>
      </c>
      <c r="R23" s="55">
        <f t="shared" si="73"/>
        <v>6.7436893203883533E-2</v>
      </c>
      <c r="S23" s="55"/>
      <c r="T23" s="111">
        <f>AVERAGE(P23:R23)</f>
        <v>4.7698543753736132E-2</v>
      </c>
      <c r="U23" s="26">
        <f>STDEV(P23:R23)</f>
        <v>1.9104000396072945E-2</v>
      </c>
      <c r="Y23" s="50"/>
      <c r="AA23" s="54" t="s">
        <v>88</v>
      </c>
      <c r="AB23" s="55">
        <f>AB22/(AB21/1000*180.16)</f>
        <v>0.12427306332822206</v>
      </c>
      <c r="AC23" s="55">
        <f t="shared" ref="AC23:AD23" si="74">AC22/(AC21/1000*180.16)</f>
        <v>0.21292406311710319</v>
      </c>
      <c r="AD23" s="55">
        <f t="shared" si="74"/>
        <v>0.17660040448660219</v>
      </c>
      <c r="AE23" s="111">
        <f>AVERAGE(AB23:AD23)</f>
        <v>0.17126584364397579</v>
      </c>
      <c r="AF23" s="26">
        <f>STDEV(AB23:AD23)</f>
        <v>4.4565604398794124E-2</v>
      </c>
      <c r="AJ23" s="217"/>
      <c r="AL23" s="60" t="s">
        <v>31</v>
      </c>
      <c r="AM23" s="55">
        <f>(AM21/1000*90.08)/AB22</f>
        <v>4.5400867822132396</v>
      </c>
      <c r="AN23" s="55">
        <f>(AN21/1000*90.08)/AC22</f>
        <v>2.9915172835715991</v>
      </c>
      <c r="AO23" s="55">
        <f>(AO21/1000*90.08)/AD22</f>
        <v>2.1151648973013772</v>
      </c>
      <c r="AP23" s="111">
        <f t="shared" ref="AP23:AP25" si="75">AVERAGE(AM23:AO23)</f>
        <v>3.2155896543620721</v>
      </c>
      <c r="AQ23" s="26">
        <f t="shared" ref="AQ23:AQ25" si="76">STDEV(AM23:AO23)</f>
        <v>1.2278916310061199</v>
      </c>
      <c r="AW23" s="59"/>
      <c r="AX23" s="55">
        <f>(AX21/1000*59.04)/AB22</f>
        <v>0.37447723582665582</v>
      </c>
      <c r="AY23" s="55">
        <f>(AY21/1000*59.04)/AC22</f>
        <v>0.22245168129798329</v>
      </c>
      <c r="AZ23" s="55">
        <f>(AZ21/1000*59.04)/AD22</f>
        <v>0.129708633523232</v>
      </c>
      <c r="BA23" s="111">
        <f t="shared" ref="BA23:BA25" si="77">AVERAGE(AX23:AZ23)</f>
        <v>0.24221251688262371</v>
      </c>
      <c r="BB23" s="26">
        <f t="shared" ref="BB23:BB25" si="78">STDEV(AX23:AZ23)</f>
        <v>0.12357501825063706</v>
      </c>
    </row>
    <row r="24" spans="1:125" ht="18.75" x14ac:dyDescent="0.35">
      <c r="C24" s="56"/>
      <c r="D24" s="216"/>
      <c r="J24" s="59"/>
      <c r="O24" s="69"/>
      <c r="P24" s="55"/>
      <c r="Q24" s="55"/>
      <c r="R24" s="55"/>
      <c r="S24" s="55"/>
      <c r="T24" s="111"/>
      <c r="U24" s="26"/>
      <c r="Y24" s="50"/>
      <c r="AA24" s="54" t="s">
        <v>32</v>
      </c>
      <c r="AB24" s="55">
        <f>K21*(AB21)</f>
        <v>0.14053543194816989</v>
      </c>
      <c r="AC24" s="55">
        <f t="shared" ref="AC24:AD24" si="79">L21*(AC21)</f>
        <v>0.11947345037362678</v>
      </c>
      <c r="AD24" s="55">
        <f t="shared" si="79"/>
        <v>0.1816340410896487</v>
      </c>
      <c r="AE24" s="111">
        <f>AVERAGE(AB24:AD24)</f>
        <v>0.14721430780381511</v>
      </c>
      <c r="AF24" s="26">
        <f>STDEV(AB24:AD24)</f>
        <v>3.1613925674653924E-2</v>
      </c>
      <c r="AJ24" s="217"/>
      <c r="AL24" s="60"/>
      <c r="AM24" s="55">
        <f>K21*(AM21)</f>
        <v>0.15858313046248557</v>
      </c>
      <c r="AN24" s="55">
        <f t="shared" ref="AN24:AO24" si="80">L21*(AN21)</f>
        <v>0.15220105514242568</v>
      </c>
      <c r="AO24" s="55">
        <f t="shared" si="80"/>
        <v>0.1356947875830517</v>
      </c>
      <c r="AP24" s="111">
        <f t="shared" si="75"/>
        <v>0.14882632439598767</v>
      </c>
      <c r="AQ24" s="26">
        <f t="shared" si="76"/>
        <v>1.1811463315349558E-2</v>
      </c>
      <c r="AW24" s="59"/>
      <c r="AX24" s="55">
        <f>K21*(AX21)</f>
        <v>1.9957230965164267E-2</v>
      </c>
      <c r="AY24" s="55">
        <f t="shared" ref="AY24:AZ24" si="81">L21*(AY21)</f>
        <v>1.7268072687343598E-2</v>
      </c>
      <c r="AZ24" s="55">
        <f t="shared" si="81"/>
        <v>1.2696085774722431E-2</v>
      </c>
      <c r="BA24" s="111">
        <f t="shared" si="77"/>
        <v>1.6640463142410102E-2</v>
      </c>
      <c r="BB24" s="26">
        <f t="shared" si="78"/>
        <v>3.6710322356032065E-3</v>
      </c>
    </row>
    <row r="25" spans="1:125" ht="18.75" x14ac:dyDescent="0.35">
      <c r="C25" s="61"/>
      <c r="D25" s="218"/>
      <c r="E25" s="62"/>
      <c r="F25" s="62"/>
      <c r="G25" s="62"/>
      <c r="H25" s="62"/>
      <c r="I25" s="62"/>
      <c r="J25" s="63"/>
      <c r="K25" s="62"/>
      <c r="L25" s="62"/>
      <c r="M25" s="62"/>
      <c r="N25" s="62"/>
      <c r="O25" s="219"/>
      <c r="P25" s="220"/>
      <c r="Q25" s="220"/>
      <c r="R25" s="220"/>
      <c r="S25" s="220"/>
      <c r="T25" s="221"/>
      <c r="U25" s="213"/>
      <c r="V25" s="62"/>
      <c r="W25" s="62"/>
      <c r="X25" s="62"/>
      <c r="Y25" s="65"/>
      <c r="Z25" s="62"/>
      <c r="AA25" s="124" t="s">
        <v>118</v>
      </c>
      <c r="AB25" s="45">
        <f>K21*(AB21/AB22)</f>
        <v>3.0551180858297804</v>
      </c>
      <c r="AC25" s="45">
        <f t="shared" ref="AC25:AD25" si="82">L21*(AC21/AC22)</f>
        <v>2.013371256717674</v>
      </c>
      <c r="AD25" s="45">
        <f t="shared" si="82"/>
        <v>2.614944444135455</v>
      </c>
      <c r="AE25" s="46">
        <f>AVERAGE(AB25:AD25)</f>
        <v>2.56114459556097</v>
      </c>
      <c r="AF25" s="47">
        <f>STDEV(AB25:AD25)</f>
        <v>0.52295308754347891</v>
      </c>
      <c r="AG25" s="62"/>
      <c r="AH25" s="62"/>
      <c r="AI25" s="62"/>
      <c r="AJ25" s="11"/>
      <c r="AK25" s="62"/>
      <c r="AL25" s="124" t="s">
        <v>150</v>
      </c>
      <c r="AM25" s="45">
        <f>K21*(AM21/AB22)</f>
        <v>3.4474593578801205</v>
      </c>
      <c r="AN25" s="45">
        <f>L21*(AN21/AC22)</f>
        <v>2.5648981318238238</v>
      </c>
      <c r="AO25" s="45">
        <f>M21*(AO21/AD22)</f>
        <v>1.9535673421113116</v>
      </c>
      <c r="AP25" s="46">
        <f t="shared" si="75"/>
        <v>2.655308277271752</v>
      </c>
      <c r="AQ25" s="47">
        <f t="shared" si="76"/>
        <v>0.75103850400254835</v>
      </c>
      <c r="AR25" s="62"/>
      <c r="AS25" s="62"/>
      <c r="AT25" s="62"/>
      <c r="AU25" s="62"/>
      <c r="AV25" s="62"/>
      <c r="AW25" s="63"/>
      <c r="AX25" s="45">
        <f>K21*(AX21/AB22)</f>
        <v>0.43385284706878835</v>
      </c>
      <c r="AY25" s="45">
        <f>L21*(AY21/AC22)</f>
        <v>0.29100223605230191</v>
      </c>
      <c r="AZ25" s="45">
        <f>M21*(AZ21/AD22)</f>
        <v>0.18278269183303242</v>
      </c>
      <c r="BA25" s="46">
        <f t="shared" si="77"/>
        <v>0.30254592498470756</v>
      </c>
      <c r="BB25" s="47">
        <f t="shared" si="78"/>
        <v>0.125932514777371</v>
      </c>
    </row>
    <row r="26" spans="1:125" x14ac:dyDescent="0.25">
      <c r="C26" s="125"/>
      <c r="D26" s="125"/>
    </row>
    <row r="27" spans="1:125" x14ac:dyDescent="0.25">
      <c r="C27" s="125"/>
      <c r="D27" s="125"/>
      <c r="T27" s="55"/>
      <c r="U27" s="55"/>
    </row>
    <row r="46" spans="21:21" x14ac:dyDescent="0.25">
      <c r="U46" s="122"/>
    </row>
    <row r="47" spans="21:21" x14ac:dyDescent="0.25">
      <c r="U47" s="122"/>
    </row>
    <row r="48" spans="21:21" x14ac:dyDescent="0.25">
      <c r="U48" s="122"/>
    </row>
    <row r="49" spans="1:49" x14ac:dyDescent="0.25">
      <c r="U49" s="122"/>
    </row>
    <row r="50" spans="1:49" x14ac:dyDescent="0.25">
      <c r="U50" s="122"/>
    </row>
    <row r="57" spans="1:49" x14ac:dyDescent="0.25">
      <c r="A57" s="145" t="s">
        <v>89</v>
      </c>
    </row>
    <row r="58" spans="1:49" x14ac:dyDescent="0.25">
      <c r="B58" s="5" t="s">
        <v>90</v>
      </c>
      <c r="C58" s="5">
        <v>1</v>
      </c>
      <c r="D58" s="5">
        <v>2</v>
      </c>
      <c r="E58" s="5">
        <v>3</v>
      </c>
      <c r="F58" s="5">
        <v>4</v>
      </c>
      <c r="G58" s="5">
        <v>5</v>
      </c>
      <c r="H58" s="5">
        <v>6</v>
      </c>
      <c r="I58" s="5">
        <v>7</v>
      </c>
      <c r="J58" s="5">
        <v>8</v>
      </c>
      <c r="K58" s="5">
        <v>9</v>
      </c>
      <c r="L58" s="5">
        <v>10</v>
      </c>
      <c r="M58" s="5" t="s">
        <v>17</v>
      </c>
      <c r="N58" s="5">
        <v>1</v>
      </c>
      <c r="O58" s="5">
        <v>2</v>
      </c>
      <c r="P58" s="5">
        <v>3</v>
      </c>
      <c r="Q58" s="5">
        <v>4</v>
      </c>
      <c r="R58" s="5">
        <v>5</v>
      </c>
      <c r="S58" s="5">
        <v>6</v>
      </c>
      <c r="T58" s="5">
        <v>7</v>
      </c>
      <c r="U58" s="5">
        <v>8</v>
      </c>
      <c r="V58" s="5">
        <v>9</v>
      </c>
      <c r="W58" s="5">
        <v>10</v>
      </c>
      <c r="X58" s="5" t="s">
        <v>17</v>
      </c>
      <c r="Z58" s="5" t="s">
        <v>90</v>
      </c>
      <c r="AA58" s="5">
        <v>1</v>
      </c>
      <c r="AB58" s="5">
        <v>2</v>
      </c>
      <c r="AC58" s="5">
        <v>3</v>
      </c>
      <c r="AD58" s="5">
        <v>4</v>
      </c>
      <c r="AE58" s="5">
        <v>5</v>
      </c>
      <c r="AF58" s="5">
        <v>6</v>
      </c>
      <c r="AG58" s="5">
        <v>7</v>
      </c>
      <c r="AH58" s="5">
        <v>8</v>
      </c>
      <c r="AI58" s="5">
        <v>9</v>
      </c>
      <c r="AJ58" s="5">
        <v>10</v>
      </c>
      <c r="AK58" s="5" t="s">
        <v>17</v>
      </c>
      <c r="AL58" s="5">
        <v>1</v>
      </c>
      <c r="AM58" s="5">
        <v>2</v>
      </c>
      <c r="AN58" s="5">
        <v>3</v>
      </c>
      <c r="AO58" s="5">
        <v>4</v>
      </c>
      <c r="AP58" s="5">
        <v>5</v>
      </c>
      <c r="AQ58" s="5">
        <v>6</v>
      </c>
      <c r="AR58" s="5">
        <v>7</v>
      </c>
      <c r="AS58" s="5">
        <v>8</v>
      </c>
      <c r="AT58" s="5">
        <v>9</v>
      </c>
      <c r="AU58" s="5">
        <v>10</v>
      </c>
      <c r="AV58" s="5" t="s">
        <v>17</v>
      </c>
    </row>
    <row r="59" spans="1:49" x14ac:dyDescent="0.25">
      <c r="A59" s="5" t="s">
        <v>92</v>
      </c>
      <c r="B59" s="5">
        <v>3</v>
      </c>
      <c r="C59" s="5">
        <v>27</v>
      </c>
      <c r="D59" s="5">
        <v>10</v>
      </c>
      <c r="E59" s="5">
        <v>40</v>
      </c>
      <c r="F59" s="5">
        <v>34</v>
      </c>
      <c r="G59" s="5">
        <v>23</v>
      </c>
      <c r="H59" s="5">
        <v>24</v>
      </c>
      <c r="I59" s="5">
        <v>25</v>
      </c>
      <c r="J59" s="5">
        <v>32</v>
      </c>
      <c r="K59" s="5">
        <v>21</v>
      </c>
      <c r="L59" s="5">
        <v>17</v>
      </c>
      <c r="N59" s="146">
        <f t="shared" ref="N59:W59" si="83">(C59/0.01)*10^($B$59)</f>
        <v>2700000</v>
      </c>
      <c r="O59" s="146">
        <f t="shared" si="83"/>
        <v>1000000</v>
      </c>
      <c r="P59" s="146">
        <f t="shared" si="83"/>
        <v>4000000</v>
      </c>
      <c r="Q59" s="146">
        <f t="shared" si="83"/>
        <v>3400000</v>
      </c>
      <c r="R59" s="146">
        <f t="shared" si="83"/>
        <v>2300000</v>
      </c>
      <c r="S59" s="146">
        <f t="shared" si="83"/>
        <v>2400000</v>
      </c>
      <c r="T59" s="146">
        <f t="shared" si="83"/>
        <v>2500000</v>
      </c>
      <c r="U59" s="146">
        <f t="shared" si="83"/>
        <v>3200000</v>
      </c>
      <c r="V59" s="146">
        <f t="shared" si="83"/>
        <v>2100000</v>
      </c>
      <c r="W59" s="146">
        <f t="shared" si="83"/>
        <v>1700000</v>
      </c>
      <c r="X59" s="146">
        <f t="shared" ref="X59:X69" si="84">AVERAGE(N59:W59)</f>
        <v>2530000</v>
      </c>
      <c r="Y59" s="5" t="s">
        <v>92</v>
      </c>
      <c r="AW59" s="5" t="s">
        <v>92</v>
      </c>
    </row>
    <row r="60" spans="1:49" x14ac:dyDescent="0.25">
      <c r="A60" s="5" t="s">
        <v>93</v>
      </c>
      <c r="B60" s="5">
        <v>3</v>
      </c>
      <c r="C60" s="5">
        <v>26</v>
      </c>
      <c r="D60" s="5">
        <v>23</v>
      </c>
      <c r="E60" s="5">
        <v>25</v>
      </c>
      <c r="F60" s="5">
        <v>19</v>
      </c>
      <c r="G60" s="5">
        <v>24</v>
      </c>
      <c r="H60" s="5">
        <v>18</v>
      </c>
      <c r="I60" s="5">
        <v>29</v>
      </c>
      <c r="J60" s="5">
        <v>29</v>
      </c>
      <c r="K60" s="5">
        <v>26</v>
      </c>
      <c r="L60" s="5">
        <v>25</v>
      </c>
      <c r="N60" s="146">
        <f t="shared" ref="N60:W60" si="85">(C60/0.01)*10^($B$60)</f>
        <v>2600000</v>
      </c>
      <c r="O60" s="146">
        <f t="shared" si="85"/>
        <v>2300000</v>
      </c>
      <c r="P60" s="146">
        <f t="shared" si="85"/>
        <v>2500000</v>
      </c>
      <c r="Q60" s="146">
        <f t="shared" si="85"/>
        <v>1900000</v>
      </c>
      <c r="R60" s="146">
        <f t="shared" si="85"/>
        <v>2400000</v>
      </c>
      <c r="S60" s="146">
        <f t="shared" si="85"/>
        <v>1800000</v>
      </c>
      <c r="T60" s="146">
        <f t="shared" si="85"/>
        <v>2900000</v>
      </c>
      <c r="U60" s="146">
        <f t="shared" si="85"/>
        <v>2900000</v>
      </c>
      <c r="V60" s="146">
        <f t="shared" si="85"/>
        <v>2600000</v>
      </c>
      <c r="W60" s="146">
        <f t="shared" si="85"/>
        <v>2500000</v>
      </c>
      <c r="X60" s="146">
        <f t="shared" si="84"/>
        <v>2440000</v>
      </c>
      <c r="Y60" s="5" t="s">
        <v>93</v>
      </c>
      <c r="AW60" s="5" t="s">
        <v>93</v>
      </c>
    </row>
    <row r="61" spans="1:49" x14ac:dyDescent="0.25">
      <c r="A61" s="5" t="s">
        <v>94</v>
      </c>
      <c r="B61" s="5">
        <v>3</v>
      </c>
      <c r="C61" s="5">
        <v>31</v>
      </c>
      <c r="D61" s="5">
        <v>27</v>
      </c>
      <c r="E61" s="5">
        <v>25</v>
      </c>
      <c r="F61" s="5">
        <v>17</v>
      </c>
      <c r="G61" s="5">
        <v>38</v>
      </c>
      <c r="H61" s="5">
        <v>26</v>
      </c>
      <c r="I61" s="5">
        <v>23</v>
      </c>
      <c r="J61" s="5">
        <v>22</v>
      </c>
      <c r="K61" s="5">
        <v>25</v>
      </c>
      <c r="L61" s="5">
        <v>29</v>
      </c>
      <c r="N61" s="146">
        <f t="shared" ref="N61:W61" si="86">(C61/0.01)*10^($B$61)</f>
        <v>3100000</v>
      </c>
      <c r="O61" s="146">
        <f t="shared" si="86"/>
        <v>2700000</v>
      </c>
      <c r="P61" s="146">
        <f t="shared" si="86"/>
        <v>2500000</v>
      </c>
      <c r="Q61" s="146">
        <f t="shared" si="86"/>
        <v>1700000</v>
      </c>
      <c r="R61" s="146">
        <f t="shared" si="86"/>
        <v>3800000</v>
      </c>
      <c r="S61" s="146">
        <f t="shared" si="86"/>
        <v>2600000</v>
      </c>
      <c r="T61" s="146">
        <f t="shared" si="86"/>
        <v>2300000</v>
      </c>
      <c r="U61" s="146">
        <f t="shared" si="86"/>
        <v>2200000</v>
      </c>
      <c r="V61" s="146">
        <f t="shared" si="86"/>
        <v>2500000</v>
      </c>
      <c r="W61" s="146">
        <f t="shared" si="86"/>
        <v>2900000</v>
      </c>
      <c r="X61" s="146">
        <f t="shared" si="84"/>
        <v>2630000</v>
      </c>
      <c r="Y61" s="5" t="s">
        <v>94</v>
      </c>
      <c r="AW61" s="5" t="s">
        <v>94</v>
      </c>
    </row>
    <row r="62" spans="1:49" x14ac:dyDescent="0.25">
      <c r="A62" s="5" t="s">
        <v>101</v>
      </c>
      <c r="B62" s="5">
        <v>4</v>
      </c>
      <c r="C62" s="5">
        <v>3</v>
      </c>
      <c r="D62" s="5">
        <v>4</v>
      </c>
      <c r="E62" s="5">
        <v>4</v>
      </c>
      <c r="F62" s="5">
        <v>5</v>
      </c>
      <c r="G62" s="5">
        <v>9</v>
      </c>
      <c r="H62" s="5">
        <v>3</v>
      </c>
      <c r="I62" s="5">
        <v>3</v>
      </c>
      <c r="J62" s="5">
        <v>8</v>
      </c>
      <c r="K62" s="5">
        <v>3</v>
      </c>
      <c r="L62" s="5">
        <v>5</v>
      </c>
      <c r="N62" s="146">
        <f t="shared" ref="N62:W62" si="87">(C62/0.01)*10^($B$62)</f>
        <v>3000000</v>
      </c>
      <c r="O62" s="146">
        <f t="shared" si="87"/>
        <v>4000000</v>
      </c>
      <c r="P62" s="146">
        <f t="shared" si="87"/>
        <v>4000000</v>
      </c>
      <c r="Q62" s="146">
        <f t="shared" si="87"/>
        <v>5000000</v>
      </c>
      <c r="R62" s="146">
        <f t="shared" si="87"/>
        <v>9000000</v>
      </c>
      <c r="S62" s="146">
        <f t="shared" si="87"/>
        <v>3000000</v>
      </c>
      <c r="T62" s="146">
        <f t="shared" si="87"/>
        <v>3000000</v>
      </c>
      <c r="U62" s="146">
        <f t="shared" si="87"/>
        <v>8000000</v>
      </c>
      <c r="V62" s="146">
        <f t="shared" si="87"/>
        <v>3000000</v>
      </c>
      <c r="W62" s="146">
        <f t="shared" si="87"/>
        <v>5000000</v>
      </c>
      <c r="X62" s="146">
        <f t="shared" si="84"/>
        <v>4700000</v>
      </c>
      <c r="Y62" s="5" t="s">
        <v>101</v>
      </c>
      <c r="AW62" s="5" t="s">
        <v>101</v>
      </c>
    </row>
    <row r="63" spans="1:49" x14ac:dyDescent="0.25">
      <c r="A63" s="5" t="s">
        <v>102</v>
      </c>
      <c r="B63" s="5">
        <v>4</v>
      </c>
      <c r="C63" s="5">
        <v>3</v>
      </c>
      <c r="D63" s="5">
        <v>2</v>
      </c>
      <c r="E63" s="5">
        <v>6</v>
      </c>
      <c r="F63" s="5">
        <v>7</v>
      </c>
      <c r="G63" s="5">
        <v>6</v>
      </c>
      <c r="H63" s="5">
        <v>5</v>
      </c>
      <c r="I63" s="5">
        <v>6</v>
      </c>
      <c r="J63" s="5">
        <v>3</v>
      </c>
      <c r="K63" s="5">
        <v>4</v>
      </c>
      <c r="L63" s="5">
        <v>4</v>
      </c>
      <c r="N63" s="146">
        <f t="shared" ref="N63:W63" si="88">(C63/0.01)*10^($B$63)</f>
        <v>3000000</v>
      </c>
      <c r="O63" s="146">
        <f t="shared" si="88"/>
        <v>2000000</v>
      </c>
      <c r="P63" s="146">
        <f t="shared" si="88"/>
        <v>6000000</v>
      </c>
      <c r="Q63" s="146">
        <f t="shared" si="88"/>
        <v>7000000</v>
      </c>
      <c r="R63" s="146">
        <f t="shared" si="88"/>
        <v>6000000</v>
      </c>
      <c r="S63" s="146">
        <f t="shared" si="88"/>
        <v>5000000</v>
      </c>
      <c r="T63" s="146">
        <f t="shared" si="88"/>
        <v>6000000</v>
      </c>
      <c r="U63" s="146">
        <f t="shared" si="88"/>
        <v>3000000</v>
      </c>
      <c r="V63" s="146">
        <f t="shared" si="88"/>
        <v>4000000</v>
      </c>
      <c r="W63" s="146">
        <f t="shared" si="88"/>
        <v>4000000</v>
      </c>
      <c r="X63" s="146">
        <f t="shared" si="84"/>
        <v>4600000</v>
      </c>
      <c r="Y63" s="5" t="s">
        <v>102</v>
      </c>
      <c r="AW63" s="5" t="s">
        <v>102</v>
      </c>
    </row>
    <row r="64" spans="1:49" x14ac:dyDescent="0.25">
      <c r="A64" s="5" t="s">
        <v>103</v>
      </c>
      <c r="B64" s="5">
        <v>4</v>
      </c>
      <c r="C64" s="5">
        <v>12</v>
      </c>
      <c r="D64" s="5">
        <v>13</v>
      </c>
      <c r="E64" s="5">
        <v>9</v>
      </c>
      <c r="F64" s="5">
        <v>7</v>
      </c>
      <c r="G64" s="5">
        <v>6</v>
      </c>
      <c r="H64" s="5">
        <v>4</v>
      </c>
      <c r="I64" s="5">
        <v>2</v>
      </c>
      <c r="J64" s="5">
        <v>7</v>
      </c>
      <c r="K64" s="5">
        <v>5</v>
      </c>
      <c r="L64" s="5">
        <v>5</v>
      </c>
      <c r="N64" s="146">
        <f t="shared" ref="N64:W64" si="89">(C64/0.01)*10^($B$64)</f>
        <v>12000000</v>
      </c>
      <c r="O64" s="146">
        <f t="shared" si="89"/>
        <v>13000000</v>
      </c>
      <c r="P64" s="146">
        <f t="shared" si="89"/>
        <v>9000000</v>
      </c>
      <c r="Q64" s="146">
        <f t="shared" si="89"/>
        <v>7000000</v>
      </c>
      <c r="R64" s="146">
        <f t="shared" si="89"/>
        <v>6000000</v>
      </c>
      <c r="S64" s="146">
        <f t="shared" si="89"/>
        <v>4000000</v>
      </c>
      <c r="T64" s="146">
        <f t="shared" si="89"/>
        <v>2000000</v>
      </c>
      <c r="U64" s="146">
        <f t="shared" si="89"/>
        <v>7000000</v>
      </c>
      <c r="V64" s="146">
        <f t="shared" si="89"/>
        <v>5000000</v>
      </c>
      <c r="W64" s="146">
        <f t="shared" si="89"/>
        <v>5000000</v>
      </c>
      <c r="X64" s="146">
        <f t="shared" si="84"/>
        <v>7000000</v>
      </c>
      <c r="Y64" s="5" t="s">
        <v>103</v>
      </c>
      <c r="AW64" s="5" t="s">
        <v>103</v>
      </c>
    </row>
    <row r="65" spans="1:49" x14ac:dyDescent="0.25">
      <c r="A65" s="5" t="s">
        <v>110</v>
      </c>
      <c r="B65" s="5">
        <v>5</v>
      </c>
      <c r="C65" s="5">
        <v>8</v>
      </c>
      <c r="D65" s="5">
        <v>26</v>
      </c>
      <c r="E65" s="5">
        <v>12</v>
      </c>
      <c r="F65" s="5">
        <v>15</v>
      </c>
      <c r="G65" s="5">
        <v>10</v>
      </c>
      <c r="H65" s="5">
        <v>12</v>
      </c>
      <c r="I65" s="5">
        <v>9</v>
      </c>
      <c r="J65" s="5">
        <v>11</v>
      </c>
      <c r="K65" s="5">
        <v>11</v>
      </c>
      <c r="L65" s="5">
        <v>13</v>
      </c>
      <c r="N65" s="146">
        <f t="shared" ref="N65:W65" si="90">(C65/0.01)*10^($B$65)</f>
        <v>80000000</v>
      </c>
      <c r="O65" s="146">
        <f t="shared" si="90"/>
        <v>260000000</v>
      </c>
      <c r="P65" s="146">
        <f t="shared" si="90"/>
        <v>120000000</v>
      </c>
      <c r="Q65" s="146">
        <f t="shared" si="90"/>
        <v>150000000</v>
      </c>
      <c r="R65" s="146">
        <f t="shared" si="90"/>
        <v>100000000</v>
      </c>
      <c r="S65" s="146">
        <f t="shared" si="90"/>
        <v>120000000</v>
      </c>
      <c r="T65" s="146">
        <f t="shared" si="90"/>
        <v>90000000</v>
      </c>
      <c r="U65" s="146">
        <f t="shared" si="90"/>
        <v>110000000</v>
      </c>
      <c r="V65" s="146">
        <f t="shared" si="90"/>
        <v>110000000</v>
      </c>
      <c r="W65" s="146">
        <f t="shared" si="90"/>
        <v>130000000</v>
      </c>
      <c r="X65" s="146">
        <f t="shared" si="84"/>
        <v>127000000</v>
      </c>
      <c r="Y65" s="5" t="s">
        <v>110</v>
      </c>
      <c r="AW65" s="5" t="s">
        <v>110</v>
      </c>
    </row>
    <row r="66" spans="1:49" x14ac:dyDescent="0.25">
      <c r="A66" s="5" t="s">
        <v>111</v>
      </c>
      <c r="B66" s="5">
        <v>5</v>
      </c>
      <c r="C66" s="5">
        <v>23</v>
      </c>
      <c r="D66" s="5">
        <v>21</v>
      </c>
      <c r="E66" s="5">
        <v>22</v>
      </c>
      <c r="F66" s="5">
        <v>17</v>
      </c>
      <c r="G66" s="5">
        <v>26</v>
      </c>
      <c r="H66" s="5">
        <v>24</v>
      </c>
      <c r="I66" s="5">
        <v>21</v>
      </c>
      <c r="J66" s="5">
        <v>23</v>
      </c>
      <c r="K66" s="5">
        <v>24</v>
      </c>
      <c r="L66" s="5">
        <v>28</v>
      </c>
      <c r="N66" s="146">
        <f t="shared" ref="N66:W66" si="91">(C66/0.01)*10^($B$66)</f>
        <v>230000000</v>
      </c>
      <c r="O66" s="146">
        <f t="shared" si="91"/>
        <v>210000000</v>
      </c>
      <c r="P66" s="146">
        <f t="shared" si="91"/>
        <v>220000000</v>
      </c>
      <c r="Q66" s="146">
        <f t="shared" si="91"/>
        <v>170000000</v>
      </c>
      <c r="R66" s="146">
        <f t="shared" si="91"/>
        <v>260000000</v>
      </c>
      <c r="S66" s="146">
        <f t="shared" si="91"/>
        <v>240000000</v>
      </c>
      <c r="T66" s="146">
        <f t="shared" si="91"/>
        <v>210000000</v>
      </c>
      <c r="U66" s="146">
        <f t="shared" si="91"/>
        <v>230000000</v>
      </c>
      <c r="V66" s="146">
        <f t="shared" si="91"/>
        <v>240000000</v>
      </c>
      <c r="W66" s="146">
        <f t="shared" si="91"/>
        <v>280000000</v>
      </c>
      <c r="X66" s="146">
        <f t="shared" si="84"/>
        <v>229000000</v>
      </c>
      <c r="Y66" s="5" t="s">
        <v>111</v>
      </c>
      <c r="AW66" s="5" t="s">
        <v>111</v>
      </c>
    </row>
    <row r="67" spans="1:49" x14ac:dyDescent="0.25">
      <c r="A67" s="5" t="s">
        <v>112</v>
      </c>
      <c r="B67" s="5">
        <v>5</v>
      </c>
      <c r="C67" s="5">
        <v>35</v>
      </c>
      <c r="D67" s="5">
        <v>32</v>
      </c>
      <c r="E67" s="5">
        <v>25</v>
      </c>
      <c r="F67" s="5">
        <v>28</v>
      </c>
      <c r="G67" s="5">
        <v>26</v>
      </c>
      <c r="H67" s="5">
        <v>21</v>
      </c>
      <c r="I67" s="5">
        <v>27</v>
      </c>
      <c r="J67" s="5">
        <v>20</v>
      </c>
      <c r="K67" s="5">
        <v>27</v>
      </c>
      <c r="L67" s="5">
        <v>23</v>
      </c>
      <c r="N67" s="146">
        <f t="shared" ref="N67:W67" si="92">(C67/0.01)*10^($B$67)</f>
        <v>350000000</v>
      </c>
      <c r="O67" s="146">
        <f t="shared" si="92"/>
        <v>320000000</v>
      </c>
      <c r="P67" s="146">
        <f t="shared" si="92"/>
        <v>250000000</v>
      </c>
      <c r="Q67" s="146">
        <f t="shared" si="92"/>
        <v>280000000</v>
      </c>
      <c r="R67" s="146">
        <f t="shared" si="92"/>
        <v>260000000</v>
      </c>
      <c r="S67" s="146">
        <f t="shared" si="92"/>
        <v>210000000</v>
      </c>
      <c r="T67" s="146">
        <f t="shared" si="92"/>
        <v>270000000</v>
      </c>
      <c r="U67" s="146">
        <f t="shared" si="92"/>
        <v>200000000</v>
      </c>
      <c r="V67" s="146">
        <f t="shared" si="92"/>
        <v>270000000</v>
      </c>
      <c r="W67" s="146">
        <f t="shared" si="92"/>
        <v>230000000</v>
      </c>
      <c r="X67" s="146">
        <f t="shared" si="84"/>
        <v>264000000</v>
      </c>
      <c r="Y67" s="5" t="s">
        <v>112</v>
      </c>
      <c r="AW67" s="5" t="s">
        <v>112</v>
      </c>
    </row>
    <row r="68" spans="1:49" x14ac:dyDescent="0.25">
      <c r="A68" s="5" t="s">
        <v>151</v>
      </c>
      <c r="B68" s="5">
        <v>5</v>
      </c>
      <c r="C68" s="5">
        <v>25</v>
      </c>
      <c r="D68" s="5">
        <v>27</v>
      </c>
      <c r="E68" s="5">
        <v>21</v>
      </c>
      <c r="F68" s="5">
        <v>26</v>
      </c>
      <c r="G68" s="5">
        <v>22</v>
      </c>
      <c r="H68" s="5">
        <v>12</v>
      </c>
      <c r="I68" s="5">
        <v>29</v>
      </c>
      <c r="J68" s="5">
        <v>18</v>
      </c>
      <c r="K68" s="5">
        <v>20</v>
      </c>
      <c r="L68" s="5">
        <v>25</v>
      </c>
      <c r="M68" s="5">
        <f>AVERAGE(C68:L68)</f>
        <v>22.5</v>
      </c>
      <c r="N68" s="146">
        <f t="shared" ref="N68:W68" si="93">(C68/0.01)*10^($B$68)</f>
        <v>250000000</v>
      </c>
      <c r="O68" s="146">
        <f t="shared" si="93"/>
        <v>270000000</v>
      </c>
      <c r="P68" s="146">
        <f t="shared" si="93"/>
        <v>210000000</v>
      </c>
      <c r="Q68" s="146">
        <f t="shared" si="93"/>
        <v>260000000</v>
      </c>
      <c r="R68" s="146">
        <f t="shared" si="93"/>
        <v>220000000</v>
      </c>
      <c r="S68" s="146">
        <f t="shared" si="93"/>
        <v>120000000</v>
      </c>
      <c r="T68" s="146">
        <f t="shared" si="93"/>
        <v>290000000</v>
      </c>
      <c r="U68" s="146">
        <f t="shared" si="93"/>
        <v>180000000</v>
      </c>
      <c r="V68" s="146">
        <f t="shared" si="93"/>
        <v>200000000</v>
      </c>
      <c r="W68" s="146">
        <f t="shared" si="93"/>
        <v>250000000</v>
      </c>
      <c r="X68" s="146">
        <f t="shared" si="84"/>
        <v>225000000</v>
      </c>
      <c r="Y68" s="5" t="s">
        <v>151</v>
      </c>
      <c r="Z68" s="5">
        <v>6</v>
      </c>
      <c r="AA68" s="5">
        <v>2</v>
      </c>
      <c r="AB68" s="5">
        <v>1</v>
      </c>
      <c r="AC68" s="5">
        <v>3</v>
      </c>
      <c r="AD68" s="5">
        <v>3</v>
      </c>
      <c r="AE68" s="5">
        <v>1</v>
      </c>
      <c r="AF68" s="5">
        <v>2</v>
      </c>
      <c r="AG68" s="5">
        <v>2</v>
      </c>
      <c r="AH68" s="5">
        <v>0</v>
      </c>
      <c r="AI68" s="5">
        <v>3</v>
      </c>
      <c r="AJ68" s="5">
        <v>6</v>
      </c>
      <c r="AK68" s="5">
        <f>AVERAGE(AA68:AJ68)</f>
        <v>2.2999999999999998</v>
      </c>
      <c r="AL68" s="146">
        <f t="shared" ref="AL68:AU68" si="94">(AA68/0.01)*10^($Z$68)</f>
        <v>200000000</v>
      </c>
      <c r="AM68" s="146">
        <f t="shared" si="94"/>
        <v>100000000</v>
      </c>
      <c r="AN68" s="146">
        <f t="shared" si="94"/>
        <v>300000000</v>
      </c>
      <c r="AO68" s="146">
        <f t="shared" si="94"/>
        <v>300000000</v>
      </c>
      <c r="AP68" s="146">
        <f t="shared" si="94"/>
        <v>100000000</v>
      </c>
      <c r="AQ68" s="146">
        <f t="shared" si="94"/>
        <v>200000000</v>
      </c>
      <c r="AR68" s="146">
        <f t="shared" si="94"/>
        <v>200000000</v>
      </c>
      <c r="AS68" s="146">
        <f t="shared" si="94"/>
        <v>0</v>
      </c>
      <c r="AT68" s="146">
        <f t="shared" si="94"/>
        <v>300000000</v>
      </c>
      <c r="AU68" s="146">
        <f t="shared" si="94"/>
        <v>600000000</v>
      </c>
      <c r="AV68" s="146">
        <f>AVERAGE(AL68:AU68)</f>
        <v>230000000</v>
      </c>
      <c r="AW68" s="5" t="s">
        <v>151</v>
      </c>
    </row>
    <row r="69" spans="1:49" x14ac:dyDescent="0.25">
      <c r="A69" s="5" t="s">
        <v>152</v>
      </c>
      <c r="B69" s="5">
        <v>5</v>
      </c>
      <c r="C69" s="5">
        <v>32</v>
      </c>
      <c r="D69" s="5">
        <v>38</v>
      </c>
      <c r="E69" s="5">
        <v>20</v>
      </c>
      <c r="F69" s="5">
        <v>32</v>
      </c>
      <c r="G69" s="5">
        <v>28</v>
      </c>
      <c r="H69" s="5">
        <v>29</v>
      </c>
      <c r="I69" s="5">
        <v>32</v>
      </c>
      <c r="J69" s="5">
        <v>30</v>
      </c>
      <c r="K69" s="5">
        <v>24</v>
      </c>
      <c r="L69" s="5">
        <v>28</v>
      </c>
      <c r="M69" s="5">
        <f>AVERAGE(C69:L69)</f>
        <v>29.3</v>
      </c>
      <c r="N69" s="146">
        <f t="shared" ref="N69:W69" si="95">(C69/0.01)*10^($B$69)</f>
        <v>320000000</v>
      </c>
      <c r="O69" s="146">
        <f t="shared" si="95"/>
        <v>380000000</v>
      </c>
      <c r="P69" s="146">
        <f t="shared" si="95"/>
        <v>200000000</v>
      </c>
      <c r="Q69" s="146">
        <f t="shared" si="95"/>
        <v>320000000</v>
      </c>
      <c r="R69" s="146">
        <f t="shared" si="95"/>
        <v>280000000</v>
      </c>
      <c r="S69" s="146">
        <f t="shared" si="95"/>
        <v>290000000</v>
      </c>
      <c r="T69" s="146">
        <f t="shared" si="95"/>
        <v>320000000</v>
      </c>
      <c r="U69" s="146">
        <f t="shared" si="95"/>
        <v>300000000</v>
      </c>
      <c r="V69" s="146">
        <f t="shared" si="95"/>
        <v>240000000</v>
      </c>
      <c r="W69" s="146">
        <f t="shared" si="95"/>
        <v>280000000</v>
      </c>
      <c r="X69" s="146">
        <f t="shared" si="84"/>
        <v>293000000</v>
      </c>
      <c r="Y69" s="5" t="s">
        <v>152</v>
      </c>
      <c r="Z69" s="5">
        <v>6</v>
      </c>
      <c r="AA69" s="5">
        <v>4</v>
      </c>
      <c r="AB69" s="5">
        <v>3</v>
      </c>
      <c r="AC69" s="5">
        <v>6</v>
      </c>
      <c r="AD69" s="5">
        <v>5</v>
      </c>
      <c r="AE69" s="5">
        <v>6</v>
      </c>
      <c r="AF69" s="5">
        <v>4</v>
      </c>
      <c r="AG69" s="5">
        <v>3</v>
      </c>
      <c r="AH69" s="5">
        <v>4</v>
      </c>
      <c r="AI69" s="5">
        <v>4</v>
      </c>
      <c r="AJ69" s="5">
        <v>2</v>
      </c>
      <c r="AK69" s="5">
        <f t="shared" ref="AK69:AK74" si="96">AVERAGE(AA69:AJ69)</f>
        <v>4.0999999999999996</v>
      </c>
      <c r="AL69" s="146">
        <f t="shared" ref="AL69:AU69" si="97">(AA69/0.01)*10^($Z$69)</f>
        <v>400000000</v>
      </c>
      <c r="AM69" s="146">
        <f t="shared" si="97"/>
        <v>300000000</v>
      </c>
      <c r="AN69" s="146">
        <f t="shared" si="97"/>
        <v>600000000</v>
      </c>
      <c r="AO69" s="146">
        <f t="shared" si="97"/>
        <v>500000000</v>
      </c>
      <c r="AP69" s="146">
        <f t="shared" si="97"/>
        <v>600000000</v>
      </c>
      <c r="AQ69" s="146">
        <f t="shared" si="97"/>
        <v>400000000</v>
      </c>
      <c r="AR69" s="146">
        <f t="shared" si="97"/>
        <v>300000000</v>
      </c>
      <c r="AS69" s="146">
        <f t="shared" si="97"/>
        <v>400000000</v>
      </c>
      <c r="AT69" s="146">
        <f t="shared" si="97"/>
        <v>400000000</v>
      </c>
      <c r="AU69" s="146">
        <f t="shared" si="97"/>
        <v>200000000</v>
      </c>
      <c r="AV69" s="146">
        <f>AVERAGE(AL69:AU69)</f>
        <v>410000000</v>
      </c>
      <c r="AW69" s="5" t="s">
        <v>152</v>
      </c>
    </row>
    <row r="70" spans="1:49" x14ac:dyDescent="0.25">
      <c r="A70" s="5" t="s">
        <v>153</v>
      </c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5" t="s">
        <v>153</v>
      </c>
      <c r="Z70" s="5">
        <v>6</v>
      </c>
      <c r="AA70" s="5">
        <v>0</v>
      </c>
      <c r="AB70" s="5">
        <v>5</v>
      </c>
      <c r="AC70" s="5">
        <v>1</v>
      </c>
      <c r="AD70" s="5">
        <v>3</v>
      </c>
      <c r="AE70" s="5">
        <v>10</v>
      </c>
      <c r="AF70" s="5">
        <v>4</v>
      </c>
      <c r="AG70" s="5">
        <v>5</v>
      </c>
      <c r="AH70" s="5">
        <v>4</v>
      </c>
      <c r="AI70" s="5">
        <v>5</v>
      </c>
      <c r="AJ70" s="5">
        <v>3</v>
      </c>
      <c r="AK70" s="5">
        <f t="shared" si="96"/>
        <v>4</v>
      </c>
      <c r="AL70" s="146">
        <f t="shared" ref="AL70:AU70" si="98">(AA70/0.01)*10^($Z$70)</f>
        <v>0</v>
      </c>
      <c r="AM70" s="146">
        <f t="shared" si="98"/>
        <v>500000000</v>
      </c>
      <c r="AN70" s="146">
        <f t="shared" si="98"/>
        <v>100000000</v>
      </c>
      <c r="AO70" s="146">
        <f t="shared" si="98"/>
        <v>300000000</v>
      </c>
      <c r="AP70" s="146">
        <f t="shared" si="98"/>
        <v>1000000000</v>
      </c>
      <c r="AQ70" s="146">
        <f t="shared" si="98"/>
        <v>400000000</v>
      </c>
      <c r="AR70" s="146">
        <f t="shared" si="98"/>
        <v>500000000</v>
      </c>
      <c r="AS70" s="146">
        <f t="shared" si="98"/>
        <v>400000000</v>
      </c>
      <c r="AT70" s="146">
        <f t="shared" si="98"/>
        <v>500000000</v>
      </c>
      <c r="AU70" s="146">
        <f t="shared" si="98"/>
        <v>300000000</v>
      </c>
      <c r="AV70" s="146">
        <f>AVERAGE(AL70:AU70)</f>
        <v>400000000</v>
      </c>
      <c r="AW70" s="5" t="s">
        <v>153</v>
      </c>
    </row>
    <row r="71" spans="1:49" x14ac:dyDescent="0.25">
      <c r="A71" s="5" t="s">
        <v>154</v>
      </c>
      <c r="B71" s="5">
        <v>6</v>
      </c>
      <c r="C71" s="5">
        <v>1</v>
      </c>
      <c r="D71" s="5">
        <v>2</v>
      </c>
      <c r="E71" s="5">
        <v>4</v>
      </c>
      <c r="F71" s="5">
        <v>5</v>
      </c>
      <c r="G71" s="5">
        <v>3</v>
      </c>
      <c r="H71" s="5">
        <v>4</v>
      </c>
      <c r="I71" s="5">
        <v>5</v>
      </c>
      <c r="J71" s="5">
        <v>2</v>
      </c>
      <c r="K71" s="5">
        <v>2</v>
      </c>
      <c r="L71" s="5">
        <v>1</v>
      </c>
      <c r="M71" s="5">
        <f t="shared" ref="M71:M76" si="99">AVERAGE(C71:L71)</f>
        <v>2.9</v>
      </c>
      <c r="N71" s="146">
        <f t="shared" ref="N71:W71" si="100">(C71/0.01)*10^($B$71)</f>
        <v>100000000</v>
      </c>
      <c r="O71" s="146">
        <f t="shared" si="100"/>
        <v>200000000</v>
      </c>
      <c r="P71" s="146">
        <f t="shared" si="100"/>
        <v>400000000</v>
      </c>
      <c r="Q71" s="146">
        <f t="shared" si="100"/>
        <v>500000000</v>
      </c>
      <c r="R71" s="146">
        <f t="shared" si="100"/>
        <v>300000000</v>
      </c>
      <c r="S71" s="146">
        <f t="shared" si="100"/>
        <v>400000000</v>
      </c>
      <c r="T71" s="146">
        <f t="shared" si="100"/>
        <v>500000000</v>
      </c>
      <c r="U71" s="146">
        <f t="shared" si="100"/>
        <v>200000000</v>
      </c>
      <c r="V71" s="146">
        <f t="shared" si="100"/>
        <v>200000000</v>
      </c>
      <c r="W71" s="146">
        <f t="shared" si="100"/>
        <v>100000000</v>
      </c>
      <c r="X71" s="146">
        <f t="shared" ref="X71:X76" si="101">AVERAGE(N71:W71)</f>
        <v>290000000</v>
      </c>
      <c r="Y71" s="5" t="s">
        <v>154</v>
      </c>
      <c r="Z71" s="5">
        <v>5</v>
      </c>
      <c r="AA71" s="5">
        <v>29</v>
      </c>
      <c r="AB71" s="5">
        <v>14</v>
      </c>
      <c r="AC71" s="5">
        <v>21</v>
      </c>
      <c r="AD71" s="5">
        <v>23</v>
      </c>
      <c r="AE71" s="5">
        <v>25</v>
      </c>
      <c r="AF71" s="5">
        <v>23</v>
      </c>
      <c r="AG71" s="5">
        <v>15</v>
      </c>
      <c r="AH71" s="5">
        <v>16</v>
      </c>
      <c r="AI71" s="5">
        <v>14</v>
      </c>
      <c r="AJ71" s="5">
        <v>19</v>
      </c>
      <c r="AK71" s="5">
        <f t="shared" si="96"/>
        <v>19.899999999999999</v>
      </c>
      <c r="AL71" s="146">
        <f t="shared" ref="AL71:AU71" si="102">(AA71/0.01)*10^($Z$71)</f>
        <v>290000000</v>
      </c>
      <c r="AM71" s="146">
        <f t="shared" si="102"/>
        <v>140000000</v>
      </c>
      <c r="AN71" s="146">
        <f t="shared" si="102"/>
        <v>210000000</v>
      </c>
      <c r="AO71" s="146">
        <f t="shared" si="102"/>
        <v>230000000</v>
      </c>
      <c r="AP71" s="146">
        <f t="shared" si="102"/>
        <v>250000000</v>
      </c>
      <c r="AQ71" s="146">
        <f t="shared" si="102"/>
        <v>230000000</v>
      </c>
      <c r="AR71" s="146">
        <f t="shared" si="102"/>
        <v>150000000</v>
      </c>
      <c r="AS71" s="146">
        <f t="shared" si="102"/>
        <v>160000000</v>
      </c>
      <c r="AT71" s="146">
        <f t="shared" si="102"/>
        <v>140000000</v>
      </c>
      <c r="AU71" s="146">
        <f t="shared" si="102"/>
        <v>190000000</v>
      </c>
      <c r="AV71" s="146">
        <f>AVERAGE(AL71:AU71)</f>
        <v>199000000</v>
      </c>
      <c r="AW71" s="5" t="s">
        <v>154</v>
      </c>
    </row>
    <row r="72" spans="1:49" x14ac:dyDescent="0.25">
      <c r="A72" s="5" t="s">
        <v>155</v>
      </c>
      <c r="B72" s="5">
        <v>6</v>
      </c>
      <c r="C72" s="5">
        <v>6</v>
      </c>
      <c r="D72" s="5">
        <v>5</v>
      </c>
      <c r="E72" s="5">
        <v>4</v>
      </c>
      <c r="F72" s="5">
        <v>2</v>
      </c>
      <c r="G72" s="5">
        <v>6</v>
      </c>
      <c r="H72" s="5">
        <v>8</v>
      </c>
      <c r="I72" s="5">
        <v>2</v>
      </c>
      <c r="J72" s="5">
        <v>6</v>
      </c>
      <c r="K72" s="5">
        <v>2</v>
      </c>
      <c r="L72" s="5">
        <v>3</v>
      </c>
      <c r="M72" s="5">
        <f t="shared" si="99"/>
        <v>4.4000000000000004</v>
      </c>
      <c r="N72" s="146">
        <f t="shared" ref="N72:W72" si="103">(C72/0.01)*10^($B$72)</f>
        <v>600000000</v>
      </c>
      <c r="O72" s="146">
        <f t="shared" si="103"/>
        <v>500000000</v>
      </c>
      <c r="P72" s="146">
        <f t="shared" si="103"/>
        <v>400000000</v>
      </c>
      <c r="Q72" s="146">
        <f t="shared" si="103"/>
        <v>200000000</v>
      </c>
      <c r="R72" s="146">
        <f t="shared" si="103"/>
        <v>600000000</v>
      </c>
      <c r="S72" s="146">
        <f t="shared" si="103"/>
        <v>800000000</v>
      </c>
      <c r="T72" s="146">
        <f t="shared" si="103"/>
        <v>200000000</v>
      </c>
      <c r="U72" s="146">
        <f t="shared" si="103"/>
        <v>600000000</v>
      </c>
      <c r="V72" s="146">
        <f t="shared" si="103"/>
        <v>200000000</v>
      </c>
      <c r="W72" s="146">
        <f t="shared" si="103"/>
        <v>300000000</v>
      </c>
      <c r="X72" s="146">
        <f t="shared" si="101"/>
        <v>440000000</v>
      </c>
      <c r="Y72" s="5" t="s">
        <v>155</v>
      </c>
      <c r="AL72" s="146"/>
      <c r="AM72" s="146"/>
      <c r="AN72" s="146"/>
      <c r="AO72" s="146"/>
      <c r="AP72" s="146"/>
      <c r="AQ72" s="146"/>
      <c r="AR72" s="146"/>
      <c r="AS72" s="146"/>
      <c r="AT72" s="146"/>
      <c r="AU72" s="146"/>
      <c r="AV72" s="146"/>
      <c r="AW72" s="5" t="s">
        <v>155</v>
      </c>
    </row>
    <row r="73" spans="1:49" x14ac:dyDescent="0.25">
      <c r="A73" s="5" t="s">
        <v>156</v>
      </c>
      <c r="B73" s="5">
        <v>6</v>
      </c>
      <c r="C73" s="5">
        <v>0</v>
      </c>
      <c r="D73" s="5">
        <v>8</v>
      </c>
      <c r="E73" s="5">
        <v>5</v>
      </c>
      <c r="F73" s="5">
        <v>5</v>
      </c>
      <c r="G73" s="5">
        <v>5</v>
      </c>
      <c r="H73" s="5">
        <v>4</v>
      </c>
      <c r="I73" s="5">
        <v>7</v>
      </c>
      <c r="J73" s="5">
        <v>6</v>
      </c>
      <c r="K73" s="5">
        <v>4</v>
      </c>
      <c r="L73" s="5">
        <v>5</v>
      </c>
      <c r="M73" s="5">
        <f t="shared" si="99"/>
        <v>4.9000000000000004</v>
      </c>
      <c r="N73" s="146">
        <f t="shared" ref="N73:W73" si="104">(C73/0.01)*10^($B$73)</f>
        <v>0</v>
      </c>
      <c r="O73" s="146">
        <f t="shared" si="104"/>
        <v>800000000</v>
      </c>
      <c r="P73" s="146">
        <f t="shared" si="104"/>
        <v>500000000</v>
      </c>
      <c r="Q73" s="146">
        <f t="shared" si="104"/>
        <v>500000000</v>
      </c>
      <c r="R73" s="146">
        <f t="shared" si="104"/>
        <v>500000000</v>
      </c>
      <c r="S73" s="146">
        <f t="shared" si="104"/>
        <v>400000000</v>
      </c>
      <c r="T73" s="146">
        <f t="shared" si="104"/>
        <v>700000000</v>
      </c>
      <c r="U73" s="146">
        <f t="shared" si="104"/>
        <v>600000000</v>
      </c>
      <c r="V73" s="146">
        <f t="shared" si="104"/>
        <v>400000000</v>
      </c>
      <c r="W73" s="146">
        <f t="shared" si="104"/>
        <v>500000000</v>
      </c>
      <c r="X73" s="146">
        <f t="shared" si="101"/>
        <v>490000000</v>
      </c>
      <c r="Y73" s="5" t="s">
        <v>156</v>
      </c>
      <c r="AL73" s="146"/>
      <c r="AM73" s="146"/>
      <c r="AN73" s="146"/>
      <c r="AO73" s="146"/>
      <c r="AP73" s="146"/>
      <c r="AQ73" s="146"/>
      <c r="AR73" s="146"/>
      <c r="AS73" s="146"/>
      <c r="AT73" s="146"/>
      <c r="AU73" s="146"/>
      <c r="AV73" s="146"/>
      <c r="AW73" s="5" t="s">
        <v>156</v>
      </c>
    </row>
    <row r="74" spans="1:49" x14ac:dyDescent="0.25">
      <c r="A74" s="5" t="s">
        <v>157</v>
      </c>
      <c r="B74" s="5">
        <v>6</v>
      </c>
      <c r="C74" s="5">
        <v>2</v>
      </c>
      <c r="D74" s="5">
        <v>3</v>
      </c>
      <c r="E74" s="5">
        <v>2</v>
      </c>
      <c r="F74" s="5">
        <v>3</v>
      </c>
      <c r="G74" s="5">
        <v>5</v>
      </c>
      <c r="H74" s="5">
        <v>4</v>
      </c>
      <c r="I74" s="5">
        <v>4</v>
      </c>
      <c r="J74" s="5">
        <v>3</v>
      </c>
      <c r="K74" s="5">
        <v>1</v>
      </c>
      <c r="L74" s="5">
        <v>0</v>
      </c>
      <c r="M74" s="5">
        <f t="shared" si="99"/>
        <v>2.7</v>
      </c>
      <c r="N74" s="146">
        <f t="shared" ref="N74:W74" si="105">(C74/0.01)*10^($B$74)</f>
        <v>200000000</v>
      </c>
      <c r="O74" s="146">
        <f t="shared" si="105"/>
        <v>300000000</v>
      </c>
      <c r="P74" s="146">
        <f t="shared" si="105"/>
        <v>200000000</v>
      </c>
      <c r="Q74" s="146">
        <f t="shared" si="105"/>
        <v>300000000</v>
      </c>
      <c r="R74" s="146">
        <f t="shared" si="105"/>
        <v>500000000</v>
      </c>
      <c r="S74" s="146">
        <f t="shared" si="105"/>
        <v>400000000</v>
      </c>
      <c r="T74" s="146">
        <f t="shared" si="105"/>
        <v>400000000</v>
      </c>
      <c r="U74" s="146">
        <f t="shared" si="105"/>
        <v>300000000</v>
      </c>
      <c r="V74" s="146">
        <f t="shared" si="105"/>
        <v>100000000</v>
      </c>
      <c r="W74" s="146">
        <f t="shared" si="105"/>
        <v>0</v>
      </c>
      <c r="X74" s="146">
        <f t="shared" si="101"/>
        <v>270000000</v>
      </c>
      <c r="Y74" s="5" t="s">
        <v>157</v>
      </c>
      <c r="Z74" s="5">
        <v>5</v>
      </c>
      <c r="AA74" s="5">
        <v>21</v>
      </c>
      <c r="AB74" s="5">
        <v>21</v>
      </c>
      <c r="AC74" s="5">
        <v>22</v>
      </c>
      <c r="AD74" s="5">
        <v>18</v>
      </c>
      <c r="AE74" s="5">
        <v>19</v>
      </c>
      <c r="AF74" s="5">
        <v>25</v>
      </c>
      <c r="AG74" s="5">
        <v>19</v>
      </c>
      <c r="AH74" s="5">
        <v>25</v>
      </c>
      <c r="AI74" s="5">
        <v>23</v>
      </c>
      <c r="AJ74" s="5">
        <v>20</v>
      </c>
      <c r="AK74" s="5">
        <f t="shared" si="96"/>
        <v>21.3</v>
      </c>
      <c r="AL74" s="146">
        <f t="shared" ref="AL74:AU74" si="106">(AA74/0.01)*10^($Z$74)</f>
        <v>210000000</v>
      </c>
      <c r="AM74" s="146">
        <f t="shared" si="106"/>
        <v>210000000</v>
      </c>
      <c r="AN74" s="146">
        <f t="shared" si="106"/>
        <v>220000000</v>
      </c>
      <c r="AO74" s="146">
        <f t="shared" si="106"/>
        <v>180000000</v>
      </c>
      <c r="AP74" s="146">
        <f t="shared" si="106"/>
        <v>190000000</v>
      </c>
      <c r="AQ74" s="146">
        <f t="shared" si="106"/>
        <v>250000000</v>
      </c>
      <c r="AR74" s="146">
        <f t="shared" si="106"/>
        <v>190000000</v>
      </c>
      <c r="AS74" s="146">
        <f t="shared" si="106"/>
        <v>250000000</v>
      </c>
      <c r="AT74" s="146">
        <f t="shared" si="106"/>
        <v>230000000</v>
      </c>
      <c r="AU74" s="146">
        <f t="shared" si="106"/>
        <v>200000000</v>
      </c>
      <c r="AV74" s="146">
        <f>AVERAGE(AL74:AU74)</f>
        <v>213000000</v>
      </c>
      <c r="AW74" s="5" t="s">
        <v>157</v>
      </c>
    </row>
    <row r="75" spans="1:49" x14ac:dyDescent="0.25">
      <c r="A75" s="5" t="s">
        <v>158</v>
      </c>
      <c r="B75" s="5">
        <v>6</v>
      </c>
      <c r="C75" s="5">
        <v>2</v>
      </c>
      <c r="D75" s="5">
        <v>1</v>
      </c>
      <c r="E75" s="5">
        <v>4</v>
      </c>
      <c r="F75" s="5">
        <v>1</v>
      </c>
      <c r="G75" s="5">
        <v>5</v>
      </c>
      <c r="H75" s="5">
        <v>4</v>
      </c>
      <c r="I75" s="5">
        <v>3</v>
      </c>
      <c r="J75" s="5">
        <v>3</v>
      </c>
      <c r="K75" s="5">
        <v>2</v>
      </c>
      <c r="L75" s="5">
        <v>6</v>
      </c>
      <c r="M75" s="5">
        <f t="shared" si="99"/>
        <v>3.1</v>
      </c>
      <c r="N75" s="146">
        <f t="shared" ref="N75:W75" si="107">(C75/0.01)*10^($B$75)</f>
        <v>200000000</v>
      </c>
      <c r="O75" s="146">
        <f t="shared" si="107"/>
        <v>100000000</v>
      </c>
      <c r="P75" s="146">
        <f t="shared" si="107"/>
        <v>400000000</v>
      </c>
      <c r="Q75" s="146">
        <f t="shared" si="107"/>
        <v>100000000</v>
      </c>
      <c r="R75" s="146">
        <f t="shared" si="107"/>
        <v>500000000</v>
      </c>
      <c r="S75" s="146">
        <f t="shared" si="107"/>
        <v>400000000</v>
      </c>
      <c r="T75" s="146">
        <f t="shared" si="107"/>
        <v>300000000</v>
      </c>
      <c r="U75" s="146">
        <f t="shared" si="107"/>
        <v>300000000</v>
      </c>
      <c r="V75" s="146">
        <f t="shared" si="107"/>
        <v>200000000</v>
      </c>
      <c r="W75" s="146">
        <f t="shared" si="107"/>
        <v>600000000</v>
      </c>
      <c r="X75" s="146">
        <f t="shared" si="101"/>
        <v>310000000</v>
      </c>
      <c r="Y75" s="5" t="s">
        <v>158</v>
      </c>
      <c r="AL75" s="146"/>
      <c r="AM75" s="146"/>
      <c r="AN75" s="146"/>
      <c r="AO75" s="146"/>
      <c r="AP75" s="146"/>
      <c r="AQ75" s="146"/>
      <c r="AR75" s="146"/>
      <c r="AS75" s="146"/>
      <c r="AT75" s="146"/>
      <c r="AU75" s="146"/>
      <c r="AV75" s="146"/>
      <c r="AW75" s="5" t="s">
        <v>158</v>
      </c>
    </row>
    <row r="76" spans="1:49" x14ac:dyDescent="0.25">
      <c r="A76" s="5" t="s">
        <v>159</v>
      </c>
      <c r="B76" s="5">
        <v>6</v>
      </c>
      <c r="C76" s="5">
        <v>8</v>
      </c>
      <c r="D76" s="5">
        <v>6</v>
      </c>
      <c r="E76" s="5">
        <v>3</v>
      </c>
      <c r="F76" s="5">
        <v>3</v>
      </c>
      <c r="G76" s="5">
        <v>6</v>
      </c>
      <c r="H76" s="5">
        <v>5</v>
      </c>
      <c r="I76" s="5">
        <v>3</v>
      </c>
      <c r="J76" s="5">
        <v>1</v>
      </c>
      <c r="K76" s="5">
        <v>2</v>
      </c>
      <c r="L76" s="5">
        <v>6</v>
      </c>
      <c r="M76" s="5">
        <f t="shared" si="99"/>
        <v>4.3</v>
      </c>
      <c r="N76" s="146">
        <f t="shared" ref="N76:W76" si="108">(C76/0.01)*10^($B$76)</f>
        <v>800000000</v>
      </c>
      <c r="O76" s="146">
        <f t="shared" si="108"/>
        <v>600000000</v>
      </c>
      <c r="P76" s="146">
        <f t="shared" si="108"/>
        <v>300000000</v>
      </c>
      <c r="Q76" s="146">
        <f t="shared" si="108"/>
        <v>300000000</v>
      </c>
      <c r="R76" s="146">
        <f t="shared" si="108"/>
        <v>600000000</v>
      </c>
      <c r="S76" s="146">
        <f t="shared" si="108"/>
        <v>500000000</v>
      </c>
      <c r="T76" s="146">
        <f t="shared" si="108"/>
        <v>300000000</v>
      </c>
      <c r="U76" s="146">
        <f t="shared" si="108"/>
        <v>100000000</v>
      </c>
      <c r="V76" s="146">
        <f t="shared" si="108"/>
        <v>200000000</v>
      </c>
      <c r="W76" s="146">
        <f t="shared" si="108"/>
        <v>600000000</v>
      </c>
      <c r="X76" s="146">
        <f t="shared" si="101"/>
        <v>430000000</v>
      </c>
      <c r="Y76" s="5" t="s">
        <v>159</v>
      </c>
      <c r="AL76" s="146"/>
      <c r="AM76" s="146"/>
      <c r="AN76" s="146"/>
      <c r="AO76" s="146"/>
      <c r="AP76" s="146"/>
      <c r="AQ76" s="146"/>
      <c r="AR76" s="146"/>
      <c r="AS76" s="146"/>
      <c r="AT76" s="146"/>
      <c r="AU76" s="146"/>
      <c r="AV76" s="146"/>
      <c r="AW76" s="5" t="s">
        <v>159</v>
      </c>
    </row>
    <row r="77" spans="1:49" x14ac:dyDescent="0.25"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AL77" s="146"/>
      <c r="AM77" s="146"/>
      <c r="AN77" s="146"/>
      <c r="AO77" s="146"/>
      <c r="AP77" s="146"/>
      <c r="AQ77" s="146"/>
      <c r="AR77" s="146"/>
      <c r="AS77" s="146"/>
      <c r="AT77" s="146"/>
      <c r="AU77" s="146"/>
      <c r="AV77" s="146"/>
    </row>
    <row r="78" spans="1:49" x14ac:dyDescent="0.25">
      <c r="A78" s="145" t="s">
        <v>113</v>
      </c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AL78" s="146"/>
      <c r="AM78" s="146"/>
      <c r="AN78" s="146"/>
      <c r="AO78" s="146"/>
      <c r="AP78" s="146"/>
      <c r="AQ78" s="146"/>
      <c r="AR78" s="146"/>
      <c r="AS78" s="146"/>
      <c r="AT78" s="146"/>
      <c r="AU78" s="146"/>
      <c r="AV78" s="146"/>
    </row>
    <row r="79" spans="1:49" x14ac:dyDescent="0.25">
      <c r="B79" s="5" t="s">
        <v>90</v>
      </c>
      <c r="C79" s="5">
        <v>1</v>
      </c>
      <c r="D79" s="5">
        <v>2</v>
      </c>
      <c r="E79" s="5">
        <v>3</v>
      </c>
      <c r="F79" s="5">
        <v>4</v>
      </c>
      <c r="G79" s="5">
        <v>5</v>
      </c>
      <c r="H79" s="5">
        <v>6</v>
      </c>
      <c r="I79" s="5">
        <v>7</v>
      </c>
      <c r="J79" s="5">
        <v>8</v>
      </c>
      <c r="K79" s="5">
        <v>9</v>
      </c>
      <c r="L79" s="5">
        <v>10</v>
      </c>
      <c r="M79" s="5" t="s">
        <v>17</v>
      </c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Z79" s="5" t="s">
        <v>90</v>
      </c>
      <c r="AA79" s="5">
        <v>1</v>
      </c>
      <c r="AB79" s="5">
        <v>2</v>
      </c>
      <c r="AC79" s="5">
        <v>3</v>
      </c>
      <c r="AD79" s="5">
        <v>4</v>
      </c>
      <c r="AE79" s="5">
        <v>5</v>
      </c>
      <c r="AF79" s="5">
        <v>6</v>
      </c>
      <c r="AG79" s="5">
        <v>7</v>
      </c>
      <c r="AH79" s="5">
        <v>8</v>
      </c>
      <c r="AI79" s="5">
        <v>9</v>
      </c>
      <c r="AJ79" s="5">
        <v>10</v>
      </c>
      <c r="AK79" s="5" t="s">
        <v>17</v>
      </c>
      <c r="AL79" s="146"/>
      <c r="AM79" s="146"/>
      <c r="AN79" s="146"/>
      <c r="AO79" s="146"/>
      <c r="AP79" s="146"/>
      <c r="AQ79" s="146"/>
      <c r="AR79" s="146"/>
      <c r="AS79" s="146"/>
      <c r="AT79" s="146"/>
      <c r="AU79" s="146"/>
      <c r="AV79" s="146"/>
    </row>
    <row r="80" spans="1:49" x14ac:dyDescent="0.25">
      <c r="A80" s="5" t="s">
        <v>92</v>
      </c>
      <c r="B80" s="5">
        <v>5</v>
      </c>
      <c r="C80" s="5">
        <v>2</v>
      </c>
      <c r="D80" s="5">
        <v>5</v>
      </c>
      <c r="E80" s="5">
        <v>3</v>
      </c>
      <c r="F80" s="5">
        <v>0</v>
      </c>
      <c r="G80" s="5">
        <v>1</v>
      </c>
      <c r="H80" s="5">
        <v>4</v>
      </c>
      <c r="I80" s="5">
        <v>2</v>
      </c>
      <c r="J80" s="5">
        <v>1</v>
      </c>
      <c r="K80" s="5">
        <v>4</v>
      </c>
      <c r="L80" s="5">
        <v>8</v>
      </c>
      <c r="M80" s="5">
        <f t="shared" ref="M80:M90" si="109">AVERAGE(C80:L80)</f>
        <v>3</v>
      </c>
      <c r="N80" s="146">
        <f t="shared" ref="N80:W80" si="110">(C80/0.01)*10^($B$80)</f>
        <v>20000000</v>
      </c>
      <c r="O80" s="146">
        <f t="shared" si="110"/>
        <v>50000000</v>
      </c>
      <c r="P80" s="146">
        <f t="shared" si="110"/>
        <v>30000000</v>
      </c>
      <c r="Q80" s="146">
        <f t="shared" si="110"/>
        <v>0</v>
      </c>
      <c r="R80" s="146">
        <f t="shared" si="110"/>
        <v>10000000</v>
      </c>
      <c r="S80" s="146">
        <f t="shared" si="110"/>
        <v>40000000</v>
      </c>
      <c r="T80" s="146">
        <f t="shared" si="110"/>
        <v>20000000</v>
      </c>
      <c r="U80" s="146">
        <f t="shared" si="110"/>
        <v>10000000</v>
      </c>
      <c r="V80" s="146">
        <f t="shared" si="110"/>
        <v>40000000</v>
      </c>
      <c r="W80" s="146">
        <f t="shared" si="110"/>
        <v>80000000</v>
      </c>
      <c r="X80" s="146">
        <f t="shared" ref="X80:X90" si="111">AVERAGE(N80:W80)</f>
        <v>30000000</v>
      </c>
      <c r="Y80" s="5" t="s">
        <v>92</v>
      </c>
      <c r="Z80" s="5">
        <v>4</v>
      </c>
      <c r="AA80" s="5">
        <v>37</v>
      </c>
      <c r="AB80" s="5">
        <v>23</v>
      </c>
      <c r="AC80" s="5">
        <v>25</v>
      </c>
      <c r="AD80" s="5">
        <v>23</v>
      </c>
      <c r="AE80" s="5">
        <v>26</v>
      </c>
      <c r="AF80" s="5">
        <v>33</v>
      </c>
      <c r="AG80" s="5">
        <v>34</v>
      </c>
      <c r="AH80" s="5">
        <v>23</v>
      </c>
      <c r="AI80" s="5">
        <v>26</v>
      </c>
      <c r="AJ80" s="5">
        <v>27</v>
      </c>
      <c r="AK80" s="5">
        <f>AVERAGE(AA80:AJ80)</f>
        <v>27.7</v>
      </c>
      <c r="AL80" s="146">
        <f t="shared" ref="AL80:AU80" si="112">(AA80/0.01)*10^($Z$80)</f>
        <v>37000000</v>
      </c>
      <c r="AM80" s="146">
        <f t="shared" si="112"/>
        <v>23000000</v>
      </c>
      <c r="AN80" s="146">
        <f t="shared" si="112"/>
        <v>25000000</v>
      </c>
      <c r="AO80" s="146">
        <f t="shared" si="112"/>
        <v>23000000</v>
      </c>
      <c r="AP80" s="146">
        <f t="shared" si="112"/>
        <v>26000000</v>
      </c>
      <c r="AQ80" s="146">
        <f t="shared" si="112"/>
        <v>33000000</v>
      </c>
      <c r="AR80" s="146">
        <f t="shared" si="112"/>
        <v>34000000</v>
      </c>
      <c r="AS80" s="146">
        <f t="shared" si="112"/>
        <v>23000000</v>
      </c>
      <c r="AT80" s="146">
        <f t="shared" si="112"/>
        <v>26000000</v>
      </c>
      <c r="AU80" s="146">
        <f t="shared" si="112"/>
        <v>27000000</v>
      </c>
      <c r="AV80" s="146">
        <f>AVERAGE(AL80:AU80)</f>
        <v>27700000</v>
      </c>
      <c r="AW80" s="5" t="s">
        <v>92</v>
      </c>
    </row>
    <row r="81" spans="1:49" x14ac:dyDescent="0.25">
      <c r="A81" s="5" t="s">
        <v>93</v>
      </c>
      <c r="B81" s="5">
        <v>5</v>
      </c>
      <c r="C81" s="5">
        <v>3</v>
      </c>
      <c r="D81" s="5">
        <v>2</v>
      </c>
      <c r="E81" s="5">
        <v>0</v>
      </c>
      <c r="F81" s="5">
        <v>5</v>
      </c>
      <c r="G81" s="5">
        <v>6</v>
      </c>
      <c r="H81" s="5">
        <v>9</v>
      </c>
      <c r="I81" s="5">
        <v>4</v>
      </c>
      <c r="J81" s="5">
        <v>3</v>
      </c>
      <c r="K81" s="5">
        <v>0</v>
      </c>
      <c r="L81" s="5">
        <v>0</v>
      </c>
      <c r="M81" s="5">
        <f t="shared" si="109"/>
        <v>3.2</v>
      </c>
      <c r="N81" s="146">
        <f t="shared" ref="N81:W81" si="113">(C81/0.01)*10^($B$81)</f>
        <v>30000000</v>
      </c>
      <c r="O81" s="146">
        <f t="shared" si="113"/>
        <v>20000000</v>
      </c>
      <c r="P81" s="146">
        <f t="shared" si="113"/>
        <v>0</v>
      </c>
      <c r="Q81" s="146">
        <f t="shared" si="113"/>
        <v>50000000</v>
      </c>
      <c r="R81" s="146">
        <f t="shared" si="113"/>
        <v>60000000</v>
      </c>
      <c r="S81" s="146">
        <f t="shared" si="113"/>
        <v>90000000</v>
      </c>
      <c r="T81" s="146">
        <f t="shared" si="113"/>
        <v>40000000</v>
      </c>
      <c r="U81" s="146">
        <f t="shared" si="113"/>
        <v>30000000</v>
      </c>
      <c r="V81" s="146">
        <f t="shared" si="113"/>
        <v>0</v>
      </c>
      <c r="W81" s="146">
        <f t="shared" si="113"/>
        <v>0</v>
      </c>
      <c r="X81" s="146">
        <f t="shared" si="111"/>
        <v>32000000</v>
      </c>
      <c r="Y81" s="5" t="s">
        <v>93</v>
      </c>
      <c r="Z81" s="5">
        <v>4</v>
      </c>
      <c r="AA81" s="5">
        <v>37</v>
      </c>
      <c r="AB81" s="5">
        <v>11</v>
      </c>
      <c r="AC81" s="5">
        <v>27</v>
      </c>
      <c r="AD81" s="5">
        <v>27</v>
      </c>
      <c r="AE81" s="5">
        <v>27</v>
      </c>
      <c r="AF81" s="5">
        <v>26</v>
      </c>
      <c r="AG81" s="5">
        <v>25</v>
      </c>
      <c r="AH81" s="5">
        <v>35</v>
      </c>
      <c r="AI81" s="5">
        <v>27</v>
      </c>
      <c r="AJ81" s="5">
        <v>31</v>
      </c>
      <c r="AK81" s="5">
        <f t="shared" ref="AK81:AK96" si="114">AVERAGE(AA81:AJ81)</f>
        <v>27.3</v>
      </c>
      <c r="AL81" s="146">
        <f t="shared" ref="AL81:AU81" si="115">(AA81/0.01)*10^($Z$81)</f>
        <v>37000000</v>
      </c>
      <c r="AM81" s="146">
        <f t="shared" si="115"/>
        <v>11000000</v>
      </c>
      <c r="AN81" s="146">
        <f t="shared" si="115"/>
        <v>27000000</v>
      </c>
      <c r="AO81" s="146">
        <f t="shared" si="115"/>
        <v>27000000</v>
      </c>
      <c r="AP81" s="146">
        <f t="shared" si="115"/>
        <v>27000000</v>
      </c>
      <c r="AQ81" s="146">
        <f t="shared" si="115"/>
        <v>26000000</v>
      </c>
      <c r="AR81" s="146">
        <f t="shared" si="115"/>
        <v>25000000</v>
      </c>
      <c r="AS81" s="146">
        <f t="shared" si="115"/>
        <v>35000000</v>
      </c>
      <c r="AT81" s="146">
        <f t="shared" si="115"/>
        <v>27000000</v>
      </c>
      <c r="AU81" s="146">
        <f t="shared" si="115"/>
        <v>31000000</v>
      </c>
      <c r="AV81" s="146">
        <f>AVERAGE(AL81:AU81)</f>
        <v>27300000</v>
      </c>
      <c r="AW81" s="5" t="s">
        <v>93</v>
      </c>
    </row>
    <row r="82" spans="1:49" x14ac:dyDescent="0.25">
      <c r="A82" s="5" t="s">
        <v>94</v>
      </c>
      <c r="B82" s="5">
        <v>5</v>
      </c>
      <c r="C82" s="5">
        <v>3</v>
      </c>
      <c r="D82" s="5">
        <v>3</v>
      </c>
      <c r="E82" s="5">
        <v>5</v>
      </c>
      <c r="F82" s="5">
        <v>2</v>
      </c>
      <c r="G82" s="5">
        <v>3</v>
      </c>
      <c r="H82" s="5">
        <v>3</v>
      </c>
      <c r="I82" s="5">
        <v>5</v>
      </c>
      <c r="J82" s="5">
        <v>4</v>
      </c>
      <c r="K82" s="5">
        <v>4</v>
      </c>
      <c r="L82" s="5">
        <v>2</v>
      </c>
      <c r="M82" s="5">
        <f t="shared" si="109"/>
        <v>3.4</v>
      </c>
      <c r="N82" s="146">
        <f t="shared" ref="N82:W82" si="116">(C82/0.01)*10^($B$82)</f>
        <v>30000000</v>
      </c>
      <c r="O82" s="146">
        <f t="shared" si="116"/>
        <v>30000000</v>
      </c>
      <c r="P82" s="146">
        <f t="shared" si="116"/>
        <v>50000000</v>
      </c>
      <c r="Q82" s="146">
        <f t="shared" si="116"/>
        <v>20000000</v>
      </c>
      <c r="R82" s="146">
        <f t="shared" si="116"/>
        <v>30000000</v>
      </c>
      <c r="S82" s="146">
        <f t="shared" si="116"/>
        <v>30000000</v>
      </c>
      <c r="T82" s="146">
        <f t="shared" si="116"/>
        <v>50000000</v>
      </c>
      <c r="U82" s="146">
        <f t="shared" si="116"/>
        <v>40000000</v>
      </c>
      <c r="V82" s="146">
        <f t="shared" si="116"/>
        <v>40000000</v>
      </c>
      <c r="W82" s="146">
        <f t="shared" si="116"/>
        <v>20000000</v>
      </c>
      <c r="X82" s="146">
        <f t="shared" si="111"/>
        <v>34000000</v>
      </c>
      <c r="Y82" s="5" t="s">
        <v>94</v>
      </c>
      <c r="Z82" s="5">
        <v>4</v>
      </c>
      <c r="AA82" s="5">
        <v>25</v>
      </c>
      <c r="AB82" s="5">
        <v>30</v>
      </c>
      <c r="AC82" s="5">
        <v>17</v>
      </c>
      <c r="AD82" s="5">
        <v>20</v>
      </c>
      <c r="AE82" s="5">
        <v>29</v>
      </c>
      <c r="AF82" s="5">
        <v>27</v>
      </c>
      <c r="AG82" s="5">
        <v>30</v>
      </c>
      <c r="AH82" s="5">
        <v>26</v>
      </c>
      <c r="AI82" s="5">
        <v>25</v>
      </c>
      <c r="AJ82" s="5">
        <v>32</v>
      </c>
      <c r="AK82" s="5">
        <f t="shared" si="114"/>
        <v>26.1</v>
      </c>
      <c r="AL82" s="146">
        <f t="shared" ref="AL82:AU82" si="117">(AA82/0.01)*10^($Z$82)</f>
        <v>25000000</v>
      </c>
      <c r="AM82" s="146">
        <f t="shared" si="117"/>
        <v>30000000</v>
      </c>
      <c r="AN82" s="146">
        <f t="shared" si="117"/>
        <v>17000000</v>
      </c>
      <c r="AO82" s="146">
        <f t="shared" si="117"/>
        <v>20000000</v>
      </c>
      <c r="AP82" s="146">
        <f t="shared" si="117"/>
        <v>29000000</v>
      </c>
      <c r="AQ82" s="146">
        <f t="shared" si="117"/>
        <v>27000000</v>
      </c>
      <c r="AR82" s="146">
        <f t="shared" si="117"/>
        <v>30000000</v>
      </c>
      <c r="AS82" s="146">
        <f t="shared" si="117"/>
        <v>26000000</v>
      </c>
      <c r="AT82" s="146">
        <f t="shared" si="117"/>
        <v>25000000</v>
      </c>
      <c r="AU82" s="146">
        <f t="shared" si="117"/>
        <v>32000000</v>
      </c>
      <c r="AV82" s="146">
        <f>AVERAGE(AL82:AU82)</f>
        <v>26100000</v>
      </c>
      <c r="AW82" s="5" t="s">
        <v>94</v>
      </c>
    </row>
    <row r="83" spans="1:49" x14ac:dyDescent="0.25">
      <c r="A83" s="5" t="s">
        <v>101</v>
      </c>
      <c r="B83" s="5">
        <v>5</v>
      </c>
      <c r="C83" s="5">
        <v>9</v>
      </c>
      <c r="D83" s="5">
        <v>12</v>
      </c>
      <c r="E83" s="5">
        <v>9</v>
      </c>
      <c r="F83" s="5">
        <v>8</v>
      </c>
      <c r="G83" s="5">
        <v>6</v>
      </c>
      <c r="H83" s="5">
        <v>15</v>
      </c>
      <c r="I83" s="5">
        <v>9</v>
      </c>
      <c r="J83" s="5">
        <v>12</v>
      </c>
      <c r="K83" s="5">
        <v>9</v>
      </c>
      <c r="L83" s="5">
        <v>11</v>
      </c>
      <c r="M83" s="5">
        <f t="shared" si="109"/>
        <v>10</v>
      </c>
      <c r="N83" s="146">
        <f t="shared" ref="N83:W83" si="118">(C83/0.01)*10^($B$83)</f>
        <v>90000000</v>
      </c>
      <c r="O83" s="146">
        <f t="shared" si="118"/>
        <v>120000000</v>
      </c>
      <c r="P83" s="146">
        <f t="shared" si="118"/>
        <v>90000000</v>
      </c>
      <c r="Q83" s="146">
        <f t="shared" si="118"/>
        <v>80000000</v>
      </c>
      <c r="R83" s="146">
        <f t="shared" si="118"/>
        <v>60000000</v>
      </c>
      <c r="S83" s="146">
        <f t="shared" si="118"/>
        <v>150000000</v>
      </c>
      <c r="T83" s="146">
        <f t="shared" si="118"/>
        <v>90000000</v>
      </c>
      <c r="U83" s="146">
        <f t="shared" si="118"/>
        <v>120000000</v>
      </c>
      <c r="V83" s="146">
        <f t="shared" si="118"/>
        <v>90000000</v>
      </c>
      <c r="W83" s="146">
        <f t="shared" si="118"/>
        <v>110000000</v>
      </c>
      <c r="X83" s="146">
        <f t="shared" si="111"/>
        <v>100000000</v>
      </c>
      <c r="Y83" s="5" t="s">
        <v>101</v>
      </c>
      <c r="AL83" s="146"/>
      <c r="AM83" s="146"/>
      <c r="AN83" s="146"/>
      <c r="AO83" s="146"/>
      <c r="AP83" s="146"/>
      <c r="AQ83" s="146"/>
      <c r="AR83" s="146"/>
      <c r="AS83" s="146"/>
      <c r="AT83" s="146"/>
      <c r="AU83" s="146"/>
      <c r="AV83" s="146"/>
      <c r="AW83" s="5" t="s">
        <v>101</v>
      </c>
    </row>
    <row r="84" spans="1:49" x14ac:dyDescent="0.25">
      <c r="A84" s="5" t="s">
        <v>102</v>
      </c>
      <c r="B84" s="5">
        <v>5</v>
      </c>
      <c r="C84" s="5">
        <v>10</v>
      </c>
      <c r="D84" s="5">
        <v>5</v>
      </c>
      <c r="E84" s="5">
        <v>14</v>
      </c>
      <c r="F84" s="5">
        <v>3</v>
      </c>
      <c r="G84" s="5">
        <v>13</v>
      </c>
      <c r="H84" s="5">
        <v>12</v>
      </c>
      <c r="I84" s="5">
        <v>8</v>
      </c>
      <c r="J84" s="5">
        <v>5</v>
      </c>
      <c r="K84" s="5">
        <v>5</v>
      </c>
      <c r="L84" s="5">
        <v>8</v>
      </c>
      <c r="M84" s="5">
        <f t="shared" si="109"/>
        <v>8.3000000000000007</v>
      </c>
      <c r="N84" s="146">
        <f t="shared" ref="N84:W84" si="119">(C84/0.01)*10^($B$84)</f>
        <v>100000000</v>
      </c>
      <c r="O84" s="146">
        <f t="shared" si="119"/>
        <v>50000000</v>
      </c>
      <c r="P84" s="146">
        <f t="shared" si="119"/>
        <v>140000000</v>
      </c>
      <c r="Q84" s="146">
        <f t="shared" si="119"/>
        <v>30000000</v>
      </c>
      <c r="R84" s="146">
        <f t="shared" si="119"/>
        <v>130000000</v>
      </c>
      <c r="S84" s="146">
        <f t="shared" si="119"/>
        <v>120000000</v>
      </c>
      <c r="T84" s="146">
        <f t="shared" si="119"/>
        <v>80000000</v>
      </c>
      <c r="U84" s="146">
        <f t="shared" si="119"/>
        <v>50000000</v>
      </c>
      <c r="V84" s="146">
        <f t="shared" si="119"/>
        <v>50000000</v>
      </c>
      <c r="W84" s="146">
        <f t="shared" si="119"/>
        <v>80000000</v>
      </c>
      <c r="X84" s="146">
        <f t="shared" si="111"/>
        <v>83000000</v>
      </c>
      <c r="Y84" s="5" t="s">
        <v>102</v>
      </c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5" t="s">
        <v>102</v>
      </c>
    </row>
    <row r="85" spans="1:49" x14ac:dyDescent="0.25">
      <c r="A85" s="5" t="s">
        <v>103</v>
      </c>
      <c r="B85" s="5">
        <v>5</v>
      </c>
      <c r="C85" s="5">
        <v>6</v>
      </c>
      <c r="D85" s="5">
        <v>4</v>
      </c>
      <c r="E85" s="5">
        <v>4</v>
      </c>
      <c r="F85" s="5">
        <v>6</v>
      </c>
      <c r="G85" s="5">
        <v>6</v>
      </c>
      <c r="H85" s="5">
        <v>7</v>
      </c>
      <c r="I85" s="5">
        <v>6</v>
      </c>
      <c r="J85" s="5">
        <v>6</v>
      </c>
      <c r="K85" s="5">
        <v>6</v>
      </c>
      <c r="L85" s="5">
        <v>4</v>
      </c>
      <c r="M85" s="5">
        <f t="shared" si="109"/>
        <v>5.5</v>
      </c>
      <c r="N85" s="146">
        <f t="shared" ref="N85:W85" si="120">(C85/0.01)*10^($B$85)</f>
        <v>60000000</v>
      </c>
      <c r="O85" s="146">
        <f t="shared" si="120"/>
        <v>40000000</v>
      </c>
      <c r="P85" s="146">
        <f t="shared" si="120"/>
        <v>40000000</v>
      </c>
      <c r="Q85" s="146">
        <f t="shared" si="120"/>
        <v>60000000</v>
      </c>
      <c r="R85" s="146">
        <f t="shared" si="120"/>
        <v>60000000</v>
      </c>
      <c r="S85" s="146">
        <f t="shared" si="120"/>
        <v>70000000</v>
      </c>
      <c r="T85" s="146">
        <f t="shared" si="120"/>
        <v>60000000</v>
      </c>
      <c r="U85" s="146">
        <f t="shared" si="120"/>
        <v>60000000</v>
      </c>
      <c r="V85" s="146">
        <f t="shared" si="120"/>
        <v>60000000</v>
      </c>
      <c r="W85" s="146">
        <f t="shared" si="120"/>
        <v>40000000</v>
      </c>
      <c r="X85" s="146">
        <f t="shared" si="111"/>
        <v>55000000</v>
      </c>
      <c r="Y85" s="5" t="s">
        <v>103</v>
      </c>
      <c r="AL85" s="146"/>
      <c r="AM85" s="146"/>
      <c r="AN85" s="146"/>
      <c r="AO85" s="146"/>
      <c r="AP85" s="146"/>
      <c r="AQ85" s="146"/>
      <c r="AR85" s="146"/>
      <c r="AS85" s="146"/>
      <c r="AT85" s="146"/>
      <c r="AU85" s="146"/>
      <c r="AV85" s="146"/>
      <c r="AW85" s="5" t="s">
        <v>103</v>
      </c>
    </row>
    <row r="86" spans="1:49" x14ac:dyDescent="0.25">
      <c r="A86" s="5" t="s">
        <v>110</v>
      </c>
      <c r="B86" s="5">
        <v>5</v>
      </c>
      <c r="C86" s="5">
        <v>10</v>
      </c>
      <c r="D86" s="5">
        <v>16</v>
      </c>
      <c r="E86" s="5">
        <v>7</v>
      </c>
      <c r="F86" s="5">
        <v>14</v>
      </c>
      <c r="G86" s="5">
        <v>19</v>
      </c>
      <c r="H86" s="5">
        <v>11</v>
      </c>
      <c r="I86" s="5">
        <v>21</v>
      </c>
      <c r="J86" s="5">
        <v>19</v>
      </c>
      <c r="K86" s="5">
        <v>5</v>
      </c>
      <c r="L86" s="5">
        <v>9</v>
      </c>
      <c r="M86" s="5">
        <f t="shared" si="109"/>
        <v>13.1</v>
      </c>
      <c r="N86" s="146">
        <f t="shared" ref="N86:W86" si="121">(C86/0.01)*10^($B$86)</f>
        <v>100000000</v>
      </c>
      <c r="O86" s="146">
        <f t="shared" si="121"/>
        <v>160000000</v>
      </c>
      <c r="P86" s="146">
        <f t="shared" si="121"/>
        <v>70000000</v>
      </c>
      <c r="Q86" s="146">
        <f t="shared" si="121"/>
        <v>140000000</v>
      </c>
      <c r="R86" s="146">
        <f t="shared" si="121"/>
        <v>190000000</v>
      </c>
      <c r="S86" s="146">
        <f t="shared" si="121"/>
        <v>110000000</v>
      </c>
      <c r="T86" s="146">
        <f t="shared" si="121"/>
        <v>210000000</v>
      </c>
      <c r="U86" s="146">
        <f t="shared" si="121"/>
        <v>190000000</v>
      </c>
      <c r="V86" s="146">
        <f t="shared" si="121"/>
        <v>50000000</v>
      </c>
      <c r="W86" s="146">
        <f t="shared" si="121"/>
        <v>90000000</v>
      </c>
      <c r="X86" s="146">
        <f t="shared" si="111"/>
        <v>131000000</v>
      </c>
      <c r="Y86" s="5" t="s">
        <v>110</v>
      </c>
      <c r="AL86" s="146"/>
      <c r="AM86" s="146"/>
      <c r="AN86" s="146"/>
      <c r="AO86" s="146"/>
      <c r="AP86" s="146"/>
      <c r="AQ86" s="146"/>
      <c r="AR86" s="146"/>
      <c r="AS86" s="146"/>
      <c r="AT86" s="146"/>
      <c r="AU86" s="146"/>
      <c r="AV86" s="146"/>
      <c r="AW86" s="5" t="s">
        <v>110</v>
      </c>
    </row>
    <row r="87" spans="1:49" x14ac:dyDescent="0.25">
      <c r="A87" s="5" t="s">
        <v>111</v>
      </c>
      <c r="B87" s="5">
        <v>5</v>
      </c>
      <c r="C87" s="5">
        <v>21</v>
      </c>
      <c r="D87" s="5">
        <v>31</v>
      </c>
      <c r="E87" s="5">
        <v>23</v>
      </c>
      <c r="F87" s="5">
        <v>22</v>
      </c>
      <c r="G87" s="5">
        <v>27</v>
      </c>
      <c r="H87" s="5">
        <v>31</v>
      </c>
      <c r="I87" s="5">
        <v>24</v>
      </c>
      <c r="J87" s="5">
        <v>17</v>
      </c>
      <c r="K87" s="5">
        <v>16</v>
      </c>
      <c r="L87" s="5">
        <v>22</v>
      </c>
      <c r="M87" s="5">
        <f t="shared" si="109"/>
        <v>23.4</v>
      </c>
      <c r="N87" s="146">
        <f t="shared" ref="N87:W87" si="122">(C87/0.01)*10^($B$87)</f>
        <v>210000000</v>
      </c>
      <c r="O87" s="146">
        <f t="shared" si="122"/>
        <v>310000000</v>
      </c>
      <c r="P87" s="146">
        <f t="shared" si="122"/>
        <v>230000000</v>
      </c>
      <c r="Q87" s="146">
        <f t="shared" si="122"/>
        <v>220000000</v>
      </c>
      <c r="R87" s="146">
        <f t="shared" si="122"/>
        <v>270000000</v>
      </c>
      <c r="S87" s="146">
        <f t="shared" si="122"/>
        <v>310000000</v>
      </c>
      <c r="T87" s="146">
        <f t="shared" si="122"/>
        <v>240000000</v>
      </c>
      <c r="U87" s="146">
        <f t="shared" si="122"/>
        <v>170000000</v>
      </c>
      <c r="V87" s="146">
        <f t="shared" si="122"/>
        <v>160000000</v>
      </c>
      <c r="W87" s="146">
        <f t="shared" si="122"/>
        <v>220000000</v>
      </c>
      <c r="X87" s="146">
        <f t="shared" si="111"/>
        <v>234000000</v>
      </c>
      <c r="Y87" s="5" t="s">
        <v>111</v>
      </c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6"/>
      <c r="AW87" s="5" t="s">
        <v>111</v>
      </c>
    </row>
    <row r="88" spans="1:49" x14ac:dyDescent="0.25">
      <c r="A88" s="5" t="s">
        <v>112</v>
      </c>
      <c r="B88" s="5">
        <v>5</v>
      </c>
      <c r="C88" s="5">
        <v>37</v>
      </c>
      <c r="D88" s="5">
        <v>26</v>
      </c>
      <c r="E88" s="5">
        <v>25</v>
      </c>
      <c r="F88" s="5">
        <v>27</v>
      </c>
      <c r="G88" s="5">
        <v>44</v>
      </c>
      <c r="H88" s="5">
        <v>32</v>
      </c>
      <c r="I88" s="5">
        <v>23</v>
      </c>
      <c r="J88" s="5">
        <v>28</v>
      </c>
      <c r="K88" s="5">
        <v>23</v>
      </c>
      <c r="L88" s="5">
        <v>23</v>
      </c>
      <c r="M88" s="5">
        <f t="shared" si="109"/>
        <v>28.8</v>
      </c>
      <c r="N88" s="146">
        <f t="shared" ref="N88:W88" si="123">(C88/0.01)*10^($B$88)</f>
        <v>370000000</v>
      </c>
      <c r="O88" s="146">
        <f t="shared" si="123"/>
        <v>260000000</v>
      </c>
      <c r="P88" s="146">
        <f t="shared" si="123"/>
        <v>250000000</v>
      </c>
      <c r="Q88" s="146">
        <f t="shared" si="123"/>
        <v>270000000</v>
      </c>
      <c r="R88" s="146">
        <f t="shared" si="123"/>
        <v>440000000</v>
      </c>
      <c r="S88" s="146">
        <f t="shared" si="123"/>
        <v>320000000</v>
      </c>
      <c r="T88" s="146">
        <f t="shared" si="123"/>
        <v>230000000</v>
      </c>
      <c r="U88" s="146">
        <f t="shared" si="123"/>
        <v>280000000</v>
      </c>
      <c r="V88" s="146">
        <f t="shared" si="123"/>
        <v>230000000</v>
      </c>
      <c r="W88" s="146">
        <f t="shared" si="123"/>
        <v>230000000</v>
      </c>
      <c r="X88" s="146">
        <f t="shared" si="111"/>
        <v>288000000</v>
      </c>
      <c r="Y88" s="5" t="s">
        <v>112</v>
      </c>
      <c r="Z88" s="5">
        <v>6</v>
      </c>
      <c r="AA88" s="5">
        <v>4</v>
      </c>
      <c r="AB88" s="5">
        <v>1</v>
      </c>
      <c r="AC88" s="5">
        <v>2</v>
      </c>
      <c r="AD88" s="5">
        <v>8</v>
      </c>
      <c r="AE88" s="5">
        <v>4</v>
      </c>
      <c r="AF88" s="5">
        <v>3</v>
      </c>
      <c r="AG88" s="5">
        <v>4</v>
      </c>
      <c r="AH88" s="5">
        <v>5</v>
      </c>
      <c r="AI88" s="5">
        <v>4</v>
      </c>
      <c r="AJ88" s="5">
        <v>3</v>
      </c>
      <c r="AK88" s="5">
        <f t="shared" si="114"/>
        <v>3.8</v>
      </c>
      <c r="AL88" s="146">
        <f t="shared" ref="AL88:AU88" si="124">(AA88/0.01)*10^($Z$88)</f>
        <v>400000000</v>
      </c>
      <c r="AM88" s="146">
        <f t="shared" si="124"/>
        <v>100000000</v>
      </c>
      <c r="AN88" s="146">
        <f t="shared" si="124"/>
        <v>200000000</v>
      </c>
      <c r="AO88" s="146">
        <f t="shared" si="124"/>
        <v>800000000</v>
      </c>
      <c r="AP88" s="146">
        <f t="shared" si="124"/>
        <v>400000000</v>
      </c>
      <c r="AQ88" s="146">
        <f t="shared" si="124"/>
        <v>300000000</v>
      </c>
      <c r="AR88" s="146">
        <f t="shared" si="124"/>
        <v>400000000</v>
      </c>
      <c r="AS88" s="146">
        <f t="shared" si="124"/>
        <v>500000000</v>
      </c>
      <c r="AT88" s="146">
        <f t="shared" si="124"/>
        <v>400000000</v>
      </c>
      <c r="AU88" s="146">
        <f t="shared" si="124"/>
        <v>300000000</v>
      </c>
      <c r="AV88" s="146">
        <f>AVERAGE(AL88:AU88)</f>
        <v>380000000</v>
      </c>
      <c r="AW88" s="5" t="s">
        <v>112</v>
      </c>
    </row>
    <row r="89" spans="1:49" x14ac:dyDescent="0.25">
      <c r="A89" s="5" t="s">
        <v>151</v>
      </c>
      <c r="B89" s="5">
        <v>5</v>
      </c>
      <c r="C89" s="5">
        <v>18</v>
      </c>
      <c r="D89" s="5">
        <v>26</v>
      </c>
      <c r="E89" s="5">
        <v>19</v>
      </c>
      <c r="F89" s="5">
        <v>20</v>
      </c>
      <c r="G89" s="5">
        <v>20</v>
      </c>
      <c r="H89" s="5">
        <v>14</v>
      </c>
      <c r="I89" s="5">
        <v>19</v>
      </c>
      <c r="J89" s="5">
        <v>22</v>
      </c>
      <c r="K89" s="5">
        <v>16</v>
      </c>
      <c r="L89" s="5">
        <v>23</v>
      </c>
      <c r="M89" s="5">
        <f t="shared" si="109"/>
        <v>19.7</v>
      </c>
      <c r="N89" s="146">
        <f t="shared" ref="N89:W89" si="125">(C89/0.01)*10^($B$89)</f>
        <v>180000000</v>
      </c>
      <c r="O89" s="146">
        <f t="shared" si="125"/>
        <v>260000000</v>
      </c>
      <c r="P89" s="146">
        <f t="shared" si="125"/>
        <v>190000000</v>
      </c>
      <c r="Q89" s="146">
        <f t="shared" si="125"/>
        <v>200000000</v>
      </c>
      <c r="R89" s="146">
        <f t="shared" si="125"/>
        <v>200000000</v>
      </c>
      <c r="S89" s="146">
        <f t="shared" si="125"/>
        <v>140000000</v>
      </c>
      <c r="T89" s="146">
        <f t="shared" si="125"/>
        <v>190000000</v>
      </c>
      <c r="U89" s="146">
        <f t="shared" si="125"/>
        <v>220000000</v>
      </c>
      <c r="V89" s="146">
        <f t="shared" si="125"/>
        <v>160000000</v>
      </c>
      <c r="W89" s="146">
        <f t="shared" si="125"/>
        <v>230000000</v>
      </c>
      <c r="X89" s="146">
        <f t="shared" si="111"/>
        <v>197000000</v>
      </c>
      <c r="Y89" s="5" t="s">
        <v>151</v>
      </c>
      <c r="Z89" s="5">
        <v>6</v>
      </c>
      <c r="AA89" s="5">
        <v>2</v>
      </c>
      <c r="AB89" s="5">
        <v>1</v>
      </c>
      <c r="AC89" s="5">
        <v>4</v>
      </c>
      <c r="AD89" s="5">
        <v>3</v>
      </c>
      <c r="AE89" s="5">
        <v>1</v>
      </c>
      <c r="AF89" s="5">
        <v>3</v>
      </c>
      <c r="AG89" s="5">
        <v>5</v>
      </c>
      <c r="AH89" s="5">
        <v>1</v>
      </c>
      <c r="AI89" s="5">
        <v>3</v>
      </c>
      <c r="AJ89" s="5">
        <v>2</v>
      </c>
      <c r="AK89" s="5">
        <f t="shared" si="114"/>
        <v>2.5</v>
      </c>
      <c r="AL89" s="146">
        <f t="shared" ref="AL89:AU89" si="126">(AA89/0.01)*10^($Z$89)</f>
        <v>200000000</v>
      </c>
      <c r="AM89" s="146">
        <f t="shared" si="126"/>
        <v>100000000</v>
      </c>
      <c r="AN89" s="146">
        <f t="shared" si="126"/>
        <v>400000000</v>
      </c>
      <c r="AO89" s="146">
        <f t="shared" si="126"/>
        <v>300000000</v>
      </c>
      <c r="AP89" s="146">
        <f t="shared" si="126"/>
        <v>100000000</v>
      </c>
      <c r="AQ89" s="146">
        <f t="shared" si="126"/>
        <v>300000000</v>
      </c>
      <c r="AR89" s="146">
        <f t="shared" si="126"/>
        <v>500000000</v>
      </c>
      <c r="AS89" s="146">
        <f t="shared" si="126"/>
        <v>100000000</v>
      </c>
      <c r="AT89" s="146">
        <f t="shared" si="126"/>
        <v>300000000</v>
      </c>
      <c r="AU89" s="146">
        <f t="shared" si="126"/>
        <v>200000000</v>
      </c>
      <c r="AV89" s="146">
        <f>AVERAGE(AL89:AU89)</f>
        <v>250000000</v>
      </c>
      <c r="AW89" s="5" t="s">
        <v>151</v>
      </c>
    </row>
    <row r="90" spans="1:49" x14ac:dyDescent="0.25">
      <c r="A90" s="5" t="s">
        <v>152</v>
      </c>
      <c r="B90" s="5">
        <v>5</v>
      </c>
      <c r="C90" s="5">
        <v>44</v>
      </c>
      <c r="D90" s="5">
        <v>35</v>
      </c>
      <c r="E90" s="5">
        <v>30</v>
      </c>
      <c r="F90" s="5">
        <v>33</v>
      </c>
      <c r="G90" s="5">
        <v>40</v>
      </c>
      <c r="H90" s="5">
        <v>29</v>
      </c>
      <c r="I90" s="5">
        <v>26</v>
      </c>
      <c r="J90" s="5">
        <v>39</v>
      </c>
      <c r="K90" s="5">
        <v>29</v>
      </c>
      <c r="L90" s="5">
        <v>34</v>
      </c>
      <c r="M90" s="5">
        <f t="shared" si="109"/>
        <v>33.9</v>
      </c>
      <c r="N90" s="146">
        <f t="shared" ref="N90:W90" si="127">(C90/0.01)*10^($B$90)</f>
        <v>440000000</v>
      </c>
      <c r="O90" s="146">
        <f t="shared" si="127"/>
        <v>350000000</v>
      </c>
      <c r="P90" s="146">
        <f t="shared" si="127"/>
        <v>300000000</v>
      </c>
      <c r="Q90" s="146">
        <f t="shared" si="127"/>
        <v>330000000</v>
      </c>
      <c r="R90" s="146">
        <f t="shared" si="127"/>
        <v>400000000</v>
      </c>
      <c r="S90" s="146">
        <f t="shared" si="127"/>
        <v>290000000</v>
      </c>
      <c r="T90" s="146">
        <f t="shared" si="127"/>
        <v>260000000</v>
      </c>
      <c r="U90" s="146">
        <f t="shared" si="127"/>
        <v>390000000</v>
      </c>
      <c r="V90" s="146">
        <f t="shared" si="127"/>
        <v>290000000</v>
      </c>
      <c r="W90" s="146">
        <f t="shared" si="127"/>
        <v>340000000</v>
      </c>
      <c r="X90" s="146">
        <f t="shared" si="111"/>
        <v>339000000</v>
      </c>
      <c r="Y90" s="5" t="s">
        <v>152</v>
      </c>
      <c r="AL90" s="146"/>
      <c r="AM90" s="146"/>
      <c r="AN90" s="146"/>
      <c r="AO90" s="146"/>
      <c r="AP90" s="146"/>
      <c r="AQ90" s="146"/>
      <c r="AR90" s="146"/>
      <c r="AS90" s="146"/>
      <c r="AT90" s="146"/>
      <c r="AU90" s="146"/>
      <c r="AV90" s="146"/>
      <c r="AW90" s="5" t="s">
        <v>152</v>
      </c>
    </row>
    <row r="91" spans="1:49" x14ac:dyDescent="0.25">
      <c r="A91" s="5" t="s">
        <v>153</v>
      </c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5" t="s">
        <v>153</v>
      </c>
      <c r="Z91" s="5">
        <v>6</v>
      </c>
      <c r="AA91" s="5">
        <v>4</v>
      </c>
      <c r="AB91" s="5">
        <v>5</v>
      </c>
      <c r="AC91" s="5">
        <v>2</v>
      </c>
      <c r="AD91" s="5">
        <v>5</v>
      </c>
      <c r="AE91" s="5">
        <v>6</v>
      </c>
      <c r="AF91" s="5">
        <v>3</v>
      </c>
      <c r="AG91" s="5">
        <v>6</v>
      </c>
      <c r="AH91" s="5">
        <v>2</v>
      </c>
      <c r="AI91" s="5">
        <v>7</v>
      </c>
      <c r="AJ91" s="5">
        <v>4</v>
      </c>
      <c r="AK91" s="5">
        <f t="shared" si="114"/>
        <v>4.4000000000000004</v>
      </c>
      <c r="AL91" s="146">
        <f t="shared" ref="AL91:AU91" si="128">(AA91/0.01)*10^($Z$91)</f>
        <v>400000000</v>
      </c>
      <c r="AM91" s="146">
        <f t="shared" si="128"/>
        <v>500000000</v>
      </c>
      <c r="AN91" s="146">
        <f t="shared" si="128"/>
        <v>200000000</v>
      </c>
      <c r="AO91" s="146">
        <f t="shared" si="128"/>
        <v>500000000</v>
      </c>
      <c r="AP91" s="146">
        <f t="shared" si="128"/>
        <v>600000000</v>
      </c>
      <c r="AQ91" s="146">
        <f t="shared" si="128"/>
        <v>300000000</v>
      </c>
      <c r="AR91" s="146">
        <f t="shared" si="128"/>
        <v>600000000</v>
      </c>
      <c r="AS91" s="146">
        <f t="shared" si="128"/>
        <v>200000000</v>
      </c>
      <c r="AT91" s="146">
        <f t="shared" si="128"/>
        <v>700000000</v>
      </c>
      <c r="AU91" s="146">
        <f t="shared" si="128"/>
        <v>400000000</v>
      </c>
      <c r="AV91" s="146">
        <f>AVERAGE(AL91:AU91)</f>
        <v>440000000</v>
      </c>
      <c r="AW91" s="5" t="s">
        <v>153</v>
      </c>
    </row>
    <row r="92" spans="1:49" x14ac:dyDescent="0.25">
      <c r="A92" s="5" t="s">
        <v>154</v>
      </c>
      <c r="B92" s="5">
        <v>5</v>
      </c>
      <c r="C92" s="5">
        <v>25</v>
      </c>
      <c r="D92" s="5">
        <v>24</v>
      </c>
      <c r="E92" s="5">
        <v>23</v>
      </c>
      <c r="F92" s="5">
        <v>22</v>
      </c>
      <c r="G92" s="5">
        <v>42</v>
      </c>
      <c r="H92" s="5">
        <v>18</v>
      </c>
      <c r="I92" s="5">
        <v>22</v>
      </c>
      <c r="J92" s="5">
        <v>13</v>
      </c>
      <c r="K92" s="5">
        <v>15</v>
      </c>
      <c r="L92" s="5">
        <v>30</v>
      </c>
      <c r="M92" s="5">
        <f t="shared" ref="M92:M97" si="129">AVERAGE(C92:L92)</f>
        <v>23.4</v>
      </c>
      <c r="N92" s="146">
        <f t="shared" ref="N92:W92" si="130">(C92/0.01)*10^($B$92)</f>
        <v>250000000</v>
      </c>
      <c r="O92" s="146">
        <f t="shared" si="130"/>
        <v>240000000</v>
      </c>
      <c r="P92" s="146">
        <f t="shared" si="130"/>
        <v>230000000</v>
      </c>
      <c r="Q92" s="146">
        <f t="shared" si="130"/>
        <v>220000000</v>
      </c>
      <c r="R92" s="146">
        <f t="shared" si="130"/>
        <v>420000000</v>
      </c>
      <c r="S92" s="146">
        <f t="shared" si="130"/>
        <v>180000000</v>
      </c>
      <c r="T92" s="146">
        <f t="shared" si="130"/>
        <v>220000000</v>
      </c>
      <c r="U92" s="146">
        <f t="shared" si="130"/>
        <v>130000000</v>
      </c>
      <c r="V92" s="146">
        <f t="shared" si="130"/>
        <v>150000000</v>
      </c>
      <c r="W92" s="146">
        <f t="shared" si="130"/>
        <v>300000000</v>
      </c>
      <c r="X92" s="146">
        <f t="shared" ref="X92:X97" si="131">AVERAGE(N92:W92)</f>
        <v>234000000</v>
      </c>
      <c r="Y92" s="5" t="s">
        <v>154</v>
      </c>
      <c r="Z92" s="5">
        <v>6</v>
      </c>
      <c r="AA92" s="5">
        <v>3</v>
      </c>
      <c r="AB92" s="5">
        <v>4</v>
      </c>
      <c r="AC92" s="5">
        <v>1</v>
      </c>
      <c r="AD92" s="5">
        <v>2</v>
      </c>
      <c r="AE92" s="5">
        <v>2</v>
      </c>
      <c r="AF92" s="5">
        <v>1</v>
      </c>
      <c r="AG92" s="5">
        <v>4</v>
      </c>
      <c r="AH92" s="5">
        <v>4</v>
      </c>
      <c r="AI92" s="5">
        <v>4</v>
      </c>
      <c r="AJ92" s="5">
        <v>2</v>
      </c>
      <c r="AK92" s="5">
        <f t="shared" si="114"/>
        <v>2.7</v>
      </c>
      <c r="AL92" s="146">
        <f t="shared" ref="AL92:AU92" si="132">(AA92/0.01)*10^($Z$92)</f>
        <v>300000000</v>
      </c>
      <c r="AM92" s="146">
        <f t="shared" si="132"/>
        <v>400000000</v>
      </c>
      <c r="AN92" s="146">
        <f t="shared" si="132"/>
        <v>100000000</v>
      </c>
      <c r="AO92" s="146">
        <f t="shared" si="132"/>
        <v>200000000</v>
      </c>
      <c r="AP92" s="146">
        <f t="shared" si="132"/>
        <v>200000000</v>
      </c>
      <c r="AQ92" s="146">
        <f t="shared" si="132"/>
        <v>100000000</v>
      </c>
      <c r="AR92" s="146">
        <f t="shared" si="132"/>
        <v>400000000</v>
      </c>
      <c r="AS92" s="146">
        <f t="shared" si="132"/>
        <v>400000000</v>
      </c>
      <c r="AT92" s="146">
        <f t="shared" si="132"/>
        <v>400000000</v>
      </c>
      <c r="AU92" s="146">
        <f t="shared" si="132"/>
        <v>200000000</v>
      </c>
      <c r="AV92" s="146">
        <f>AVERAGE(AL92:AU92)</f>
        <v>270000000</v>
      </c>
      <c r="AW92" s="5" t="s">
        <v>154</v>
      </c>
    </row>
    <row r="93" spans="1:49" x14ac:dyDescent="0.25">
      <c r="A93" s="5" t="s">
        <v>155</v>
      </c>
      <c r="B93" s="5">
        <v>6</v>
      </c>
      <c r="C93" s="5">
        <v>4</v>
      </c>
      <c r="D93" s="5">
        <v>1</v>
      </c>
      <c r="E93" s="5">
        <v>5</v>
      </c>
      <c r="F93" s="5">
        <v>3</v>
      </c>
      <c r="G93" s="5">
        <v>7</v>
      </c>
      <c r="H93" s="5">
        <v>3</v>
      </c>
      <c r="I93" s="5">
        <v>4</v>
      </c>
      <c r="J93" s="5">
        <v>4</v>
      </c>
      <c r="K93" s="5">
        <v>5</v>
      </c>
      <c r="L93" s="5">
        <v>5</v>
      </c>
      <c r="M93" s="5">
        <f t="shared" si="129"/>
        <v>4.0999999999999996</v>
      </c>
      <c r="N93" s="146">
        <f t="shared" ref="N93:W93" si="133">(C93/0.01)*10^($B$93)</f>
        <v>400000000</v>
      </c>
      <c r="O93" s="146">
        <f t="shared" si="133"/>
        <v>100000000</v>
      </c>
      <c r="P93" s="146">
        <f t="shared" si="133"/>
        <v>500000000</v>
      </c>
      <c r="Q93" s="146">
        <f t="shared" si="133"/>
        <v>300000000</v>
      </c>
      <c r="R93" s="146">
        <f t="shared" si="133"/>
        <v>700000000</v>
      </c>
      <c r="S93" s="146">
        <f t="shared" si="133"/>
        <v>300000000</v>
      </c>
      <c r="T93" s="146">
        <f t="shared" si="133"/>
        <v>400000000</v>
      </c>
      <c r="U93" s="146">
        <f t="shared" si="133"/>
        <v>400000000</v>
      </c>
      <c r="V93" s="146">
        <f t="shared" si="133"/>
        <v>500000000</v>
      </c>
      <c r="W93" s="146">
        <f t="shared" si="133"/>
        <v>500000000</v>
      </c>
      <c r="X93" s="146">
        <f t="shared" si="131"/>
        <v>410000000</v>
      </c>
      <c r="Y93" s="5" t="s">
        <v>155</v>
      </c>
      <c r="AL93" s="146"/>
      <c r="AM93" s="146"/>
      <c r="AN93" s="146"/>
      <c r="AO93" s="146"/>
      <c r="AP93" s="146"/>
      <c r="AQ93" s="146"/>
      <c r="AR93" s="146"/>
      <c r="AS93" s="146"/>
      <c r="AT93" s="146"/>
      <c r="AU93" s="146"/>
      <c r="AV93" s="146"/>
      <c r="AW93" s="5" t="s">
        <v>155</v>
      </c>
    </row>
    <row r="94" spans="1:49" x14ac:dyDescent="0.25">
      <c r="A94" s="5" t="s">
        <v>156</v>
      </c>
      <c r="B94" s="5">
        <v>6</v>
      </c>
      <c r="C94" s="5">
        <v>5</v>
      </c>
      <c r="D94" s="5">
        <v>4</v>
      </c>
      <c r="E94" s="5">
        <v>4</v>
      </c>
      <c r="F94" s="5">
        <v>6</v>
      </c>
      <c r="G94" s="5">
        <v>5</v>
      </c>
      <c r="H94" s="5">
        <v>5</v>
      </c>
      <c r="I94" s="5">
        <v>8</v>
      </c>
      <c r="J94" s="5">
        <v>3</v>
      </c>
      <c r="K94" s="5">
        <v>6</v>
      </c>
      <c r="L94" s="5">
        <v>2</v>
      </c>
      <c r="M94" s="5">
        <f t="shared" si="129"/>
        <v>4.8</v>
      </c>
      <c r="N94" s="146">
        <f t="shared" ref="N94:W94" si="134">(C94/0.01)*10^($B$94)</f>
        <v>500000000</v>
      </c>
      <c r="O94" s="146">
        <f t="shared" si="134"/>
        <v>400000000</v>
      </c>
      <c r="P94" s="146">
        <f t="shared" si="134"/>
        <v>400000000</v>
      </c>
      <c r="Q94" s="146">
        <f t="shared" si="134"/>
        <v>600000000</v>
      </c>
      <c r="R94" s="146">
        <f t="shared" si="134"/>
        <v>500000000</v>
      </c>
      <c r="S94" s="146">
        <f t="shared" si="134"/>
        <v>500000000</v>
      </c>
      <c r="T94" s="146">
        <f t="shared" si="134"/>
        <v>800000000</v>
      </c>
      <c r="U94" s="146">
        <f t="shared" si="134"/>
        <v>300000000</v>
      </c>
      <c r="V94" s="146">
        <f t="shared" si="134"/>
        <v>600000000</v>
      </c>
      <c r="W94" s="146">
        <f t="shared" si="134"/>
        <v>200000000</v>
      </c>
      <c r="X94" s="146">
        <f t="shared" si="131"/>
        <v>480000000</v>
      </c>
      <c r="Y94" s="5" t="s">
        <v>156</v>
      </c>
      <c r="AL94" s="146"/>
      <c r="AM94" s="146"/>
      <c r="AN94" s="146"/>
      <c r="AO94" s="146"/>
      <c r="AP94" s="146"/>
      <c r="AQ94" s="146"/>
      <c r="AR94" s="146"/>
      <c r="AS94" s="146"/>
      <c r="AT94" s="146"/>
      <c r="AU94" s="146"/>
      <c r="AV94" s="146"/>
      <c r="AW94" s="5" t="s">
        <v>156</v>
      </c>
    </row>
    <row r="95" spans="1:49" x14ac:dyDescent="0.25">
      <c r="A95" s="5" t="s">
        <v>157</v>
      </c>
      <c r="B95" s="5">
        <v>5</v>
      </c>
      <c r="C95" s="5">
        <v>15</v>
      </c>
      <c r="D95" s="5">
        <v>12</v>
      </c>
      <c r="E95" s="5">
        <v>14</v>
      </c>
      <c r="F95" s="5">
        <v>10</v>
      </c>
      <c r="G95" s="5">
        <v>7</v>
      </c>
      <c r="H95" s="5">
        <v>18</v>
      </c>
      <c r="I95" s="5">
        <v>9</v>
      </c>
      <c r="J95" s="5">
        <v>14</v>
      </c>
      <c r="K95" s="5">
        <v>23</v>
      </c>
      <c r="L95" s="5">
        <v>12</v>
      </c>
      <c r="M95" s="5">
        <f t="shared" si="129"/>
        <v>13.4</v>
      </c>
      <c r="N95" s="146">
        <f t="shared" ref="N95:W95" si="135">(C95/0.01)*10^($B$95)</f>
        <v>150000000</v>
      </c>
      <c r="O95" s="146">
        <f t="shared" si="135"/>
        <v>120000000</v>
      </c>
      <c r="P95" s="146">
        <f t="shared" si="135"/>
        <v>140000000</v>
      </c>
      <c r="Q95" s="146">
        <f t="shared" si="135"/>
        <v>100000000</v>
      </c>
      <c r="R95" s="146">
        <f t="shared" si="135"/>
        <v>70000000</v>
      </c>
      <c r="S95" s="146">
        <f t="shared" si="135"/>
        <v>180000000</v>
      </c>
      <c r="T95" s="146">
        <f t="shared" si="135"/>
        <v>90000000</v>
      </c>
      <c r="U95" s="146">
        <f t="shared" si="135"/>
        <v>140000000</v>
      </c>
      <c r="V95" s="146">
        <f t="shared" si="135"/>
        <v>230000000</v>
      </c>
      <c r="W95" s="146">
        <f t="shared" si="135"/>
        <v>120000000</v>
      </c>
      <c r="X95" s="146">
        <f t="shared" si="131"/>
        <v>134000000</v>
      </c>
      <c r="Y95" s="5" t="s">
        <v>157</v>
      </c>
      <c r="AL95" s="146"/>
      <c r="AM95" s="146"/>
      <c r="AN95" s="146"/>
      <c r="AO95" s="146"/>
      <c r="AP95" s="146"/>
      <c r="AQ95" s="146"/>
      <c r="AR95" s="146"/>
      <c r="AS95" s="146"/>
      <c r="AT95" s="146"/>
      <c r="AU95" s="146"/>
      <c r="AV95" s="146"/>
      <c r="AW95" s="5" t="s">
        <v>157</v>
      </c>
    </row>
    <row r="96" spans="1:49" x14ac:dyDescent="0.25">
      <c r="A96" s="5" t="s">
        <v>158</v>
      </c>
      <c r="B96" s="5">
        <v>5</v>
      </c>
      <c r="C96" s="5">
        <v>39</v>
      </c>
      <c r="D96" s="5">
        <v>25</v>
      </c>
      <c r="E96" s="5">
        <v>29</v>
      </c>
      <c r="F96" s="5">
        <v>37</v>
      </c>
      <c r="G96" s="5">
        <v>31</v>
      </c>
      <c r="H96" s="5">
        <v>34</v>
      </c>
      <c r="I96" s="5">
        <v>33</v>
      </c>
      <c r="J96" s="5">
        <v>31</v>
      </c>
      <c r="K96" s="5">
        <v>15</v>
      </c>
      <c r="L96" s="5">
        <v>38</v>
      </c>
      <c r="M96" s="5">
        <f t="shared" si="129"/>
        <v>31.2</v>
      </c>
      <c r="N96" s="146">
        <f t="shared" ref="N96:W96" si="136">(C96/0.01)*10^($B$96)</f>
        <v>390000000</v>
      </c>
      <c r="O96" s="146">
        <f t="shared" si="136"/>
        <v>250000000</v>
      </c>
      <c r="P96" s="146">
        <f t="shared" si="136"/>
        <v>290000000</v>
      </c>
      <c r="Q96" s="146">
        <f t="shared" si="136"/>
        <v>370000000</v>
      </c>
      <c r="R96" s="146">
        <f t="shared" si="136"/>
        <v>310000000</v>
      </c>
      <c r="S96" s="146">
        <f t="shared" si="136"/>
        <v>340000000</v>
      </c>
      <c r="T96" s="146">
        <f t="shared" si="136"/>
        <v>330000000</v>
      </c>
      <c r="U96" s="146">
        <f t="shared" si="136"/>
        <v>310000000</v>
      </c>
      <c r="V96" s="146">
        <f t="shared" si="136"/>
        <v>150000000</v>
      </c>
      <c r="W96" s="146">
        <f t="shared" si="136"/>
        <v>380000000</v>
      </c>
      <c r="X96" s="146">
        <f t="shared" si="131"/>
        <v>312000000</v>
      </c>
      <c r="Y96" s="5" t="s">
        <v>158</v>
      </c>
      <c r="Z96" s="5">
        <v>6</v>
      </c>
      <c r="AA96" s="5">
        <v>3</v>
      </c>
      <c r="AB96" s="5">
        <v>2</v>
      </c>
      <c r="AC96" s="5">
        <v>0</v>
      </c>
      <c r="AD96" s="5">
        <v>3</v>
      </c>
      <c r="AE96" s="5">
        <v>3</v>
      </c>
      <c r="AF96" s="5">
        <v>4</v>
      </c>
      <c r="AG96" s="5">
        <v>1</v>
      </c>
      <c r="AH96" s="5">
        <v>3</v>
      </c>
      <c r="AI96" s="5">
        <v>6</v>
      </c>
      <c r="AJ96" s="5">
        <v>3</v>
      </c>
      <c r="AK96" s="5">
        <f t="shared" si="114"/>
        <v>2.8</v>
      </c>
      <c r="AL96" s="146">
        <f t="shared" ref="AL96:AU96" si="137">(AA96/0.01)*10^($Z$96)</f>
        <v>300000000</v>
      </c>
      <c r="AM96" s="146">
        <f t="shared" si="137"/>
        <v>200000000</v>
      </c>
      <c r="AN96" s="146">
        <f t="shared" si="137"/>
        <v>0</v>
      </c>
      <c r="AO96" s="146">
        <f t="shared" si="137"/>
        <v>300000000</v>
      </c>
      <c r="AP96" s="146">
        <f t="shared" si="137"/>
        <v>300000000</v>
      </c>
      <c r="AQ96" s="146">
        <f t="shared" si="137"/>
        <v>400000000</v>
      </c>
      <c r="AR96" s="146">
        <f t="shared" si="137"/>
        <v>100000000</v>
      </c>
      <c r="AS96" s="146">
        <f t="shared" si="137"/>
        <v>300000000</v>
      </c>
      <c r="AT96" s="146">
        <f t="shared" si="137"/>
        <v>600000000</v>
      </c>
      <c r="AU96" s="146">
        <f t="shared" si="137"/>
        <v>300000000</v>
      </c>
      <c r="AV96" s="146">
        <f>AVERAGE(AL96:AU96)</f>
        <v>280000000</v>
      </c>
      <c r="AW96" s="5" t="s">
        <v>158</v>
      </c>
    </row>
    <row r="97" spans="1:49" x14ac:dyDescent="0.25">
      <c r="A97" s="5" t="s">
        <v>159</v>
      </c>
      <c r="B97" s="5">
        <v>5</v>
      </c>
      <c r="C97" s="5">
        <v>36</v>
      </c>
      <c r="D97" s="5">
        <v>27</v>
      </c>
      <c r="E97" s="5">
        <v>28</v>
      </c>
      <c r="F97" s="5">
        <v>33</v>
      </c>
      <c r="G97" s="5">
        <v>24</v>
      </c>
      <c r="H97" s="5">
        <v>40</v>
      </c>
      <c r="I97" s="5">
        <v>24</v>
      </c>
      <c r="J97" s="5">
        <v>28</v>
      </c>
      <c r="K97" s="5">
        <v>45</v>
      </c>
      <c r="L97" s="5">
        <v>27</v>
      </c>
      <c r="M97" s="5">
        <f t="shared" si="129"/>
        <v>31.2</v>
      </c>
      <c r="N97" s="146">
        <f t="shared" ref="N97:W97" si="138">(C97/0.01)*10^($B$97)</f>
        <v>360000000</v>
      </c>
      <c r="O97" s="146">
        <f t="shared" si="138"/>
        <v>270000000</v>
      </c>
      <c r="P97" s="146">
        <f t="shared" si="138"/>
        <v>280000000</v>
      </c>
      <c r="Q97" s="146">
        <f t="shared" si="138"/>
        <v>330000000</v>
      </c>
      <c r="R97" s="146">
        <f t="shared" si="138"/>
        <v>240000000</v>
      </c>
      <c r="S97" s="146">
        <f t="shared" si="138"/>
        <v>400000000</v>
      </c>
      <c r="T97" s="146">
        <f t="shared" si="138"/>
        <v>240000000</v>
      </c>
      <c r="U97" s="146">
        <f t="shared" si="138"/>
        <v>280000000</v>
      </c>
      <c r="V97" s="146">
        <f t="shared" si="138"/>
        <v>450000000</v>
      </c>
      <c r="W97" s="146">
        <f t="shared" si="138"/>
        <v>270000000</v>
      </c>
      <c r="X97" s="146">
        <f t="shared" si="131"/>
        <v>312000000</v>
      </c>
      <c r="Y97" s="5" t="s">
        <v>159</v>
      </c>
      <c r="Z97" s="5">
        <v>6</v>
      </c>
      <c r="AA97" s="5">
        <v>4</v>
      </c>
      <c r="AB97" s="5">
        <v>2</v>
      </c>
      <c r="AC97" s="5">
        <v>4</v>
      </c>
      <c r="AD97" s="5">
        <v>6</v>
      </c>
      <c r="AE97" s="5">
        <v>2</v>
      </c>
      <c r="AF97" s="5">
        <v>1</v>
      </c>
      <c r="AG97" s="5">
        <v>1</v>
      </c>
      <c r="AH97" s="5">
        <v>4</v>
      </c>
      <c r="AI97" s="5">
        <v>6</v>
      </c>
      <c r="AJ97" s="5">
        <v>5</v>
      </c>
      <c r="AK97" s="5">
        <f>AVERAGE(AA97:AJ97)</f>
        <v>3.5</v>
      </c>
      <c r="AL97" s="146">
        <f t="shared" ref="AL97:AU97" si="139">(AA97/0.01)*10^($Z$97)</f>
        <v>400000000</v>
      </c>
      <c r="AM97" s="146">
        <f t="shared" si="139"/>
        <v>200000000</v>
      </c>
      <c r="AN97" s="146">
        <f t="shared" si="139"/>
        <v>400000000</v>
      </c>
      <c r="AO97" s="146">
        <f t="shared" si="139"/>
        <v>600000000</v>
      </c>
      <c r="AP97" s="146">
        <f t="shared" si="139"/>
        <v>200000000</v>
      </c>
      <c r="AQ97" s="146">
        <f t="shared" si="139"/>
        <v>100000000</v>
      </c>
      <c r="AR97" s="146">
        <f t="shared" si="139"/>
        <v>100000000</v>
      </c>
      <c r="AS97" s="146">
        <f t="shared" si="139"/>
        <v>400000000</v>
      </c>
      <c r="AT97" s="146">
        <f t="shared" si="139"/>
        <v>600000000</v>
      </c>
      <c r="AU97" s="146">
        <f t="shared" si="139"/>
        <v>500000000</v>
      </c>
      <c r="AV97" s="146">
        <f>AVERAGE(AL97:AU97)</f>
        <v>350000000</v>
      </c>
      <c r="AW97" s="5" t="s">
        <v>159</v>
      </c>
    </row>
    <row r="100" spans="1:49" x14ac:dyDescent="0.25">
      <c r="G100" s="222"/>
    </row>
    <row r="101" spans="1:49" x14ac:dyDescent="0.25">
      <c r="C101" s="146"/>
      <c r="D101" s="146"/>
      <c r="E101" s="146"/>
      <c r="F101" s="146"/>
      <c r="G101" s="146"/>
      <c r="I101" s="55"/>
      <c r="J101" s="55"/>
    </row>
    <row r="102" spans="1:49" x14ac:dyDescent="0.25">
      <c r="C102" s="146"/>
      <c r="D102" s="146"/>
      <c r="E102" s="146"/>
      <c r="F102" s="146"/>
      <c r="G102" s="146"/>
      <c r="I102" s="55"/>
      <c r="J102" s="55"/>
    </row>
    <row r="103" spans="1:49" x14ac:dyDescent="0.25">
      <c r="C103" s="146"/>
      <c r="D103" s="146"/>
      <c r="E103" s="146"/>
      <c r="F103" s="146"/>
      <c r="G103" s="146"/>
      <c r="I103" s="55"/>
      <c r="J103" s="55"/>
    </row>
    <row r="104" spans="1:49" x14ac:dyDescent="0.25">
      <c r="C104" s="146"/>
      <c r="D104" s="146"/>
      <c r="E104" s="146"/>
      <c r="F104" s="146"/>
      <c r="G104" s="146"/>
      <c r="I104" s="55"/>
      <c r="J104" s="55"/>
    </row>
    <row r="105" spans="1:49" x14ac:dyDescent="0.25">
      <c r="C105" s="146"/>
      <c r="D105" s="146"/>
      <c r="E105" s="146"/>
      <c r="F105" s="146"/>
      <c r="G105" s="146"/>
      <c r="I105" s="55"/>
      <c r="J105" s="55"/>
    </row>
    <row r="106" spans="1:49" x14ac:dyDescent="0.25">
      <c r="C106" s="146"/>
      <c r="D106" s="146"/>
      <c r="E106" s="146"/>
      <c r="F106" s="146"/>
      <c r="G106" s="146"/>
      <c r="I106" s="55"/>
      <c r="J106" s="55"/>
    </row>
    <row r="107" spans="1:49" x14ac:dyDescent="0.25">
      <c r="C107" s="146"/>
      <c r="D107" s="146"/>
      <c r="E107" s="146"/>
      <c r="F107" s="146"/>
      <c r="G107" s="146"/>
      <c r="I107" s="55"/>
      <c r="J107" s="55"/>
    </row>
    <row r="108" spans="1:49" x14ac:dyDescent="0.25">
      <c r="C108" s="146"/>
      <c r="D108" s="146"/>
      <c r="E108" s="146"/>
      <c r="F108" s="146"/>
      <c r="G108" s="146"/>
      <c r="I108" s="55"/>
      <c r="J108" s="55"/>
    </row>
    <row r="109" spans="1:49" x14ac:dyDescent="0.25">
      <c r="C109" s="146"/>
      <c r="D109" s="146"/>
      <c r="E109" s="146"/>
      <c r="F109" s="146"/>
      <c r="G109" s="146"/>
      <c r="I109" s="55"/>
      <c r="J109" s="55"/>
    </row>
    <row r="110" spans="1:49" x14ac:dyDescent="0.25">
      <c r="C110" s="146"/>
      <c r="D110" s="146"/>
      <c r="E110" s="146"/>
      <c r="F110" s="146"/>
      <c r="G110" s="146"/>
      <c r="I110" s="55"/>
      <c r="J110" s="55"/>
    </row>
    <row r="111" spans="1:49" x14ac:dyDescent="0.25">
      <c r="C111" s="146"/>
      <c r="D111" s="146"/>
      <c r="E111" s="146"/>
      <c r="F111" s="146"/>
      <c r="G111" s="146"/>
      <c r="I111" s="55"/>
      <c r="J111" s="55"/>
    </row>
    <row r="112" spans="1:49" x14ac:dyDescent="0.25">
      <c r="C112" s="146"/>
      <c r="D112" s="146"/>
      <c r="E112" s="146"/>
      <c r="F112" s="146"/>
      <c r="G112" s="146"/>
      <c r="I112" s="55"/>
      <c r="J112" s="55"/>
    </row>
    <row r="113" spans="3:10" x14ac:dyDescent="0.25">
      <c r="C113" s="146"/>
      <c r="D113" s="146"/>
      <c r="E113" s="146"/>
      <c r="F113" s="146"/>
      <c r="G113" s="146"/>
      <c r="I113" s="55"/>
      <c r="J113" s="55"/>
    </row>
    <row r="114" spans="3:10" x14ac:dyDescent="0.25">
      <c r="C114" s="146"/>
      <c r="D114" s="146"/>
      <c r="E114" s="146"/>
      <c r="F114" s="146"/>
      <c r="G114" s="146"/>
      <c r="I114" s="55"/>
      <c r="J114" s="55"/>
    </row>
    <row r="115" spans="3:10" x14ac:dyDescent="0.25">
      <c r="C115" s="146"/>
      <c r="D115" s="146"/>
      <c r="E115" s="146"/>
      <c r="F115" s="146"/>
      <c r="G115" s="146"/>
      <c r="I115" s="55"/>
      <c r="J115" s="55"/>
    </row>
    <row r="116" spans="3:10" x14ac:dyDescent="0.25">
      <c r="C116" s="146"/>
      <c r="D116" s="146"/>
      <c r="E116" s="146"/>
      <c r="F116" s="146"/>
      <c r="G116" s="146"/>
      <c r="I116" s="55"/>
      <c r="J116" s="55"/>
    </row>
    <row r="117" spans="3:10" x14ac:dyDescent="0.25">
      <c r="C117" s="146"/>
      <c r="D117" s="146"/>
      <c r="E117" s="146"/>
      <c r="F117" s="146"/>
      <c r="G117" s="146"/>
      <c r="I117" s="55"/>
      <c r="J117" s="55"/>
    </row>
    <row r="118" spans="3:10" x14ac:dyDescent="0.25">
      <c r="C118" s="146"/>
      <c r="D118" s="146"/>
      <c r="E118" s="146"/>
      <c r="F118" s="146"/>
      <c r="G118" s="146"/>
      <c r="I118" s="55"/>
      <c r="J118" s="55"/>
    </row>
  </sheetData>
  <mergeCells count="15">
    <mergeCell ref="AG4:AL4"/>
    <mergeCell ref="E4:J4"/>
    <mergeCell ref="K4:O4"/>
    <mergeCell ref="P4:U4"/>
    <mergeCell ref="V4:AA4"/>
    <mergeCell ref="AB4:AF4"/>
    <mergeCell ref="BS4:BW4"/>
    <mergeCell ref="BX4:CB4"/>
    <mergeCell ref="CC4:CG4"/>
    <mergeCell ref="AM4:AQ4"/>
    <mergeCell ref="AR4:AW4"/>
    <mergeCell ref="AX4:BB4"/>
    <mergeCell ref="BD4:BH4"/>
    <mergeCell ref="BI4:BM4"/>
    <mergeCell ref="BN4:BR4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099E8-C9E9-4C4A-99B6-786A70B82977}">
  <dimension ref="A1:DV105"/>
  <sheetViews>
    <sheetView zoomScaleNormal="100" workbookViewId="0"/>
  </sheetViews>
  <sheetFormatPr defaultColWidth="9.140625" defaultRowHeight="15" x14ac:dyDescent="0.25"/>
  <cols>
    <col min="1" max="1" width="9.140625" style="155"/>
    <col min="2" max="2" width="16.28515625" style="155" customWidth="1"/>
    <col min="3" max="3" width="9.28515625" style="155" customWidth="1"/>
    <col min="4" max="4" width="9.85546875" style="155" customWidth="1"/>
    <col min="5" max="7" width="10" style="155" customWidth="1"/>
    <col min="8" max="23" width="9.140625" style="155"/>
    <col min="24" max="24" width="10" style="155" bestFit="1" customWidth="1"/>
    <col min="25" max="69" width="9.140625" style="155"/>
    <col min="70" max="70" width="10" style="155" bestFit="1" customWidth="1"/>
    <col min="71" max="79" width="9.140625" style="155"/>
    <col min="80" max="80" width="10" style="155" bestFit="1" customWidth="1"/>
    <col min="81" max="111" width="9.140625" style="155"/>
    <col min="112" max="112" width="12" style="155" bestFit="1" customWidth="1"/>
    <col min="113" max="113" width="9.140625" style="155"/>
    <col min="114" max="114" width="12" style="155" bestFit="1" customWidth="1"/>
    <col min="115" max="116" width="11" style="155" bestFit="1" customWidth="1"/>
    <col min="117" max="16384" width="9.140625" style="155"/>
  </cols>
  <sheetData>
    <row r="1" spans="1:126" x14ac:dyDescent="0.25">
      <c r="A1" s="8" t="s">
        <v>160</v>
      </c>
      <c r="E1" s="155">
        <v>20170708</v>
      </c>
      <c r="AG1" s="155" t="s">
        <v>161</v>
      </c>
    </row>
    <row r="2" spans="1:126" x14ac:dyDescent="0.25">
      <c r="A2" s="9" t="s">
        <v>82</v>
      </c>
      <c r="CH2" s="5" t="s">
        <v>120</v>
      </c>
    </row>
    <row r="3" spans="1:126" x14ac:dyDescent="0.25">
      <c r="A3" s="9" t="s">
        <v>162</v>
      </c>
      <c r="CH3" s="155" t="s">
        <v>122</v>
      </c>
      <c r="CI3" s="155">
        <f>SLOPE(Y6:Y16,C6:C16)</f>
        <v>4.0822725228937595E-2</v>
      </c>
    </row>
    <row r="4" spans="1:126" x14ac:dyDescent="0.25">
      <c r="D4" s="223"/>
      <c r="E4" s="382" t="s">
        <v>12</v>
      </c>
      <c r="F4" s="383"/>
      <c r="G4" s="383"/>
      <c r="H4" s="383"/>
      <c r="I4" s="383"/>
      <c r="J4" s="384"/>
      <c r="K4" s="382" t="s">
        <v>123</v>
      </c>
      <c r="L4" s="383"/>
      <c r="M4" s="383"/>
      <c r="N4" s="383"/>
      <c r="O4" s="384"/>
      <c r="P4" s="382" t="s">
        <v>5</v>
      </c>
      <c r="Q4" s="383"/>
      <c r="R4" s="383"/>
      <c r="S4" s="383"/>
      <c r="T4" s="383"/>
      <c r="U4" s="384"/>
      <c r="V4" s="382" t="s">
        <v>124</v>
      </c>
      <c r="W4" s="383"/>
      <c r="X4" s="383"/>
      <c r="Y4" s="383"/>
      <c r="Z4" s="383"/>
      <c r="AA4" s="384"/>
      <c r="AB4" s="382" t="s">
        <v>125</v>
      </c>
      <c r="AC4" s="383"/>
      <c r="AD4" s="383"/>
      <c r="AE4" s="383"/>
      <c r="AF4" s="384"/>
      <c r="AG4" s="382" t="s">
        <v>126</v>
      </c>
      <c r="AH4" s="383"/>
      <c r="AI4" s="383"/>
      <c r="AJ4" s="383"/>
      <c r="AK4" s="383"/>
      <c r="AL4" s="384"/>
      <c r="AM4" s="382" t="s">
        <v>127</v>
      </c>
      <c r="AN4" s="383"/>
      <c r="AO4" s="383"/>
      <c r="AP4" s="383"/>
      <c r="AQ4" s="384"/>
      <c r="AR4" s="382" t="s">
        <v>128</v>
      </c>
      <c r="AS4" s="383"/>
      <c r="AT4" s="383"/>
      <c r="AU4" s="383"/>
      <c r="AV4" s="383"/>
      <c r="AW4" s="384"/>
      <c r="AX4" s="382" t="s">
        <v>129</v>
      </c>
      <c r="AY4" s="383"/>
      <c r="AZ4" s="383"/>
      <c r="BA4" s="383"/>
      <c r="BB4" s="384"/>
      <c r="BD4" s="382" t="s">
        <v>83</v>
      </c>
      <c r="BE4" s="383"/>
      <c r="BF4" s="383"/>
      <c r="BG4" s="383"/>
      <c r="BH4" s="384"/>
      <c r="BI4" s="382" t="s">
        <v>130</v>
      </c>
      <c r="BJ4" s="383"/>
      <c r="BK4" s="383"/>
      <c r="BL4" s="383"/>
      <c r="BM4" s="384"/>
      <c r="BN4" s="382" t="s">
        <v>84</v>
      </c>
      <c r="BO4" s="383"/>
      <c r="BP4" s="383"/>
      <c r="BQ4" s="383"/>
      <c r="BR4" s="384"/>
      <c r="BS4" s="383" t="s">
        <v>131</v>
      </c>
      <c r="BT4" s="383"/>
      <c r="BU4" s="383"/>
      <c r="BV4" s="383"/>
      <c r="BW4" s="384"/>
      <c r="BX4" s="382" t="s">
        <v>132</v>
      </c>
      <c r="BY4" s="383"/>
      <c r="BZ4" s="383"/>
      <c r="CA4" s="383"/>
      <c r="CB4" s="384"/>
      <c r="CC4" s="383" t="s">
        <v>133</v>
      </c>
      <c r="CD4" s="383"/>
      <c r="CE4" s="383"/>
      <c r="CF4" s="383"/>
      <c r="CG4" s="384"/>
      <c r="CH4" s="155" t="s">
        <v>134</v>
      </c>
      <c r="CI4" s="155">
        <f>INTERCEPT(Y6:Y16,C6:C16)</f>
        <v>26.937753957798531</v>
      </c>
      <c r="CW4" s="155" t="s">
        <v>127</v>
      </c>
      <c r="DB4" s="155" t="s">
        <v>5</v>
      </c>
      <c r="DH4" s="157" t="s">
        <v>135</v>
      </c>
      <c r="DM4" s="155" t="s">
        <v>129</v>
      </c>
      <c r="DR4" s="157" t="s">
        <v>136</v>
      </c>
    </row>
    <row r="5" spans="1:126" x14ac:dyDescent="0.25">
      <c r="B5" s="9" t="s">
        <v>15</v>
      </c>
      <c r="C5" s="11" t="s">
        <v>16</v>
      </c>
      <c r="D5" s="224" t="s">
        <v>137</v>
      </c>
      <c r="E5" s="12">
        <v>1</v>
      </c>
      <c r="F5" s="13">
        <v>2</v>
      </c>
      <c r="G5" s="13">
        <v>3</v>
      </c>
      <c r="H5" s="13" t="s">
        <v>4</v>
      </c>
      <c r="I5" s="14" t="s">
        <v>17</v>
      </c>
      <c r="J5" s="15" t="s">
        <v>18</v>
      </c>
      <c r="K5" s="12">
        <v>1</v>
      </c>
      <c r="L5" s="13">
        <v>2</v>
      </c>
      <c r="M5" s="13">
        <v>3</v>
      </c>
      <c r="N5" s="14" t="s">
        <v>17</v>
      </c>
      <c r="O5" s="15" t="s">
        <v>18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5" t="s">
        <v>18</v>
      </c>
      <c r="V5" s="12">
        <v>1</v>
      </c>
      <c r="W5" s="13">
        <v>2</v>
      </c>
      <c r="X5" s="13">
        <v>3</v>
      </c>
      <c r="Y5" s="13" t="s">
        <v>4</v>
      </c>
      <c r="Z5" s="14" t="s">
        <v>17</v>
      </c>
      <c r="AA5" s="15" t="s">
        <v>18</v>
      </c>
      <c r="AB5" s="12">
        <v>1</v>
      </c>
      <c r="AC5" s="13">
        <v>2</v>
      </c>
      <c r="AD5" s="13">
        <v>3</v>
      </c>
      <c r="AE5" s="14" t="s">
        <v>17</v>
      </c>
      <c r="AF5" s="15" t="s">
        <v>18</v>
      </c>
      <c r="AG5" s="12">
        <v>1</v>
      </c>
      <c r="AH5" s="13">
        <v>2</v>
      </c>
      <c r="AI5" s="13">
        <v>3</v>
      </c>
      <c r="AJ5" s="13" t="s">
        <v>4</v>
      </c>
      <c r="AK5" s="14" t="s">
        <v>17</v>
      </c>
      <c r="AL5" s="15" t="s">
        <v>18</v>
      </c>
      <c r="AM5" s="193">
        <v>1</v>
      </c>
      <c r="AN5" s="194">
        <v>2</v>
      </c>
      <c r="AO5" s="194">
        <v>3</v>
      </c>
      <c r="AP5" s="195" t="s">
        <v>17</v>
      </c>
      <c r="AQ5" s="196" t="s">
        <v>18</v>
      </c>
      <c r="AR5" s="193">
        <v>1</v>
      </c>
      <c r="AS5" s="194">
        <v>2</v>
      </c>
      <c r="AT5" s="194">
        <v>3</v>
      </c>
      <c r="AU5" s="194" t="s">
        <v>4</v>
      </c>
      <c r="AV5" s="195" t="s">
        <v>17</v>
      </c>
      <c r="AW5" s="196" t="s">
        <v>18</v>
      </c>
      <c r="AX5" s="12">
        <v>1</v>
      </c>
      <c r="AY5" s="13">
        <v>2</v>
      </c>
      <c r="AZ5" s="13">
        <v>3</v>
      </c>
      <c r="BA5" s="14" t="s">
        <v>17</v>
      </c>
      <c r="BB5" s="15" t="s">
        <v>18</v>
      </c>
      <c r="BC5" s="225"/>
      <c r="BD5" s="12">
        <v>1</v>
      </c>
      <c r="BE5" s="13">
        <v>2</v>
      </c>
      <c r="BF5" s="13">
        <v>3</v>
      </c>
      <c r="BG5" s="14" t="s">
        <v>17</v>
      </c>
      <c r="BH5" s="15" t="s">
        <v>18</v>
      </c>
      <c r="BI5" s="12">
        <v>1</v>
      </c>
      <c r="BJ5" s="13">
        <v>2</v>
      </c>
      <c r="BK5" s="13">
        <v>3</v>
      </c>
      <c r="BL5" s="14" t="s">
        <v>17</v>
      </c>
      <c r="BM5" s="15" t="s">
        <v>18</v>
      </c>
      <c r="BN5" s="12">
        <v>1</v>
      </c>
      <c r="BO5" s="13">
        <v>2</v>
      </c>
      <c r="BP5" s="13">
        <v>3</v>
      </c>
      <c r="BQ5" s="14" t="s">
        <v>17</v>
      </c>
      <c r="BR5" s="15" t="s">
        <v>18</v>
      </c>
      <c r="BS5" s="12">
        <v>1</v>
      </c>
      <c r="BT5" s="13">
        <v>2</v>
      </c>
      <c r="BU5" s="13">
        <v>3</v>
      </c>
      <c r="BV5" s="14" t="s">
        <v>17</v>
      </c>
      <c r="BW5" s="15" t="s">
        <v>18</v>
      </c>
      <c r="BX5" s="12">
        <v>1</v>
      </c>
      <c r="BY5" s="13">
        <v>2</v>
      </c>
      <c r="BZ5" s="13">
        <v>3</v>
      </c>
      <c r="CA5" s="14" t="s">
        <v>17</v>
      </c>
      <c r="CB5" s="15" t="s">
        <v>18</v>
      </c>
      <c r="CC5" s="13">
        <v>1</v>
      </c>
      <c r="CD5" s="13">
        <v>2</v>
      </c>
      <c r="CE5" s="13">
        <v>3</v>
      </c>
      <c r="CF5" s="14" t="s">
        <v>17</v>
      </c>
      <c r="CG5" s="15" t="s">
        <v>18</v>
      </c>
      <c r="CH5" s="155" t="s">
        <v>16</v>
      </c>
      <c r="CI5" s="155" t="s">
        <v>138</v>
      </c>
      <c r="CJ5" s="155" t="s">
        <v>139</v>
      </c>
      <c r="CK5" s="155" t="s">
        <v>140</v>
      </c>
      <c r="CL5" s="155" t="s">
        <v>141</v>
      </c>
      <c r="CW5" s="155">
        <v>1</v>
      </c>
      <c r="CX5" s="155">
        <v>2</v>
      </c>
      <c r="CY5" s="155">
        <v>3</v>
      </c>
      <c r="CZ5" s="155" t="s">
        <v>17</v>
      </c>
      <c r="DA5" s="155" t="s">
        <v>18</v>
      </c>
      <c r="DB5" s="155">
        <v>1</v>
      </c>
      <c r="DC5" s="155">
        <v>2</v>
      </c>
      <c r="DD5" s="155">
        <v>3</v>
      </c>
      <c r="DE5" s="155" t="s">
        <v>4</v>
      </c>
      <c r="DF5" s="155" t="s">
        <v>17</v>
      </c>
      <c r="DG5" s="155" t="s">
        <v>18</v>
      </c>
      <c r="DH5" s="155">
        <v>1</v>
      </c>
      <c r="DI5" s="155">
        <v>2</v>
      </c>
      <c r="DJ5" s="155">
        <v>3</v>
      </c>
      <c r="DK5" s="155" t="s">
        <v>17</v>
      </c>
      <c r="DL5" s="155" t="s">
        <v>18</v>
      </c>
      <c r="DM5" s="155">
        <v>1</v>
      </c>
      <c r="DN5" s="155">
        <v>2</v>
      </c>
      <c r="DO5" s="155">
        <v>3</v>
      </c>
      <c r="DP5" s="155" t="s">
        <v>17</v>
      </c>
      <c r="DQ5" s="155" t="s">
        <v>18</v>
      </c>
      <c r="DR5" s="155">
        <v>1</v>
      </c>
      <c r="DS5" s="155">
        <v>2</v>
      </c>
      <c r="DT5" s="155">
        <v>3</v>
      </c>
      <c r="DU5" s="155" t="s">
        <v>17</v>
      </c>
      <c r="DV5" s="155" t="s">
        <v>18</v>
      </c>
    </row>
    <row r="6" spans="1:126" x14ac:dyDescent="0.25">
      <c r="A6" s="155" t="s">
        <v>19</v>
      </c>
      <c r="B6" s="158">
        <v>42924.295138888891</v>
      </c>
      <c r="C6" s="226">
        <f t="shared" ref="C6:C16" si="0">(B6-$B$6)*24</f>
        <v>0</v>
      </c>
      <c r="D6" s="227">
        <f>CL6</f>
        <v>1</v>
      </c>
      <c r="E6" s="228">
        <v>2.1000000000000001E-2</v>
      </c>
      <c r="F6" s="229">
        <v>2.3E-2</v>
      </c>
      <c r="G6" s="229">
        <v>2.1000000000000001E-2</v>
      </c>
      <c r="H6" s="229">
        <v>-1E-3</v>
      </c>
      <c r="I6" s="200">
        <f>AVERAGE(E6:G6)</f>
        <v>2.1666666666666667E-2</v>
      </c>
      <c r="J6" s="110">
        <f>STDEV(E6:G6)</f>
        <v>1.1547005383792505E-3</v>
      </c>
      <c r="K6" s="228">
        <f t="shared" ref="K6:K16" si="1">E6*D6</f>
        <v>2.1000000000000001E-2</v>
      </c>
      <c r="L6" s="229">
        <f t="shared" ref="L6:L16" si="2">F6*D6</f>
        <v>2.3E-2</v>
      </c>
      <c r="M6" s="229">
        <f t="shared" ref="M6:M16" si="3">G6*D6</f>
        <v>2.1000000000000001E-2</v>
      </c>
      <c r="N6" s="200">
        <f>AVERAGE(K6:M6)</f>
        <v>2.1666666666666667E-2</v>
      </c>
      <c r="O6" s="110">
        <f>STDEV(K6:M6)</f>
        <v>1.1547005383792505E-3</v>
      </c>
      <c r="P6" s="230">
        <v>6.96</v>
      </c>
      <c r="Q6" s="231">
        <v>6.97</v>
      </c>
      <c r="R6" s="231">
        <v>6.97</v>
      </c>
      <c r="S6" s="231">
        <v>7</v>
      </c>
      <c r="T6" s="202">
        <f t="shared" ref="T6:T16" si="4">AVERAGE(P6:R6)</f>
        <v>6.9666666666666659</v>
      </c>
      <c r="U6" s="51">
        <f t="shared" ref="U6:U16" si="5">STDEV(P6:R6)</f>
        <v>5.7735026918961348E-3</v>
      </c>
      <c r="V6" s="230">
        <v>26.9278020127384</v>
      </c>
      <c r="W6" s="231">
        <v>28.219430498987951</v>
      </c>
      <c r="X6" s="231">
        <v>26.588491383510437</v>
      </c>
      <c r="Y6" s="231">
        <v>26.644667794629264</v>
      </c>
      <c r="Z6" s="202">
        <f>AVERAGE(V6:X6)</f>
        <v>27.245241298412264</v>
      </c>
      <c r="AA6" s="51">
        <f>STDEV(V6:X6)</f>
        <v>0.86056166232611853</v>
      </c>
      <c r="AB6" s="230">
        <f>V6*D6</f>
        <v>26.9278020127384</v>
      </c>
      <c r="AC6" s="231">
        <f>W6*D6</f>
        <v>28.219430498987951</v>
      </c>
      <c r="AD6" s="231">
        <f>X6*D6</f>
        <v>26.588491383510437</v>
      </c>
      <c r="AE6" s="202">
        <f>AVERAGE(AB6:AD6)</f>
        <v>27.245241298412264</v>
      </c>
      <c r="AF6" s="51">
        <f>STDEV(AB6:AD6)</f>
        <v>0.86056166232611853</v>
      </c>
      <c r="AG6" s="230">
        <v>9.6607461577364079E-2</v>
      </c>
      <c r="AH6" s="231">
        <v>0.10146208702698087</v>
      </c>
      <c r="AI6" s="231">
        <v>5.9528827362253067E-2</v>
      </c>
      <c r="AJ6" s="203">
        <v>0</v>
      </c>
      <c r="AK6" s="202">
        <f>AVERAGE(AG6:AI6)</f>
        <v>8.5866125322199338E-2</v>
      </c>
      <c r="AL6" s="51">
        <f>STDEV(AG6:AI6)</f>
        <v>2.2937562968573171E-2</v>
      </c>
      <c r="AM6" s="230">
        <f>AG6*D6</f>
        <v>9.6607461577364079E-2</v>
      </c>
      <c r="AN6" s="231">
        <f>AH6*D6</f>
        <v>0.10146208702698087</v>
      </c>
      <c r="AO6" s="231">
        <f>AI6*D6</f>
        <v>5.9528827362253067E-2</v>
      </c>
      <c r="AP6" s="202">
        <f>AVERAGE(AM6:AO6)</f>
        <v>8.5866125322199338E-2</v>
      </c>
      <c r="AQ6" s="51">
        <f>STDEV(AM6:AO6)</f>
        <v>2.2937562968573171E-2</v>
      </c>
      <c r="AR6" s="230">
        <v>0.2393375831561301</v>
      </c>
      <c r="AS6" s="231">
        <v>0.32213287138064522</v>
      </c>
      <c r="AT6" s="203">
        <v>0</v>
      </c>
      <c r="AU6" s="203">
        <v>0</v>
      </c>
      <c r="AV6" s="202">
        <f>AVERAGE(AR6:AT6)</f>
        <v>0.18715681817892513</v>
      </c>
      <c r="AW6" s="51">
        <f>STDEV(AR6:AT6)</f>
        <v>0.16728574619850178</v>
      </c>
      <c r="AX6" s="230">
        <f>AR6*D6</f>
        <v>0.2393375831561301</v>
      </c>
      <c r="AY6" s="231">
        <f>AS6*D6</f>
        <v>0.32213287138064522</v>
      </c>
      <c r="AZ6" s="231">
        <f>AT6*D6</f>
        <v>0</v>
      </c>
      <c r="BA6" s="202">
        <f>AVERAGE(AX6:AZ6)</f>
        <v>0.18715681817892513</v>
      </c>
      <c r="BB6" s="51">
        <f>STDEV(AX6:AZ6)</f>
        <v>0.16728574619850178</v>
      </c>
      <c r="BC6" s="155" t="s">
        <v>19</v>
      </c>
      <c r="BD6" s="232">
        <v>33400000</v>
      </c>
      <c r="BE6" s="233">
        <v>31000000</v>
      </c>
      <c r="BF6" s="233">
        <v>27000000</v>
      </c>
      <c r="BG6" s="206">
        <f>AVERAGE(BD6:BF6)</f>
        <v>30466666.666666668</v>
      </c>
      <c r="BH6" s="207">
        <f>STDEV(BD6:BF6)</f>
        <v>3233161.5074619045</v>
      </c>
      <c r="BI6" s="232">
        <f>BD6*D6</f>
        <v>33400000</v>
      </c>
      <c r="BJ6" s="233">
        <f>BE6*D6</f>
        <v>31000000</v>
      </c>
      <c r="BK6" s="233">
        <f>BF6*D6</f>
        <v>27000000</v>
      </c>
      <c r="BL6" s="206">
        <f>AVERAGE(BI6:BK6)</f>
        <v>30466666.666666668</v>
      </c>
      <c r="BM6" s="207">
        <f>STDEV(BI6:BK6)</f>
        <v>3233161.5074619045</v>
      </c>
      <c r="BN6" s="232">
        <v>3600000</v>
      </c>
      <c r="BO6" s="233">
        <v>3000000</v>
      </c>
      <c r="BP6" s="233">
        <v>4000000</v>
      </c>
      <c r="BQ6" s="206">
        <f>AVERAGE(BN6:BP6)</f>
        <v>3533333.3333333335</v>
      </c>
      <c r="BR6" s="207">
        <f>STDEV(BN6:BP6)</f>
        <v>503322.29568471533</v>
      </c>
      <c r="BS6" s="232">
        <f>BN6*D6</f>
        <v>3600000</v>
      </c>
      <c r="BT6" s="233">
        <f>BO6*D6</f>
        <v>3000000</v>
      </c>
      <c r="BU6" s="233">
        <f>BP6*D6</f>
        <v>4000000</v>
      </c>
      <c r="BV6" s="206">
        <f>AVERAGE(BS6:BU6)</f>
        <v>3533333.3333333335</v>
      </c>
      <c r="BW6" s="207">
        <f>STDEV(BS6:BU6)</f>
        <v>503322.29568471533</v>
      </c>
      <c r="BX6" s="230">
        <v>0.9027027027027027</v>
      </c>
      <c r="BY6" s="231">
        <v>0.91176470588235292</v>
      </c>
      <c r="BZ6" s="231">
        <v>0.87096774193548387</v>
      </c>
      <c r="CA6" s="202">
        <f>AVERAGE(BX6:BZ6)</f>
        <v>0.8951450501735132</v>
      </c>
      <c r="CB6" s="51">
        <f>STDEV(BX6:BZ6)</f>
        <v>2.142280678703206E-2</v>
      </c>
      <c r="CC6" s="230">
        <v>9.7297297297297303E-2</v>
      </c>
      <c r="CD6" s="231">
        <v>8.8235294117647065E-2</v>
      </c>
      <c r="CE6" s="231">
        <v>0.12903225806451613</v>
      </c>
      <c r="CF6" s="202">
        <f>AVERAGE(CC6:CE6)</f>
        <v>0.10485494982648684</v>
      </c>
      <c r="CG6" s="51">
        <f>STDEV(CC6:CE6)</f>
        <v>2.1422806787032088E-2</v>
      </c>
      <c r="CH6" s="226">
        <f t="shared" ref="CH6:CH16" si="6">C6</f>
        <v>0</v>
      </c>
      <c r="CI6" s="174">
        <f>CH6*$CI$3+$CI$4</f>
        <v>26.937753957798531</v>
      </c>
      <c r="CJ6" s="155">
        <f>CI6/$CI$6</f>
        <v>1</v>
      </c>
      <c r="CK6" s="155">
        <f>100/CJ6</f>
        <v>100</v>
      </c>
      <c r="CL6" s="155">
        <f t="shared" ref="CL6:CL16" si="7">CK6/100</f>
        <v>1</v>
      </c>
      <c r="CW6" s="155">
        <v>9.6607461577364079E-2</v>
      </c>
      <c r="CX6" s="155">
        <v>0.10146208702698087</v>
      </c>
      <c r="CY6" s="155">
        <v>5.9528827362253067E-2</v>
      </c>
      <c r="CZ6" s="155">
        <v>8.5866125322199338E-2</v>
      </c>
      <c r="DA6" s="155">
        <v>2.2937562968573171E-2</v>
      </c>
      <c r="DB6" s="155">
        <v>6.96</v>
      </c>
      <c r="DC6" s="155">
        <v>6.97</v>
      </c>
      <c r="DD6" s="155">
        <v>6.97</v>
      </c>
      <c r="DE6" s="155">
        <v>7</v>
      </c>
      <c r="DF6" s="155">
        <v>6.9666666666666659</v>
      </c>
      <c r="DG6" s="155">
        <v>5.7735026918961348E-3</v>
      </c>
      <c r="DH6" s="155">
        <f>CW6/(1+10^(DB6-3.86))</f>
        <v>7.6677127608524399E-5</v>
      </c>
      <c r="DI6" s="155">
        <f t="shared" ref="DI6:DJ16" si="8">CX6/(1+10^(DC6-3.86))</f>
        <v>7.8698562969235558E-5</v>
      </c>
      <c r="DJ6" s="155">
        <f>CY6/(1+10^(DD6-3.86))</f>
        <v>4.6173238752788827E-5</v>
      </c>
      <c r="DK6" s="155">
        <f>AVERAGE(DH6:DJ6)</f>
        <v>6.7182976443516261E-5</v>
      </c>
      <c r="DL6" s="155">
        <f>STDEV(DH6:DJ6)</f>
        <v>1.8223017274981197E-5</v>
      </c>
      <c r="DM6" s="155">
        <v>0.2393375831561301</v>
      </c>
      <c r="DN6" s="155">
        <v>0.32213287138064522</v>
      </c>
      <c r="DO6" s="155">
        <v>0</v>
      </c>
      <c r="DP6" s="155">
        <v>0.18715681817892513</v>
      </c>
      <c r="DQ6" s="155">
        <v>0.16728574619850178</v>
      </c>
      <c r="DR6" s="155">
        <f>DM6/(1+10^(DB6-4.76))</f>
        <v>1.5006496001578821E-3</v>
      </c>
      <c r="DS6" s="155">
        <f t="shared" ref="DS6:DT16" si="9">DN6/(1+10^(DC6-4.76))</f>
        <v>1.9740830866411129E-3</v>
      </c>
      <c r="DT6" s="155">
        <f t="shared" si="9"/>
        <v>0</v>
      </c>
      <c r="DU6" s="155">
        <f>AVERAGE(DR6:DT6)</f>
        <v>1.1582442289329983E-3</v>
      </c>
      <c r="DV6" s="155">
        <f>STDEV(DR6:DT6)</f>
        <v>1.0306221843737712E-3</v>
      </c>
    </row>
    <row r="7" spans="1:126" x14ac:dyDescent="0.25">
      <c r="A7" s="155" t="s">
        <v>20</v>
      </c>
      <c r="B7" s="158">
        <v>42924.488194444442</v>
      </c>
      <c r="C7" s="168">
        <f t="shared" si="0"/>
        <v>4.6333333332440816</v>
      </c>
      <c r="D7" s="234">
        <f t="shared" ref="D7:D16" si="10">CL7</f>
        <v>0.99302738983160244</v>
      </c>
      <c r="E7" s="169">
        <v>4.4999999999999998E-2</v>
      </c>
      <c r="F7" s="170">
        <v>4.5999999999999999E-2</v>
      </c>
      <c r="G7" s="170">
        <v>4.7E-2</v>
      </c>
      <c r="H7" s="170">
        <v>-1E-3</v>
      </c>
      <c r="I7" s="31">
        <f t="shared" ref="I7:I16" si="11">AVERAGE(E7:G7)</f>
        <v>4.6000000000000006E-2</v>
      </c>
      <c r="J7" s="32">
        <f t="shared" ref="J7:J16" si="12">STDEV(E7:G7)</f>
        <v>1.0000000000000009E-3</v>
      </c>
      <c r="K7" s="169">
        <f t="shared" si="1"/>
        <v>4.4686232542422107E-2</v>
      </c>
      <c r="L7" s="170">
        <f t="shared" si="2"/>
        <v>4.5679259932253712E-2</v>
      </c>
      <c r="M7" s="170">
        <f t="shared" si="3"/>
        <v>4.6672287322085317E-2</v>
      </c>
      <c r="N7" s="31">
        <f t="shared" ref="N7:N16" si="13">AVERAGE(K7:M7)</f>
        <v>4.5679259932253712E-2</v>
      </c>
      <c r="O7" s="32">
        <f t="shared" ref="O7:O16" si="14">STDEV(K7:M7)</f>
        <v>9.9302738983160499E-4</v>
      </c>
      <c r="P7" s="171">
        <v>6.5</v>
      </c>
      <c r="Q7" s="172">
        <v>6.5</v>
      </c>
      <c r="R7" s="172">
        <v>6.49</v>
      </c>
      <c r="S7" s="172">
        <v>6.98</v>
      </c>
      <c r="T7" s="35">
        <f t="shared" si="4"/>
        <v>6.496666666666667</v>
      </c>
      <c r="U7" s="36">
        <f t="shared" si="5"/>
        <v>5.7735026918961348E-3</v>
      </c>
      <c r="V7" s="171">
        <v>27.6419253611054</v>
      </c>
      <c r="W7" s="172">
        <v>27.462967991198518</v>
      </c>
      <c r="X7" s="172">
        <v>25.366374251076628</v>
      </c>
      <c r="Y7" s="172">
        <v>27.589841749951859</v>
      </c>
      <c r="Z7" s="35">
        <f t="shared" ref="Z7:Z16" si="15">AVERAGE(V7:X7)</f>
        <v>26.823755867793512</v>
      </c>
      <c r="AA7" s="36">
        <f t="shared" ref="AA7:AA16" si="16">STDEV(V7:X7)</f>
        <v>1.2652973238015019</v>
      </c>
      <c r="AB7" s="171">
        <f>V7*D7</f>
        <v>27.44918899125847</v>
      </c>
      <c r="AC7" s="172">
        <f>W7*D7</f>
        <v>27.27147942132871</v>
      </c>
      <c r="AD7" s="172">
        <f>X7*D7</f>
        <v>25.189504412038193</v>
      </c>
      <c r="AE7" s="35">
        <f t="shared" ref="AE7:AE16" si="17">AVERAGE(AB7:AD7)</f>
        <v>26.636724274875125</v>
      </c>
      <c r="AF7" s="36">
        <f t="shared" ref="AF7:AF16" si="18">STDEV(AB7:AD7)</f>
        <v>1.2564748988155174</v>
      </c>
      <c r="AG7" s="171">
        <v>1.7677504558643817</v>
      </c>
      <c r="AH7" s="172">
        <v>1.7533537761406732</v>
      </c>
      <c r="AI7" s="172">
        <v>1.6996592567740683</v>
      </c>
      <c r="AJ7" s="37">
        <v>0</v>
      </c>
      <c r="AK7" s="35">
        <f t="shared" ref="AK7:AK16" si="19">AVERAGE(AG7:AI7)</f>
        <v>1.740254496259708</v>
      </c>
      <c r="AL7" s="36">
        <f t="shared" ref="AL7:AL16" si="20">STDEV(AG7:AI7)</f>
        <v>3.588587742328557E-2</v>
      </c>
      <c r="AM7" s="171">
        <f>AG7*D7</f>
        <v>1.7554246210606324</v>
      </c>
      <c r="AN7" s="172">
        <f>AH7*D7</f>
        <v>1.7411283237723565</v>
      </c>
      <c r="AO7" s="172">
        <f>AI7*D7</f>
        <v>1.6878081953574744</v>
      </c>
      <c r="AP7" s="35">
        <f t="shared" ref="AP7:AP16" si="21">AVERAGE(AM7:AO7)</f>
        <v>1.7281203800634879</v>
      </c>
      <c r="AQ7" s="36">
        <f t="shared" ref="AQ7:AQ16" si="22">STDEV(AM7:AO7)</f>
        <v>3.5635659189462085E-2</v>
      </c>
      <c r="AR7" s="171">
        <v>0.12024064218421912</v>
      </c>
      <c r="AS7" s="172">
        <v>0</v>
      </c>
      <c r="AT7" s="37">
        <v>0</v>
      </c>
      <c r="AU7" s="37">
        <v>0</v>
      </c>
      <c r="AV7" s="35">
        <f t="shared" ref="AV7:AV16" si="23">AVERAGE(AR7:AT7)</f>
        <v>4.0080214061406376E-2</v>
      </c>
      <c r="AW7" s="36">
        <f t="shared" ref="AW7:AW16" si="24">STDEV(AR7:AT7)</f>
        <v>6.9420967132592382E-2</v>
      </c>
      <c r="AX7" s="171">
        <f t="shared" ref="AX7:AX16" si="25">AR7*D7</f>
        <v>0.11940225105987078</v>
      </c>
      <c r="AY7" s="172">
        <f t="shared" ref="AY7:AY16" si="26">AS7*D7</f>
        <v>0</v>
      </c>
      <c r="AZ7" s="172">
        <f t="shared" ref="AZ7:AZ16" si="27">AT7*D7</f>
        <v>0</v>
      </c>
      <c r="BA7" s="35">
        <f t="shared" ref="BA7:BA16" si="28">AVERAGE(AX7:AZ7)</f>
        <v>3.9800750353290261E-2</v>
      </c>
      <c r="BB7" s="36">
        <f t="shared" ref="BB7:BB16" si="29">STDEV(AX7:AZ7)</f>
        <v>6.8936921791263664E-2</v>
      </c>
      <c r="BC7" s="155" t="s">
        <v>20</v>
      </c>
      <c r="BD7" s="166"/>
      <c r="BE7" s="167"/>
      <c r="BF7" s="167"/>
      <c r="BG7" s="135"/>
      <c r="BH7" s="136"/>
      <c r="BI7" s="166"/>
      <c r="BJ7" s="167"/>
      <c r="BK7" s="167"/>
      <c r="BL7" s="135"/>
      <c r="BM7" s="136"/>
      <c r="BN7" s="166"/>
      <c r="BO7" s="167"/>
      <c r="BP7" s="167"/>
      <c r="BQ7" s="135"/>
      <c r="BR7" s="136"/>
      <c r="BS7" s="166"/>
      <c r="BT7" s="167"/>
      <c r="BU7" s="167"/>
      <c r="BV7" s="135"/>
      <c r="BW7" s="136"/>
      <c r="BX7" s="162"/>
      <c r="BY7" s="163"/>
      <c r="BZ7" s="163"/>
      <c r="CA7" s="25"/>
      <c r="CB7" s="26"/>
      <c r="CC7" s="162"/>
      <c r="CD7" s="163"/>
      <c r="CE7" s="163"/>
      <c r="CF7" s="25"/>
      <c r="CG7" s="26"/>
      <c r="CH7" s="226">
        <f t="shared" si="6"/>
        <v>4.6333333332440816</v>
      </c>
      <c r="CI7" s="174">
        <f t="shared" ref="CI7:CI16" si="30">CH7*$CI$3+$CI$4</f>
        <v>27.126899251355631</v>
      </c>
      <c r="CJ7" s="174">
        <f>CI7/$CI$6</f>
        <v>1.0070215688306241</v>
      </c>
      <c r="CK7" s="174">
        <f>100/CJ7</f>
        <v>99.302738983160239</v>
      </c>
      <c r="CL7" s="174">
        <f t="shared" si="7"/>
        <v>0.99302738983160244</v>
      </c>
      <c r="CW7" s="155">
        <v>1.7554246210606324</v>
      </c>
      <c r="CX7" s="155">
        <v>1.7411283237723565</v>
      </c>
      <c r="CY7" s="155">
        <v>1.6878081953574744</v>
      </c>
      <c r="CZ7" s="155">
        <v>1.7281203800634879</v>
      </c>
      <c r="DA7" s="155">
        <v>3.5635659189462085E-2</v>
      </c>
      <c r="DB7" s="155">
        <v>6.5</v>
      </c>
      <c r="DC7" s="155">
        <v>6.5</v>
      </c>
      <c r="DD7" s="155">
        <v>6.49</v>
      </c>
      <c r="DE7" s="155">
        <v>6.98</v>
      </c>
      <c r="DF7" s="155">
        <v>6.496666666666667</v>
      </c>
      <c r="DG7" s="155">
        <v>5.7735026918961348E-3</v>
      </c>
      <c r="DH7" s="155">
        <f t="shared" ref="DH7:DH16" si="31">CW7/(1+10^(DB7-3.86))</f>
        <v>4.0122539384975318E-3</v>
      </c>
      <c r="DI7" s="155">
        <f t="shared" si="8"/>
        <v>3.9795778700337323E-3</v>
      </c>
      <c r="DJ7" s="155">
        <f t="shared" si="8"/>
        <v>3.9473551027140201E-3</v>
      </c>
      <c r="DK7" s="155">
        <f t="shared" ref="DK7:DK16" si="32">AVERAGE(DH7:DJ7)</f>
        <v>3.9797289704150947E-3</v>
      </c>
      <c r="DL7" s="155">
        <f t="shared" ref="DL7:DL16" si="33">STDEV(DH7:DJ7)</f>
        <v>3.2449681739698786E-5</v>
      </c>
      <c r="DM7" s="155">
        <v>0.11940225105987078</v>
      </c>
      <c r="DN7" s="155">
        <v>0</v>
      </c>
      <c r="DO7" s="155">
        <v>0</v>
      </c>
      <c r="DP7" s="155">
        <v>3.9800750353290261E-2</v>
      </c>
      <c r="DQ7" s="155">
        <v>6.8936921791263664E-2</v>
      </c>
      <c r="DR7" s="155">
        <f t="shared" ref="DR7:DR16" si="34">DM7/(1+10^(DB7-4.76))</f>
        <v>2.1339325979294337E-3</v>
      </c>
      <c r="DS7" s="155">
        <f t="shared" si="9"/>
        <v>0</v>
      </c>
      <c r="DT7" s="155">
        <f t="shared" si="9"/>
        <v>0</v>
      </c>
      <c r="DU7" s="155">
        <f t="shared" ref="DU7:DU16" si="35">AVERAGE(DR7:DT7)</f>
        <v>7.1131086597647785E-4</v>
      </c>
      <c r="DV7" s="155">
        <f t="shared" ref="DV7:DV16" si="36">STDEV(DR7:DT7)</f>
        <v>1.232026559847076E-3</v>
      </c>
    </row>
    <row r="8" spans="1:126" x14ac:dyDescent="0.25">
      <c r="A8" s="155" t="s">
        <v>22</v>
      </c>
      <c r="B8" s="158">
        <v>42924.74722222222</v>
      </c>
      <c r="C8" s="168">
        <f t="shared" si="0"/>
        <v>10.849999999918509</v>
      </c>
      <c r="D8" s="234">
        <f t="shared" si="10"/>
        <v>0.98382339079185799</v>
      </c>
      <c r="E8" s="169">
        <v>8.1000000000000003E-2</v>
      </c>
      <c r="F8" s="170">
        <v>8.5999999999999993E-2</v>
      </c>
      <c r="G8" s="170">
        <v>8.6999999999999994E-2</v>
      </c>
      <c r="H8" s="170">
        <v>-2E-3</v>
      </c>
      <c r="I8" s="31">
        <f t="shared" si="11"/>
        <v>8.4666666666666668E-2</v>
      </c>
      <c r="J8" s="32">
        <f t="shared" si="12"/>
        <v>3.2145502536643131E-3</v>
      </c>
      <c r="K8" s="169">
        <f t="shared" si="1"/>
        <v>7.9689694654140497E-2</v>
      </c>
      <c r="L8" s="170">
        <f t="shared" si="2"/>
        <v>8.4608811608099785E-2</v>
      </c>
      <c r="M8" s="170">
        <f t="shared" si="3"/>
        <v>8.5592634998891637E-2</v>
      </c>
      <c r="N8" s="31">
        <f t="shared" si="13"/>
        <v>8.3297047087043982E-2</v>
      </c>
      <c r="O8" s="32">
        <f t="shared" si="14"/>
        <v>3.1625497304308531E-3</v>
      </c>
      <c r="P8" s="171">
        <v>4.66</v>
      </c>
      <c r="Q8" s="172">
        <v>4.66</v>
      </c>
      <c r="R8" s="172">
        <v>4.67</v>
      </c>
      <c r="S8" s="172">
        <v>6.96</v>
      </c>
      <c r="T8" s="35">
        <f t="shared" si="4"/>
        <v>4.6633333333333331</v>
      </c>
      <c r="U8" s="36">
        <f t="shared" si="5"/>
        <v>5.7735026918961348E-3</v>
      </c>
      <c r="V8" s="171">
        <v>26.448904241156136</v>
      </c>
      <c r="W8" s="172">
        <v>26.107287469128735</v>
      </c>
      <c r="X8" s="172">
        <v>24.34264135230675</v>
      </c>
      <c r="Y8" s="172">
        <v>27.64613820552718</v>
      </c>
      <c r="Z8" s="35">
        <f t="shared" si="15"/>
        <v>25.632944354197207</v>
      </c>
      <c r="AA8" s="36">
        <f t="shared" si="16"/>
        <v>1.1304144736547959</v>
      </c>
      <c r="AB8" s="171">
        <f>V8*D8</f>
        <v>26.021050653263384</v>
      </c>
      <c r="AC8" s="172">
        <f>W8*D8</f>
        <v>25.684960082256016</v>
      </c>
      <c r="AD8" s="172">
        <f>X8*D8</f>
        <v>23.948859956056527</v>
      </c>
      <c r="AE8" s="35">
        <f t="shared" si="17"/>
        <v>25.218290230525309</v>
      </c>
      <c r="AF8" s="36">
        <f t="shared" si="18"/>
        <v>1.1121282004712538</v>
      </c>
      <c r="AG8" s="171">
        <v>4.546017950662101</v>
      </c>
      <c r="AH8" s="172">
        <v>4.4961105565095947</v>
      </c>
      <c r="AI8" s="172">
        <v>4.2786169558621383</v>
      </c>
      <c r="AJ8" s="37">
        <v>0</v>
      </c>
      <c r="AK8" s="35">
        <f t="shared" si="19"/>
        <v>4.4402484876779447</v>
      </c>
      <c r="AL8" s="36">
        <f t="shared" si="20"/>
        <v>0.14218386355566665</v>
      </c>
      <c r="AM8" s="171">
        <f>AG8*D8</f>
        <v>4.4724787948210416</v>
      </c>
      <c r="AN8" s="172">
        <f>AH8*D8</f>
        <v>4.4233787330803374</v>
      </c>
      <c r="AO8" s="172">
        <f>AI8*D8</f>
        <v>4.2094034414158266</v>
      </c>
      <c r="AP8" s="35">
        <f t="shared" si="21"/>
        <v>4.3684203231057355</v>
      </c>
      <c r="AQ8" s="36">
        <f t="shared" si="22"/>
        <v>0.13988381075922274</v>
      </c>
      <c r="AR8" s="171">
        <v>0</v>
      </c>
      <c r="AS8" s="172">
        <v>0.19059365886133472</v>
      </c>
      <c r="AT8" s="37">
        <v>0</v>
      </c>
      <c r="AU8" s="37">
        <v>0</v>
      </c>
      <c r="AV8" s="35">
        <f t="shared" si="23"/>
        <v>6.3531219620444904E-2</v>
      </c>
      <c r="AW8" s="36">
        <f t="shared" si="24"/>
        <v>0.1100393002494273</v>
      </c>
      <c r="AX8" s="171">
        <f t="shared" si="25"/>
        <v>0</v>
      </c>
      <c r="AY8" s="172">
        <f t="shared" si="26"/>
        <v>0.18751049972438499</v>
      </c>
      <c r="AZ8" s="172">
        <f t="shared" si="27"/>
        <v>0</v>
      </c>
      <c r="BA8" s="35">
        <f t="shared" si="28"/>
        <v>6.2503499908128327E-2</v>
      </c>
      <c r="BB8" s="36">
        <f t="shared" si="29"/>
        <v>0.10825923749175492</v>
      </c>
      <c r="BC8" s="155" t="s">
        <v>22</v>
      </c>
      <c r="BD8" s="166">
        <v>75800000</v>
      </c>
      <c r="BE8" s="167">
        <v>88000000</v>
      </c>
      <c r="BF8" s="167">
        <v>80400000</v>
      </c>
      <c r="BG8" s="135">
        <f t="shared" ref="BG8:BG15" si="37">AVERAGE(BD8:BF8)</f>
        <v>81400000</v>
      </c>
      <c r="BH8" s="136">
        <f t="shared" ref="BH8:BH15" si="38">STDEV(BD8:BF8)</f>
        <v>6161168.720299745</v>
      </c>
      <c r="BI8" s="166">
        <f t="shared" ref="BI8:BI15" si="39">BD8*D8</f>
        <v>74573813.022022828</v>
      </c>
      <c r="BJ8" s="167">
        <f t="shared" ref="BJ8:BJ15" si="40">BE8*D8</f>
        <v>86576458.3896835</v>
      </c>
      <c r="BK8" s="167">
        <f t="shared" ref="BK8:BK15" si="41">BF8*D8</f>
        <v>79099400.619665384</v>
      </c>
      <c r="BL8" s="135">
        <f t="shared" ref="BL8:BL15" si="42">AVERAGE(BI8:BK8)</f>
        <v>80083224.010457233</v>
      </c>
      <c r="BM8" s="136">
        <f t="shared" ref="BM8:BM15" si="43">STDEV(BI8:BK8)</f>
        <v>6061501.9016460292</v>
      </c>
      <c r="BN8" s="166">
        <v>17200000</v>
      </c>
      <c r="BO8" s="167">
        <v>20000000</v>
      </c>
      <c r="BP8" s="167">
        <v>20600000</v>
      </c>
      <c r="BQ8" s="135">
        <f t="shared" ref="BQ8:BQ15" si="44">AVERAGE(BN8:BP8)</f>
        <v>19266666.666666668</v>
      </c>
      <c r="BR8" s="136">
        <f t="shared" ref="BR8:BR15" si="45">STDEV(BN8:BP8)</f>
        <v>1814754.3451754933</v>
      </c>
      <c r="BS8" s="166">
        <f t="shared" ref="BS8:BS15" si="46">BN8*D8</f>
        <v>16921762.321619958</v>
      </c>
      <c r="BT8" s="167">
        <f t="shared" ref="BT8:BT15" si="47">BO8*D8</f>
        <v>19676467.81583716</v>
      </c>
      <c r="BU8" s="167">
        <f t="shared" ref="BU8:BU15" si="48">BP8*D8</f>
        <v>20266761.850312274</v>
      </c>
      <c r="BV8" s="135">
        <f t="shared" ref="BV8:BV15" si="49">AVERAGE(BS8:BU8)</f>
        <v>18954997.329256464</v>
      </c>
      <c r="BW8" s="136">
        <f t="shared" ref="BW8:BW15" si="50">STDEV(BS8:BU8)</f>
        <v>1785397.7733248114</v>
      </c>
      <c r="BX8" s="162">
        <v>0.81505376344086022</v>
      </c>
      <c r="BY8" s="163">
        <v>0.81481481481481477</v>
      </c>
      <c r="BZ8" s="163">
        <v>0.79603960396039608</v>
      </c>
      <c r="CA8" s="25">
        <f t="shared" ref="CA8" si="51">AVERAGE(BX8:BZ8)</f>
        <v>0.80863606073869043</v>
      </c>
      <c r="CB8" s="26">
        <f t="shared" ref="CB8" si="52">STDEV(BX8:BZ8)</f>
        <v>1.0909505792520995E-2</v>
      </c>
      <c r="CC8" s="162">
        <v>0.18494623655913978</v>
      </c>
      <c r="CD8" s="163">
        <v>0.18518518518518517</v>
      </c>
      <c r="CE8" s="163">
        <v>0.20396039603960395</v>
      </c>
      <c r="CF8" s="25">
        <f t="shared" ref="CF8" si="53">AVERAGE(CC8:CE8)</f>
        <v>0.19136393926130965</v>
      </c>
      <c r="CG8" s="26">
        <f t="shared" ref="CG8" si="54">STDEV(CC8:CE8)</f>
        <v>1.0909505792521026E-2</v>
      </c>
      <c r="CH8" s="226">
        <f t="shared" si="6"/>
        <v>10.849999999918509</v>
      </c>
      <c r="CI8" s="174">
        <f t="shared" si="30"/>
        <v>27.380680526529176</v>
      </c>
      <c r="CJ8" s="174">
        <f t="shared" ref="CJ8:CJ16" si="55">CI8/$CI$6</f>
        <v>1.0164425946359354</v>
      </c>
      <c r="CK8" s="174">
        <f t="shared" ref="CK8:CK16" si="56">100/CJ8</f>
        <v>98.382339079185797</v>
      </c>
      <c r="CL8" s="174">
        <f t="shared" si="7"/>
        <v>0.98382339079185799</v>
      </c>
      <c r="CW8" s="155">
        <v>4.4724787948210416</v>
      </c>
      <c r="CX8" s="155">
        <v>4.4233787330803374</v>
      </c>
      <c r="CY8" s="155">
        <v>4.2094034414158266</v>
      </c>
      <c r="CZ8" s="155">
        <v>4.3684203231057355</v>
      </c>
      <c r="DA8" s="155">
        <v>0.13988381075922274</v>
      </c>
      <c r="DB8" s="155">
        <v>4.66</v>
      </c>
      <c r="DC8" s="155">
        <v>4.66</v>
      </c>
      <c r="DD8" s="155">
        <v>4.67</v>
      </c>
      <c r="DE8" s="155">
        <v>6.96</v>
      </c>
      <c r="DF8" s="155">
        <v>4.6633333333333331</v>
      </c>
      <c r="DG8" s="155">
        <v>5.7735026918961348E-3</v>
      </c>
      <c r="DH8" s="155">
        <f t="shared" si="31"/>
        <v>0.61186590826330078</v>
      </c>
      <c r="DI8" s="155">
        <f t="shared" si="8"/>
        <v>0.60514868158632951</v>
      </c>
      <c r="DJ8" s="155">
        <f t="shared" si="8"/>
        <v>0.56452485314345158</v>
      </c>
      <c r="DK8" s="155">
        <f t="shared" si="32"/>
        <v>0.59384648099769388</v>
      </c>
      <c r="DL8" s="155">
        <f t="shared" si="33"/>
        <v>2.5614423252817261E-2</v>
      </c>
      <c r="DM8" s="155">
        <v>0</v>
      </c>
      <c r="DN8" s="155">
        <v>0.18751049972438499</v>
      </c>
      <c r="DO8" s="155">
        <v>0</v>
      </c>
      <c r="DP8" s="155">
        <v>6.2503499908128327E-2</v>
      </c>
      <c r="DQ8" s="155">
        <v>0.10825923749175492</v>
      </c>
      <c r="DR8" s="155">
        <f t="shared" si="34"/>
        <v>0</v>
      </c>
      <c r="DS8" s="155">
        <f t="shared" si="9"/>
        <v>0.10450178294898091</v>
      </c>
      <c r="DT8" s="155">
        <f t="shared" si="9"/>
        <v>0</v>
      </c>
      <c r="DU8" s="155">
        <f t="shared" si="35"/>
        <v>3.4833927649660305E-2</v>
      </c>
      <c r="DV8" s="155">
        <f t="shared" si="36"/>
        <v>6.0334132516389971E-2</v>
      </c>
    </row>
    <row r="9" spans="1:126" x14ac:dyDescent="0.25">
      <c r="A9" s="155" t="s">
        <v>23</v>
      </c>
      <c r="B9" s="158">
        <v>42924.959722222222</v>
      </c>
      <c r="C9" s="168">
        <f t="shared" si="0"/>
        <v>15.949999999953434</v>
      </c>
      <c r="D9" s="234">
        <f t="shared" si="10"/>
        <v>0.97639909442615247</v>
      </c>
      <c r="E9" s="169">
        <v>0.13400000000000001</v>
      </c>
      <c r="F9" s="170">
        <v>0.154</v>
      </c>
      <c r="G9" s="170">
        <v>0.153</v>
      </c>
      <c r="H9" s="170">
        <v>-1E-3</v>
      </c>
      <c r="I9" s="31">
        <f t="shared" si="11"/>
        <v>0.14700000000000002</v>
      </c>
      <c r="J9" s="32">
        <f t="shared" si="12"/>
        <v>1.1269427669584638E-2</v>
      </c>
      <c r="K9" s="169">
        <f t="shared" si="1"/>
        <v>0.13083747865310444</v>
      </c>
      <c r="L9" s="170">
        <f t="shared" si="2"/>
        <v>0.15036546054162747</v>
      </c>
      <c r="M9" s="170">
        <f t="shared" si="3"/>
        <v>0.14938906144720132</v>
      </c>
      <c r="N9" s="31">
        <f t="shared" si="13"/>
        <v>0.14353066688064442</v>
      </c>
      <c r="O9" s="32">
        <f t="shared" si="14"/>
        <v>1.1003458971283464E-2</v>
      </c>
      <c r="P9" s="171">
        <v>4.8600000000000003</v>
      </c>
      <c r="Q9" s="172">
        <v>4.91</v>
      </c>
      <c r="R9" s="172">
        <v>4.92</v>
      </c>
      <c r="S9" s="172">
        <v>6.95</v>
      </c>
      <c r="T9" s="35">
        <f t="shared" si="4"/>
        <v>4.8966666666666665</v>
      </c>
      <c r="U9" s="36">
        <f t="shared" si="5"/>
        <v>3.2145502536643007E-2</v>
      </c>
      <c r="V9" s="171">
        <v>26.09215131741545</v>
      </c>
      <c r="W9" s="172">
        <v>25.880848754074577</v>
      </c>
      <c r="X9" s="172">
        <v>24.121631759339618</v>
      </c>
      <c r="Y9" s="172">
        <v>27.895318536099872</v>
      </c>
      <c r="Z9" s="35">
        <f t="shared" si="15"/>
        <v>25.364877276943215</v>
      </c>
      <c r="AA9" s="36">
        <f t="shared" si="16"/>
        <v>1.0818533893738482</v>
      </c>
      <c r="AB9" s="171">
        <f>V9*D9</f>
        <v>25.476352917954586</v>
      </c>
      <c r="AC9" s="172">
        <f>W9*D9</f>
        <v>25.270037286458635</v>
      </c>
      <c r="AD9" s="172">
        <f>X9*D9</f>
        <v>23.552339405900323</v>
      </c>
      <c r="AE9" s="35">
        <f t="shared" si="17"/>
        <v>24.766243203437849</v>
      </c>
      <c r="AF9" s="36">
        <f t="shared" si="18"/>
        <v>1.0563206696864884</v>
      </c>
      <c r="AG9" s="171">
        <v>3.9232729560577884</v>
      </c>
      <c r="AH9" s="172">
        <v>3.7544938335363822</v>
      </c>
      <c r="AI9" s="172">
        <v>3.5731527317282414</v>
      </c>
      <c r="AJ9" s="37">
        <v>0</v>
      </c>
      <c r="AK9" s="35">
        <f t="shared" si="19"/>
        <v>3.7503065071074708</v>
      </c>
      <c r="AL9" s="36">
        <f t="shared" si="20"/>
        <v>0.17509766745479438</v>
      </c>
      <c r="AM9" s="171">
        <f>AG9*D9</f>
        <v>3.830680161481439</v>
      </c>
      <c r="AN9" s="172">
        <f>AH9*D9</f>
        <v>3.6658843790934972</v>
      </c>
      <c r="AO9" s="172">
        <f>AI9*D9</f>
        <v>3.4888230915057878</v>
      </c>
      <c r="AP9" s="35">
        <f t="shared" si="21"/>
        <v>3.661795877360241</v>
      </c>
      <c r="AQ9" s="36">
        <f t="shared" si="22"/>
        <v>0.17096520393899289</v>
      </c>
      <c r="AR9" s="171">
        <v>0.36104129043272398</v>
      </c>
      <c r="AS9" s="172">
        <v>0.32922865053434774</v>
      </c>
      <c r="AT9" s="172">
        <v>0.28704280155992679</v>
      </c>
      <c r="AU9" s="37">
        <v>0</v>
      </c>
      <c r="AV9" s="35">
        <f t="shared" si="23"/>
        <v>0.32577091417566617</v>
      </c>
      <c r="AW9" s="36">
        <f t="shared" si="24"/>
        <v>3.7120224196642244E-2</v>
      </c>
      <c r="AX9" s="171">
        <f t="shared" si="25"/>
        <v>0.35252038902896121</v>
      </c>
      <c r="AY9" s="172">
        <f t="shared" si="26"/>
        <v>0.32145855624088138</v>
      </c>
      <c r="AZ9" s="172">
        <f t="shared" si="27"/>
        <v>0.2802683315046583</v>
      </c>
      <c r="BA9" s="35">
        <f t="shared" si="28"/>
        <v>0.3180824255915003</v>
      </c>
      <c r="BB9" s="36">
        <f t="shared" si="29"/>
        <v>3.6244153290497245E-2</v>
      </c>
      <c r="BC9" s="155" t="s">
        <v>23</v>
      </c>
      <c r="BD9" s="166"/>
      <c r="BE9" s="167"/>
      <c r="BF9" s="167"/>
      <c r="BG9" s="135"/>
      <c r="BH9" s="136"/>
      <c r="BI9" s="166"/>
      <c r="BJ9" s="167"/>
      <c r="BK9" s="167"/>
      <c r="BL9" s="135"/>
      <c r="BM9" s="136"/>
      <c r="BN9" s="166"/>
      <c r="BO9" s="167"/>
      <c r="BP9" s="167"/>
      <c r="BQ9" s="135"/>
      <c r="BR9" s="136"/>
      <c r="BS9" s="166"/>
      <c r="BT9" s="167"/>
      <c r="BU9" s="167"/>
      <c r="BV9" s="135"/>
      <c r="BW9" s="136"/>
      <c r="BX9" s="162"/>
      <c r="BY9" s="163"/>
      <c r="BZ9" s="163"/>
      <c r="CA9" s="25"/>
      <c r="CB9" s="26"/>
      <c r="CC9" s="162"/>
      <c r="CD9" s="163"/>
      <c r="CE9" s="163"/>
      <c r="CF9" s="25"/>
      <c r="CG9" s="26"/>
      <c r="CH9" s="226">
        <f t="shared" si="6"/>
        <v>15.949999999953434</v>
      </c>
      <c r="CI9" s="174">
        <f t="shared" si="30"/>
        <v>27.588876425198183</v>
      </c>
      <c r="CJ9" s="174">
        <f t="shared" si="55"/>
        <v>1.0241713718381911</v>
      </c>
      <c r="CK9" s="174">
        <f t="shared" si="56"/>
        <v>97.639909442615249</v>
      </c>
      <c r="CL9" s="174">
        <f t="shared" si="7"/>
        <v>0.97639909442615247</v>
      </c>
      <c r="CW9" s="155">
        <v>3.830680161481439</v>
      </c>
      <c r="CX9" s="155">
        <v>3.6658843790934972</v>
      </c>
      <c r="CY9" s="155">
        <v>3.4888230915057878</v>
      </c>
      <c r="CZ9" s="155">
        <v>3.661795877360241</v>
      </c>
      <c r="DA9" s="155">
        <v>0.17096520393899289</v>
      </c>
      <c r="DB9" s="155">
        <v>4.8600000000000003</v>
      </c>
      <c r="DC9" s="155">
        <v>4.91</v>
      </c>
      <c r="DD9" s="155">
        <v>4.92</v>
      </c>
      <c r="DE9" s="155">
        <v>6.95</v>
      </c>
      <c r="DF9" s="155">
        <v>4.8966666666666665</v>
      </c>
      <c r="DG9" s="155">
        <v>3.2145502536643007E-2</v>
      </c>
      <c r="DH9" s="155">
        <f t="shared" si="31"/>
        <v>0.34824365104376687</v>
      </c>
      <c r="DI9" s="155">
        <f t="shared" si="8"/>
        <v>0.2999860080826281</v>
      </c>
      <c r="DJ9" s="155">
        <f t="shared" si="8"/>
        <v>0.27951872521282423</v>
      </c>
      <c r="DK9" s="155">
        <f t="shared" si="32"/>
        <v>0.30924946144640636</v>
      </c>
      <c r="DL9" s="155">
        <f t="shared" si="33"/>
        <v>3.5286506398116452E-2</v>
      </c>
      <c r="DM9" s="155">
        <v>0.35252038902896121</v>
      </c>
      <c r="DN9" s="155">
        <v>0.32145855624088138</v>
      </c>
      <c r="DO9" s="155">
        <v>0.2802683315046583</v>
      </c>
      <c r="DP9" s="155">
        <v>0.3180824255915003</v>
      </c>
      <c r="DQ9" s="155">
        <v>3.6244153290497245E-2</v>
      </c>
      <c r="DR9" s="155">
        <f t="shared" si="34"/>
        <v>0.15605667508471169</v>
      </c>
      <c r="DS9" s="155">
        <f t="shared" si="9"/>
        <v>0.13324499631409772</v>
      </c>
      <c r="DT9" s="155">
        <f t="shared" si="9"/>
        <v>0.11460856033234815</v>
      </c>
      <c r="DU9" s="155">
        <f t="shared" si="35"/>
        <v>0.13463674391038585</v>
      </c>
      <c r="DV9" s="155">
        <f t="shared" si="36"/>
        <v>2.0759076934201526E-2</v>
      </c>
    </row>
    <row r="10" spans="1:126" x14ac:dyDescent="0.25">
      <c r="A10" s="155" t="s">
        <v>24</v>
      </c>
      <c r="B10" s="158">
        <v>42925.38958333333</v>
      </c>
      <c r="C10" s="226">
        <f t="shared" si="0"/>
        <v>26.266666666546371</v>
      </c>
      <c r="D10" s="227">
        <f t="shared" si="10"/>
        <v>0.96171811017133746</v>
      </c>
      <c r="E10" s="160">
        <v>0.185</v>
      </c>
      <c r="F10" s="161">
        <v>0.24</v>
      </c>
      <c r="G10" s="161">
        <v>0.23499999999999999</v>
      </c>
      <c r="H10" s="161">
        <v>1E-3</v>
      </c>
      <c r="I10" s="21">
        <f t="shared" si="11"/>
        <v>0.21999999999999997</v>
      </c>
      <c r="J10" s="22">
        <f t="shared" si="12"/>
        <v>3.0413812651491248E-2</v>
      </c>
      <c r="K10" s="160">
        <f t="shared" si="1"/>
        <v>0.17791785038169744</v>
      </c>
      <c r="L10" s="161">
        <f t="shared" si="2"/>
        <v>0.23081234644112097</v>
      </c>
      <c r="M10" s="161">
        <f t="shared" si="3"/>
        <v>0.22600375589026428</v>
      </c>
      <c r="N10" s="21">
        <f t="shared" si="13"/>
        <v>0.21157798423769422</v>
      </c>
      <c r="O10" s="22">
        <f t="shared" si="14"/>
        <v>2.9249514426297293E-2</v>
      </c>
      <c r="P10" s="162">
        <v>5.12</v>
      </c>
      <c r="Q10" s="163">
        <v>5.4</v>
      </c>
      <c r="R10" s="163">
        <v>5.39</v>
      </c>
      <c r="S10" s="163">
        <v>6.92</v>
      </c>
      <c r="T10" s="25">
        <f t="shared" si="4"/>
        <v>5.3033333333333337</v>
      </c>
      <c r="U10" s="26">
        <f t="shared" si="5"/>
        <v>0.15885003409925136</v>
      </c>
      <c r="V10" s="162"/>
      <c r="W10" s="163"/>
      <c r="X10" s="208"/>
      <c r="Y10" s="208"/>
      <c r="Z10" s="25"/>
      <c r="AA10" s="26"/>
      <c r="AB10" s="162"/>
      <c r="AC10" s="163"/>
      <c r="AD10" s="163"/>
      <c r="AE10" s="25"/>
      <c r="AF10" s="26"/>
      <c r="AG10" s="162"/>
      <c r="AH10" s="163"/>
      <c r="AI10" s="208"/>
      <c r="AJ10" s="209"/>
      <c r="AK10" s="25"/>
      <c r="AL10" s="26"/>
      <c r="AM10" s="162"/>
      <c r="AN10" s="163"/>
      <c r="AO10" s="163"/>
      <c r="AP10" s="25"/>
      <c r="AQ10" s="26"/>
      <c r="AR10" s="162"/>
      <c r="AS10" s="163"/>
      <c r="AT10" s="208"/>
      <c r="AU10" s="209"/>
      <c r="AV10" s="25"/>
      <c r="AW10" s="26"/>
      <c r="AX10" s="162"/>
      <c r="AY10" s="163"/>
      <c r="AZ10" s="163"/>
      <c r="BA10" s="25"/>
      <c r="BB10" s="26"/>
      <c r="BC10" s="155" t="s">
        <v>24</v>
      </c>
      <c r="BD10" s="166">
        <v>39000000</v>
      </c>
      <c r="BE10" s="167">
        <v>133000000</v>
      </c>
      <c r="BF10" s="167">
        <v>126000000</v>
      </c>
      <c r="BG10" s="135">
        <f t="shared" si="37"/>
        <v>99333333.333333328</v>
      </c>
      <c r="BH10" s="136">
        <f t="shared" si="38"/>
        <v>52367292.591209389</v>
      </c>
      <c r="BI10" s="166">
        <f t="shared" si="39"/>
        <v>37507006.296682164</v>
      </c>
      <c r="BJ10" s="167">
        <f t="shared" si="40"/>
        <v>127908508.65278788</v>
      </c>
      <c r="BK10" s="167">
        <f t="shared" si="41"/>
        <v>121176481.88158852</v>
      </c>
      <c r="BL10" s="135">
        <f t="shared" si="42"/>
        <v>95530665.610352859</v>
      </c>
      <c r="BM10" s="136">
        <f t="shared" si="43"/>
        <v>50362573.665607341</v>
      </c>
      <c r="BN10" s="166">
        <v>141000000</v>
      </c>
      <c r="BO10" s="167">
        <v>197000000</v>
      </c>
      <c r="BP10" s="167">
        <v>194000000</v>
      </c>
      <c r="BQ10" s="135">
        <f t="shared" si="44"/>
        <v>177333333.33333334</v>
      </c>
      <c r="BR10" s="136">
        <f t="shared" si="45"/>
        <v>31501322.723551404</v>
      </c>
      <c r="BS10" s="166">
        <f t="shared" si="46"/>
        <v>135602253.53415859</v>
      </c>
      <c r="BT10" s="167">
        <f t="shared" si="47"/>
        <v>189458467.70375347</v>
      </c>
      <c r="BU10" s="167">
        <f t="shared" si="48"/>
        <v>186573313.37323946</v>
      </c>
      <c r="BV10" s="135">
        <f t="shared" si="49"/>
        <v>170544678.20371717</v>
      </c>
      <c r="BW10" s="136">
        <f t="shared" si="50"/>
        <v>30295392.557591062</v>
      </c>
      <c r="BX10" s="162">
        <v>0.21666666666666667</v>
      </c>
      <c r="BY10" s="163">
        <v>0.40303030303030302</v>
      </c>
      <c r="BZ10" s="163">
        <v>0.39374999999999999</v>
      </c>
      <c r="CA10" s="25">
        <f t="shared" ref="CA10" si="57">AVERAGE(BX10:BZ10)</f>
        <v>0.33781565656565654</v>
      </c>
      <c r="CB10" s="26">
        <f t="shared" ref="CB10" si="58">STDEV(BX10:BZ10)</f>
        <v>0.1050206614016629</v>
      </c>
      <c r="CC10" s="162">
        <v>0.78333333333333333</v>
      </c>
      <c r="CD10" s="163">
        <v>0.59696969696969693</v>
      </c>
      <c r="CE10" s="163">
        <v>0.60624999999999996</v>
      </c>
      <c r="CF10" s="25">
        <f t="shared" ref="CF10" si="59">AVERAGE(CC10:CE10)</f>
        <v>0.6621843434343434</v>
      </c>
      <c r="CG10" s="26">
        <f t="shared" ref="CG10" si="60">STDEV(CC10:CE10)</f>
        <v>0.1050206614016629</v>
      </c>
      <c r="CH10" s="226">
        <f t="shared" si="6"/>
        <v>26.266666666546371</v>
      </c>
      <c r="CI10" s="174">
        <f t="shared" si="30"/>
        <v>28.010030873807047</v>
      </c>
      <c r="CJ10" s="174">
        <f t="shared" si="55"/>
        <v>1.0398057283353459</v>
      </c>
      <c r="CK10" s="174">
        <f t="shared" si="56"/>
        <v>96.171811017133749</v>
      </c>
      <c r="CL10" s="174">
        <f t="shared" si="7"/>
        <v>0.96171811017133746</v>
      </c>
      <c r="DB10" s="155">
        <v>5.12</v>
      </c>
      <c r="DC10" s="155">
        <v>5.4</v>
      </c>
      <c r="DD10" s="155">
        <v>5.39</v>
      </c>
      <c r="DE10" s="155">
        <v>6.92</v>
      </c>
      <c r="DF10" s="155">
        <v>5.3033333333333337</v>
      </c>
      <c r="DG10" s="155">
        <v>0.15885003409925136</v>
      </c>
    </row>
    <row r="11" spans="1:126" x14ac:dyDescent="0.25">
      <c r="A11" s="155" t="s">
        <v>40</v>
      </c>
      <c r="B11" s="158">
        <v>42925.931250000001</v>
      </c>
      <c r="C11" s="226">
        <f t="shared" si="0"/>
        <v>39.266666666662786</v>
      </c>
      <c r="D11" s="227">
        <f t="shared" si="10"/>
        <v>0.94383561486698975</v>
      </c>
      <c r="E11" s="160">
        <v>0.21</v>
      </c>
      <c r="F11" s="161">
        <v>0.28000000000000003</v>
      </c>
      <c r="G11" s="161">
        <v>0.27300000000000002</v>
      </c>
      <c r="H11" s="161">
        <v>0</v>
      </c>
      <c r="I11" s="21">
        <f>AVERAGE(E11:G11)</f>
        <v>0.25433333333333336</v>
      </c>
      <c r="J11" s="22">
        <f t="shared" si="12"/>
        <v>3.8552993831002615E-2</v>
      </c>
      <c r="K11" s="160">
        <f t="shared" si="1"/>
        <v>0.19820547912206785</v>
      </c>
      <c r="L11" s="161">
        <f t="shared" si="2"/>
        <v>0.26427397216275716</v>
      </c>
      <c r="M11" s="161">
        <f t="shared" si="3"/>
        <v>0.2576671228586882</v>
      </c>
      <c r="N11" s="21">
        <f t="shared" si="13"/>
        <v>0.24004885804783774</v>
      </c>
      <c r="O11" s="22">
        <f t="shared" si="14"/>
        <v>3.6387688637447839E-2</v>
      </c>
      <c r="P11" s="162">
        <v>5.52</v>
      </c>
      <c r="Q11" s="163">
        <v>5.72</v>
      </c>
      <c r="R11" s="163">
        <v>5.72</v>
      </c>
      <c r="S11" s="163">
        <v>6.87</v>
      </c>
      <c r="T11" s="25">
        <f t="shared" si="4"/>
        <v>5.6533333333333324</v>
      </c>
      <c r="U11" s="26">
        <f t="shared" si="5"/>
        <v>0.11547005383792526</v>
      </c>
      <c r="V11" s="162">
        <v>25.169453063967801</v>
      </c>
      <c r="W11" s="163">
        <v>24.368931559720124</v>
      </c>
      <c r="X11" s="163">
        <v>23.112392148773012</v>
      </c>
      <c r="Y11" s="163">
        <v>28.04993461185672</v>
      </c>
      <c r="Z11" s="25">
        <f t="shared" si="15"/>
        <v>24.216925590820313</v>
      </c>
      <c r="AA11" s="26">
        <f t="shared" si="16"/>
        <v>1.0369205674213353</v>
      </c>
      <c r="AB11" s="162">
        <f>V11*D11</f>
        <v>23.75582620849589</v>
      </c>
      <c r="AC11" s="163">
        <f>W11*D11</f>
        <v>23.000265502320033</v>
      </c>
      <c r="AD11" s="163">
        <f>X11*D11</f>
        <v>21.814298854784163</v>
      </c>
      <c r="AE11" s="25">
        <f t="shared" si="17"/>
        <v>22.856796855200031</v>
      </c>
      <c r="AF11" s="26">
        <f t="shared" si="18"/>
        <v>0.97868256132034404</v>
      </c>
      <c r="AG11" s="162">
        <v>1.3171212844868352</v>
      </c>
      <c r="AH11" s="163">
        <v>1.6469362723209051</v>
      </c>
      <c r="AI11" s="163">
        <v>1.5418688071154718</v>
      </c>
      <c r="AJ11" s="209">
        <v>0</v>
      </c>
      <c r="AK11" s="25">
        <f t="shared" si="19"/>
        <v>1.5019754546410706</v>
      </c>
      <c r="AL11" s="26">
        <f t="shared" si="20"/>
        <v>0.16848765898050821</v>
      </c>
      <c r="AM11" s="162">
        <f>AG11*D11</f>
        <v>1.2431459773980313</v>
      </c>
      <c r="AN11" s="163">
        <f>AH11*D11</f>
        <v>1.5544371092327496</v>
      </c>
      <c r="AO11" s="163">
        <f>AI11*D11</f>
        <v>1.4552706936080633</v>
      </c>
      <c r="AP11" s="25">
        <f t="shared" si="21"/>
        <v>1.4176179267462814</v>
      </c>
      <c r="AQ11" s="26">
        <f t="shared" si="22"/>
        <v>0.15902465321136769</v>
      </c>
      <c r="AR11" s="162">
        <v>2.3266693800924028</v>
      </c>
      <c r="AS11" s="163">
        <v>1.1436917031413256</v>
      </c>
      <c r="AT11" s="163">
        <v>1.1064440017064814</v>
      </c>
      <c r="AU11" s="209">
        <v>0</v>
      </c>
      <c r="AV11" s="25">
        <f t="shared" si="23"/>
        <v>1.5256016949800699</v>
      </c>
      <c r="AW11" s="26">
        <f t="shared" si="24"/>
        <v>0.69399490265705033</v>
      </c>
      <c r="AX11" s="162">
        <f t="shared" si="25"/>
        <v>2.1959934249517108</v>
      </c>
      <c r="AY11" s="163">
        <f t="shared" si="26"/>
        <v>1.0794569618526677</v>
      </c>
      <c r="AZ11" s="163">
        <f t="shared" si="27"/>
        <v>1.0443012546665296</v>
      </c>
      <c r="BA11" s="25">
        <f t="shared" si="28"/>
        <v>1.4399172138236362</v>
      </c>
      <c r="BB11" s="26">
        <f t="shared" si="29"/>
        <v>0.6550171056638735</v>
      </c>
      <c r="BC11" s="155" t="s">
        <v>40</v>
      </c>
      <c r="BD11" s="166"/>
      <c r="BE11" s="167"/>
      <c r="BF11" s="167"/>
      <c r="BG11" s="135"/>
      <c r="BH11" s="136"/>
      <c r="BI11" s="166"/>
      <c r="BJ11" s="167"/>
      <c r="BK11" s="167"/>
      <c r="BL11" s="135"/>
      <c r="BM11" s="136"/>
      <c r="BN11" s="166"/>
      <c r="BO11" s="167"/>
      <c r="BP11" s="167"/>
      <c r="BQ11" s="135"/>
      <c r="BR11" s="136"/>
      <c r="BS11" s="166"/>
      <c r="BT11" s="167"/>
      <c r="BU11" s="167"/>
      <c r="BV11" s="135"/>
      <c r="BW11" s="136"/>
      <c r="BX11" s="162"/>
      <c r="BY11" s="163"/>
      <c r="BZ11" s="163"/>
      <c r="CA11" s="25"/>
      <c r="CB11" s="26"/>
      <c r="CC11" s="162"/>
      <c r="CD11" s="163"/>
      <c r="CE11" s="163"/>
      <c r="CF11" s="25"/>
      <c r="CG11" s="26"/>
      <c r="CH11" s="226">
        <f t="shared" si="6"/>
        <v>39.266666666662786</v>
      </c>
      <c r="CI11" s="174">
        <f t="shared" si="30"/>
        <v>28.540726301787988</v>
      </c>
      <c r="CJ11" s="174">
        <f t="shared" si="55"/>
        <v>1.0595065329685882</v>
      </c>
      <c r="CK11" s="174">
        <f t="shared" si="56"/>
        <v>94.38356148669898</v>
      </c>
      <c r="CL11" s="174">
        <f t="shared" si="7"/>
        <v>0.94383561486698975</v>
      </c>
      <c r="CW11" s="155">
        <v>1.2431459773980313</v>
      </c>
      <c r="CX11" s="155">
        <v>1.5544371092327496</v>
      </c>
      <c r="CY11" s="155">
        <v>1.4552706936080633</v>
      </c>
      <c r="CZ11" s="155">
        <v>1.4176179267462814</v>
      </c>
      <c r="DA11" s="155">
        <v>0.15902465321136769</v>
      </c>
      <c r="DB11" s="155">
        <v>5.52</v>
      </c>
      <c r="DC11" s="155">
        <v>5.72</v>
      </c>
      <c r="DD11" s="155">
        <v>5.72</v>
      </c>
      <c r="DE11" s="155">
        <v>6.87</v>
      </c>
      <c r="DF11" s="155">
        <v>5.6533333333333324</v>
      </c>
      <c r="DG11" s="155">
        <v>0.11547005383792526</v>
      </c>
      <c r="DH11" s="155">
        <f t="shared" si="31"/>
        <v>2.6614802194485677E-2</v>
      </c>
      <c r="DI11" s="155">
        <f t="shared" si="8"/>
        <v>2.1165046290408121E-2</v>
      </c>
      <c r="DJ11" s="155">
        <f t="shared" si="8"/>
        <v>1.9814807181547482E-2</v>
      </c>
      <c r="DK11" s="155">
        <f t="shared" si="32"/>
        <v>2.2531551888813759E-2</v>
      </c>
      <c r="DL11" s="155">
        <f t="shared" si="33"/>
        <v>3.6000675280960419E-3</v>
      </c>
      <c r="DM11" s="155">
        <v>2.1959934249517108</v>
      </c>
      <c r="DN11" s="155">
        <v>1.0794569618526677</v>
      </c>
      <c r="DO11" s="155">
        <v>1.0443012546665296</v>
      </c>
      <c r="DP11" s="155">
        <v>1.4399172138236362</v>
      </c>
      <c r="DQ11" s="155">
        <v>0.6550171056638735</v>
      </c>
      <c r="DR11" s="155">
        <f t="shared" si="34"/>
        <v>0.32512045906097281</v>
      </c>
      <c r="DS11" s="155">
        <f t="shared" si="9"/>
        <v>0.10666456522735307</v>
      </c>
      <c r="DT11" s="155">
        <f t="shared" si="9"/>
        <v>0.10319071832582058</v>
      </c>
      <c r="DU11" s="155">
        <f t="shared" si="35"/>
        <v>0.17832524753804882</v>
      </c>
      <c r="DV11" s="155">
        <f t="shared" si="36"/>
        <v>0.12714024735550425</v>
      </c>
    </row>
    <row r="12" spans="1:126" x14ac:dyDescent="0.25">
      <c r="A12" s="155" t="s">
        <v>46</v>
      </c>
      <c r="B12" s="158">
        <v>42926.643055555556</v>
      </c>
      <c r="C12" s="226">
        <f t="shared" si="0"/>
        <v>56.349999999976717</v>
      </c>
      <c r="D12" s="227">
        <f t="shared" si="10"/>
        <v>0.92132322469952099</v>
      </c>
      <c r="E12" s="160">
        <v>0.23200000000000001</v>
      </c>
      <c r="F12" s="161">
        <f>0.153*2</f>
        <v>0.30599999999999999</v>
      </c>
      <c r="G12" s="161">
        <v>0.29899999999999999</v>
      </c>
      <c r="H12" s="161">
        <v>-1E-3</v>
      </c>
      <c r="I12" s="21">
        <f t="shared" si="11"/>
        <v>0.27899999999999997</v>
      </c>
      <c r="J12" s="22">
        <f t="shared" si="12"/>
        <v>4.085339643163087E-2</v>
      </c>
      <c r="K12" s="160">
        <f t="shared" si="1"/>
        <v>0.21374698813028889</v>
      </c>
      <c r="L12" s="161">
        <f t="shared" si="2"/>
        <v>0.28192490675805343</v>
      </c>
      <c r="M12" s="161">
        <f t="shared" si="3"/>
        <v>0.27547564418515674</v>
      </c>
      <c r="N12" s="21">
        <f t="shared" si="13"/>
        <v>0.25704917969116631</v>
      </c>
      <c r="O12" s="22">
        <f t="shared" si="14"/>
        <v>3.7639182940318441E-2</v>
      </c>
      <c r="P12" s="162">
        <v>5.98</v>
      </c>
      <c r="Q12" s="163">
        <v>5.87</v>
      </c>
      <c r="R12" s="163">
        <v>5.88</v>
      </c>
      <c r="S12" s="163">
        <v>6.84</v>
      </c>
      <c r="T12" s="25">
        <f t="shared" si="4"/>
        <v>5.91</v>
      </c>
      <c r="U12" s="26">
        <f t="shared" si="5"/>
        <v>6.0827625302982434E-2</v>
      </c>
      <c r="V12" s="162"/>
      <c r="W12" s="163"/>
      <c r="X12" s="208"/>
      <c r="Y12" s="208"/>
      <c r="Z12" s="25"/>
      <c r="AA12" s="26"/>
      <c r="AB12" s="162"/>
      <c r="AC12" s="163"/>
      <c r="AD12" s="163"/>
      <c r="AE12" s="25"/>
      <c r="AF12" s="26"/>
      <c r="AG12" s="162"/>
      <c r="AH12" s="163"/>
      <c r="AI12" s="208"/>
      <c r="AJ12" s="209"/>
      <c r="AK12" s="25"/>
      <c r="AL12" s="26"/>
      <c r="AM12" s="162"/>
      <c r="AN12" s="163"/>
      <c r="AO12" s="163"/>
      <c r="AP12" s="25"/>
      <c r="AQ12" s="26"/>
      <c r="AR12" s="162"/>
      <c r="AS12" s="163"/>
      <c r="AT12" s="208"/>
      <c r="AU12" s="209"/>
      <c r="AV12" s="25"/>
      <c r="AW12" s="26"/>
      <c r="AX12" s="162"/>
      <c r="AY12" s="163"/>
      <c r="AZ12" s="163"/>
      <c r="BA12" s="25"/>
      <c r="BB12" s="26"/>
      <c r="BC12" s="155" t="s">
        <v>46</v>
      </c>
      <c r="BD12" s="166">
        <v>-37000000</v>
      </c>
      <c r="BE12" s="167">
        <v>-40000000</v>
      </c>
      <c r="BF12" s="167">
        <v>-50000000</v>
      </c>
      <c r="BG12" s="135">
        <f t="shared" si="37"/>
        <v>-42333333.333333336</v>
      </c>
      <c r="BH12" s="136">
        <f t="shared" si="38"/>
        <v>6806859.2855540579</v>
      </c>
      <c r="BI12" s="166">
        <f t="shared" si="39"/>
        <v>-34088959.313882276</v>
      </c>
      <c r="BJ12" s="167">
        <f t="shared" si="40"/>
        <v>-36852928.987980843</v>
      </c>
      <c r="BK12" s="167">
        <f t="shared" si="41"/>
        <v>-46066161.234976053</v>
      </c>
      <c r="BL12" s="135">
        <f t="shared" si="42"/>
        <v>-39002683.178946391</v>
      </c>
      <c r="BM12" s="136">
        <f t="shared" si="43"/>
        <v>6271317.5470425272</v>
      </c>
      <c r="BN12" s="166">
        <v>173000000</v>
      </c>
      <c r="BO12" s="167">
        <v>450000000</v>
      </c>
      <c r="BP12" s="167">
        <v>410000000</v>
      </c>
      <c r="BQ12" s="135">
        <f t="shared" si="44"/>
        <v>344333333.33333331</v>
      </c>
      <c r="BR12" s="136">
        <f t="shared" si="45"/>
        <v>149720851.36457562</v>
      </c>
      <c r="BS12" s="166">
        <f t="shared" si="46"/>
        <v>159388917.87301713</v>
      </c>
      <c r="BT12" s="167">
        <f t="shared" si="47"/>
        <v>414595451.11478442</v>
      </c>
      <c r="BU12" s="167">
        <f t="shared" si="48"/>
        <v>377742522.12680364</v>
      </c>
      <c r="BV12" s="135">
        <f t="shared" si="49"/>
        <v>317242297.03820175</v>
      </c>
      <c r="BW12" s="136">
        <f t="shared" si="50"/>
        <v>137941297.5839684</v>
      </c>
      <c r="BX12" s="162">
        <v>-0.27205882352941174</v>
      </c>
      <c r="BY12" s="163">
        <v>-9.7560975609756101E-2</v>
      </c>
      <c r="BZ12" s="163">
        <v>-0.1388888888888889</v>
      </c>
      <c r="CA12" s="25">
        <f t="shared" ref="CA12:CA15" si="61">AVERAGE(BX12:BZ12)</f>
        <v>-0.16950289600935223</v>
      </c>
      <c r="CB12" s="26">
        <f t="shared" ref="CB12:CB15" si="62">STDEV(BX12:BZ12)</f>
        <v>9.1188199928097402E-2</v>
      </c>
      <c r="CC12" s="162">
        <v>1.2720588235294117</v>
      </c>
      <c r="CD12" s="163">
        <v>1.0975609756097562</v>
      </c>
      <c r="CE12" s="163">
        <v>1.1388888888888888</v>
      </c>
      <c r="CF12" s="25">
        <f t="shared" ref="CF12:CF15" si="63">AVERAGE(CC12:CE12)</f>
        <v>1.1695028960093523</v>
      </c>
      <c r="CG12" s="26">
        <f t="shared" ref="CG12:CG15" si="64">STDEV(CC12:CE12)</f>
        <v>9.1188199928097291E-2</v>
      </c>
      <c r="CH12" s="226">
        <f t="shared" si="6"/>
        <v>56.349999999976717</v>
      </c>
      <c r="CI12" s="174">
        <f t="shared" si="30"/>
        <v>29.238114524448214</v>
      </c>
      <c r="CJ12" s="174">
        <f t="shared" si="55"/>
        <v>1.0853954108517545</v>
      </c>
      <c r="CK12" s="174">
        <f t="shared" si="56"/>
        <v>92.132322469952101</v>
      </c>
      <c r="CL12" s="174">
        <f t="shared" si="7"/>
        <v>0.92132322469952099</v>
      </c>
      <c r="DB12" s="155">
        <v>5.98</v>
      </c>
      <c r="DC12" s="155">
        <v>5.87</v>
      </c>
      <c r="DD12" s="155">
        <v>5.88</v>
      </c>
      <c r="DE12" s="155">
        <v>6.84</v>
      </c>
      <c r="DF12" s="155">
        <v>5.91</v>
      </c>
      <c r="DG12" s="155">
        <v>6.0827625302982434E-2</v>
      </c>
    </row>
    <row r="13" spans="1:126" x14ac:dyDescent="0.25">
      <c r="A13" s="155" t="s">
        <v>65</v>
      </c>
      <c r="B13" s="158">
        <v>42927.694444444445</v>
      </c>
      <c r="C13" s="226">
        <f t="shared" si="0"/>
        <v>81.583333333313931</v>
      </c>
      <c r="D13" s="227">
        <f t="shared" si="10"/>
        <v>0.88996857677936358</v>
      </c>
      <c r="E13" s="160">
        <v>0.246</v>
      </c>
      <c r="F13" s="161">
        <f>0.171*2</f>
        <v>0.34200000000000003</v>
      </c>
      <c r="G13" s="161">
        <f>0.166*2</f>
        <v>0.33200000000000002</v>
      </c>
      <c r="H13" s="161">
        <v>2E-3</v>
      </c>
      <c r="I13" s="21">
        <f t="shared" si="11"/>
        <v>0.3066666666666667</v>
      </c>
      <c r="J13" s="22">
        <f t="shared" si="12"/>
        <v>5.2776257288039419E-2</v>
      </c>
      <c r="K13" s="160">
        <f t="shared" si="1"/>
        <v>0.21893226988772344</v>
      </c>
      <c r="L13" s="161">
        <f t="shared" si="2"/>
        <v>0.30436925325854236</v>
      </c>
      <c r="M13" s="161">
        <f t="shared" si="3"/>
        <v>0.29546956749074871</v>
      </c>
      <c r="N13" s="21">
        <f t="shared" si="13"/>
        <v>0.27292369687900481</v>
      </c>
      <c r="O13" s="22">
        <f t="shared" si="14"/>
        <v>4.6969210586377957E-2</v>
      </c>
      <c r="P13" s="162">
        <v>6.29</v>
      </c>
      <c r="Q13" s="163">
        <v>6.15</v>
      </c>
      <c r="R13" s="163">
        <v>6.17</v>
      </c>
      <c r="S13" s="163">
        <v>6.79</v>
      </c>
      <c r="T13" s="25">
        <f t="shared" si="4"/>
        <v>6.2033333333333331</v>
      </c>
      <c r="U13" s="26">
        <f t="shared" si="5"/>
        <v>7.5718777944003557E-2</v>
      </c>
      <c r="V13" s="162">
        <v>25.999328375550665</v>
      </c>
      <c r="W13" s="163">
        <v>24.247198302528602</v>
      </c>
      <c r="X13" s="163">
        <v>22.542413433599052</v>
      </c>
      <c r="Y13" s="163">
        <v>29.800641384264512</v>
      </c>
      <c r="Z13" s="25">
        <f t="shared" si="15"/>
        <v>24.262980037226104</v>
      </c>
      <c r="AA13" s="26">
        <f t="shared" si="16"/>
        <v>1.7285115059884986</v>
      </c>
      <c r="AB13" s="162">
        <f>V13*D13</f>
        <v>23.138585271608147</v>
      </c>
      <c r="AC13" s="163">
        <f>W13*D13</f>
        <v>21.579244564188382</v>
      </c>
      <c r="AD13" s="163">
        <f>X13*D13</f>
        <v>20.062039600672154</v>
      </c>
      <c r="AE13" s="25">
        <f t="shared" si="17"/>
        <v>21.593289812156229</v>
      </c>
      <c r="AF13" s="26">
        <f t="shared" si="18"/>
        <v>1.5383209249313381</v>
      </c>
      <c r="AG13" s="162">
        <v>0.90485482897672143</v>
      </c>
      <c r="AH13" s="163">
        <v>1.2604447027811441</v>
      </c>
      <c r="AI13" s="163">
        <v>1.197402735561758</v>
      </c>
      <c r="AJ13" s="209">
        <v>0</v>
      </c>
      <c r="AK13" s="25">
        <f t="shared" si="19"/>
        <v>1.1209007557732078</v>
      </c>
      <c r="AL13" s="26">
        <f t="shared" si="20"/>
        <v>0.18973785671746524</v>
      </c>
      <c r="AM13" s="162">
        <f>AG13*D13</f>
        <v>0.80529236433634721</v>
      </c>
      <c r="AN13" s="163">
        <f>AH13*D13</f>
        <v>1.1217561782432228</v>
      </c>
      <c r="AO13" s="163">
        <f>AI13*D13</f>
        <v>1.0656508083996143</v>
      </c>
      <c r="AP13" s="25">
        <f t="shared" si="21"/>
        <v>0.99756645032639479</v>
      </c>
      <c r="AQ13" s="26">
        <f t="shared" si="22"/>
        <v>0.16886073030400917</v>
      </c>
      <c r="AR13" s="162">
        <v>0.84839560271812231</v>
      </c>
      <c r="AS13" s="163">
        <v>0.60334768091344615</v>
      </c>
      <c r="AT13" s="163">
        <v>0.4921833545273534</v>
      </c>
      <c r="AU13" s="209">
        <v>0</v>
      </c>
      <c r="AV13" s="25">
        <f t="shared" si="23"/>
        <v>0.64797554605297403</v>
      </c>
      <c r="AW13" s="26">
        <f t="shared" si="24"/>
        <v>0.18225127215046927</v>
      </c>
      <c r="AX13" s="162">
        <f t="shared" si="25"/>
        <v>0.75504542709691769</v>
      </c>
      <c r="AY13" s="163">
        <f t="shared" si="26"/>
        <v>0.53696047688566928</v>
      </c>
      <c r="AZ13" s="163">
        <f t="shared" si="27"/>
        <v>0.43802771954320163</v>
      </c>
      <c r="BA13" s="25">
        <f t="shared" si="28"/>
        <v>0.5766778745085962</v>
      </c>
      <c r="BB13" s="26">
        <f t="shared" si="29"/>
        <v>0.16219790529198141</v>
      </c>
      <c r="BC13" s="155" t="s">
        <v>65</v>
      </c>
      <c r="BD13" s="166"/>
      <c r="BE13" s="167"/>
      <c r="BF13" s="167"/>
      <c r="BG13" s="135"/>
      <c r="BH13" s="136"/>
      <c r="BI13" s="166"/>
      <c r="BJ13" s="167"/>
      <c r="BK13" s="167"/>
      <c r="BL13" s="135"/>
      <c r="BM13" s="136"/>
      <c r="BN13" s="166"/>
      <c r="BO13" s="167"/>
      <c r="BP13" s="167"/>
      <c r="BQ13" s="135"/>
      <c r="BR13" s="136"/>
      <c r="BS13" s="166"/>
      <c r="BT13" s="167"/>
      <c r="BU13" s="167"/>
      <c r="BV13" s="135"/>
      <c r="BW13" s="136"/>
      <c r="BX13" s="162"/>
      <c r="BY13" s="163"/>
      <c r="BZ13" s="163"/>
      <c r="CA13" s="25"/>
      <c r="CB13" s="26"/>
      <c r="CC13" s="162"/>
      <c r="CD13" s="163"/>
      <c r="CE13" s="163"/>
      <c r="CF13" s="25"/>
      <c r="CG13" s="26"/>
      <c r="CH13" s="226">
        <f t="shared" si="6"/>
        <v>81.583333333313931</v>
      </c>
      <c r="CI13" s="174">
        <f t="shared" si="30"/>
        <v>30.268207957725231</v>
      </c>
      <c r="CJ13" s="174">
        <f t="shared" si="55"/>
        <v>1.1236351777933782</v>
      </c>
      <c r="CK13" s="174">
        <f t="shared" si="56"/>
        <v>88.996857677936362</v>
      </c>
      <c r="CL13" s="174">
        <f t="shared" si="7"/>
        <v>0.88996857677936358</v>
      </c>
      <c r="CW13" s="155">
        <v>0.80529236433634721</v>
      </c>
      <c r="CX13" s="155">
        <v>1.1217561782432228</v>
      </c>
      <c r="CY13" s="155">
        <v>1.0656508083996143</v>
      </c>
      <c r="CZ13" s="155">
        <v>0.99756645032639479</v>
      </c>
      <c r="DA13" s="155">
        <v>0.16886073030400917</v>
      </c>
      <c r="DB13" s="155">
        <v>6.29</v>
      </c>
      <c r="DC13" s="155">
        <v>6.15</v>
      </c>
      <c r="DD13" s="155">
        <v>6.17</v>
      </c>
      <c r="DE13" s="155">
        <v>6.79</v>
      </c>
      <c r="DF13" s="155">
        <v>6.2033333333333331</v>
      </c>
      <c r="DG13" s="155">
        <v>7.5718777944003557E-2</v>
      </c>
      <c r="DH13" s="155">
        <f t="shared" si="31"/>
        <v>2.9808698491160805E-3</v>
      </c>
      <c r="DI13" s="155">
        <f t="shared" si="8"/>
        <v>5.7236996156823303E-3</v>
      </c>
      <c r="DJ13" s="155">
        <f t="shared" si="8"/>
        <v>5.1938933583999007E-3</v>
      </c>
      <c r="DK13" s="155">
        <f t="shared" si="32"/>
        <v>4.6328209410661037E-3</v>
      </c>
      <c r="DL13" s="155">
        <f t="shared" si="33"/>
        <v>1.454950334276074E-3</v>
      </c>
      <c r="DM13" s="155">
        <v>0.75504542709691769</v>
      </c>
      <c r="DN13" s="155">
        <v>0.53696047688566928</v>
      </c>
      <c r="DO13" s="155">
        <v>0.43802771954320163</v>
      </c>
      <c r="DP13" s="155">
        <v>0.5766778745085962</v>
      </c>
      <c r="DQ13" s="155">
        <v>0.16219790529198141</v>
      </c>
      <c r="DR13" s="155">
        <f t="shared" si="34"/>
        <v>2.1644204548337743E-2</v>
      </c>
      <c r="DS13" s="155">
        <f t="shared" si="9"/>
        <v>2.1018460208476843E-2</v>
      </c>
      <c r="DT13" s="155">
        <f t="shared" si="9"/>
        <v>1.6403101082230656E-2</v>
      </c>
      <c r="DU13" s="155">
        <f t="shared" si="35"/>
        <v>1.968858861301508E-2</v>
      </c>
      <c r="DV13" s="155">
        <f t="shared" si="36"/>
        <v>2.8624657606549533E-3</v>
      </c>
    </row>
    <row r="14" spans="1:126" x14ac:dyDescent="0.25">
      <c r="A14" s="155" t="s">
        <v>66</v>
      </c>
      <c r="B14" s="158">
        <v>42929.381944444445</v>
      </c>
      <c r="C14" s="226">
        <f t="shared" si="0"/>
        <v>122.08333333331393</v>
      </c>
      <c r="D14" s="227">
        <f t="shared" si="10"/>
        <v>0.84387419298175037</v>
      </c>
      <c r="E14" s="160">
        <v>0.26700000000000002</v>
      </c>
      <c r="F14" s="161">
        <f>0.188*2</f>
        <v>0.376</v>
      </c>
      <c r="G14" s="161">
        <f>0.181*2</f>
        <v>0.36199999999999999</v>
      </c>
      <c r="H14" s="161">
        <v>0</v>
      </c>
      <c r="I14" s="21">
        <f t="shared" si="11"/>
        <v>0.33499999999999996</v>
      </c>
      <c r="J14" s="22">
        <f t="shared" si="12"/>
        <v>5.9304300012731355E-2</v>
      </c>
      <c r="K14" s="160">
        <f t="shared" si="1"/>
        <v>0.22531440952612736</v>
      </c>
      <c r="L14" s="161">
        <f t="shared" si="2"/>
        <v>0.31729669656113813</v>
      </c>
      <c r="M14" s="161">
        <f t="shared" si="3"/>
        <v>0.3054824578593936</v>
      </c>
      <c r="N14" s="21">
        <f t="shared" si="13"/>
        <v>0.28269785464888636</v>
      </c>
      <c r="O14" s="22">
        <f t="shared" si="14"/>
        <v>5.0045368313590792E-2</v>
      </c>
      <c r="P14" s="162">
        <v>6.55</v>
      </c>
      <c r="Q14" s="163">
        <v>6.39</v>
      </c>
      <c r="R14" s="163">
        <v>6.41</v>
      </c>
      <c r="S14" s="163">
        <v>6.68</v>
      </c>
      <c r="T14" s="25">
        <f t="shared" si="4"/>
        <v>6.45</v>
      </c>
      <c r="U14" s="26">
        <f t="shared" si="5"/>
        <v>8.7177978870813452E-2</v>
      </c>
      <c r="V14" s="162"/>
      <c r="W14" s="163"/>
      <c r="X14" s="163"/>
      <c r="Y14" s="163"/>
      <c r="Z14" s="25"/>
      <c r="AA14" s="26"/>
      <c r="AB14" s="162"/>
      <c r="AC14" s="163"/>
      <c r="AD14" s="163"/>
      <c r="AE14" s="25"/>
      <c r="AF14" s="26"/>
      <c r="AG14" s="162"/>
      <c r="AH14" s="163"/>
      <c r="AI14" s="208"/>
      <c r="AJ14" s="208"/>
      <c r="AK14" s="25"/>
      <c r="AL14" s="26"/>
      <c r="AM14" s="162"/>
      <c r="AN14" s="163"/>
      <c r="AO14" s="163"/>
      <c r="AP14" s="25"/>
      <c r="AQ14" s="26"/>
      <c r="AR14" s="162"/>
      <c r="AS14" s="163"/>
      <c r="AT14" s="163"/>
      <c r="AU14" s="163"/>
      <c r="AV14" s="25"/>
      <c r="AW14" s="26"/>
      <c r="AX14" s="162"/>
      <c r="AY14" s="163"/>
      <c r="AZ14" s="163"/>
      <c r="BA14" s="25"/>
      <c r="BB14" s="26"/>
      <c r="BC14" s="155" t="s">
        <v>66</v>
      </c>
      <c r="BD14" s="166"/>
      <c r="BE14" s="167"/>
      <c r="BF14" s="167"/>
      <c r="BG14" s="135"/>
      <c r="BH14" s="136"/>
      <c r="BI14" s="166"/>
      <c r="BJ14" s="167"/>
      <c r="BK14" s="167"/>
      <c r="BL14" s="135"/>
      <c r="BM14" s="136"/>
      <c r="BN14" s="166"/>
      <c r="BO14" s="167"/>
      <c r="BP14" s="167"/>
      <c r="BQ14" s="135"/>
      <c r="BR14" s="136"/>
      <c r="BS14" s="166"/>
      <c r="BT14" s="167"/>
      <c r="BU14" s="167"/>
      <c r="BV14" s="135"/>
      <c r="BW14" s="136"/>
      <c r="BX14" s="162"/>
      <c r="BY14" s="163"/>
      <c r="BZ14" s="163"/>
      <c r="CA14" s="25"/>
      <c r="CB14" s="26"/>
      <c r="CC14" s="162"/>
      <c r="CD14" s="163"/>
      <c r="CE14" s="163"/>
      <c r="CF14" s="25"/>
      <c r="CG14" s="26"/>
      <c r="CH14" s="226">
        <f t="shared" si="6"/>
        <v>122.08333333331393</v>
      </c>
      <c r="CI14" s="174">
        <f t="shared" si="30"/>
        <v>31.921528329497203</v>
      </c>
      <c r="CJ14" s="174">
        <f t="shared" si="55"/>
        <v>1.1850107614579299</v>
      </c>
      <c r="CK14" s="174">
        <f t="shared" si="56"/>
        <v>84.387419298175033</v>
      </c>
      <c r="CL14" s="174">
        <f t="shared" si="7"/>
        <v>0.84387419298175037</v>
      </c>
      <c r="DB14" s="155">
        <v>6.55</v>
      </c>
      <c r="DC14" s="155">
        <v>6.39</v>
      </c>
      <c r="DD14" s="155">
        <v>6.41</v>
      </c>
      <c r="DE14" s="155">
        <v>6.68</v>
      </c>
      <c r="DF14" s="155">
        <v>6.45</v>
      </c>
      <c r="DG14" s="155">
        <v>8.7177978870813452E-2</v>
      </c>
    </row>
    <row r="15" spans="1:126" x14ac:dyDescent="0.25">
      <c r="A15" s="155" t="s">
        <v>142</v>
      </c>
      <c r="B15" s="158">
        <v>42930.647916666669</v>
      </c>
      <c r="C15" s="226">
        <f t="shared" si="0"/>
        <v>152.46666666667443</v>
      </c>
      <c r="D15" s="227">
        <f t="shared" si="10"/>
        <v>0.81231134002848593</v>
      </c>
      <c r="E15" s="160">
        <v>0.28599999999999998</v>
      </c>
      <c r="F15" s="161">
        <f>0.206*2</f>
        <v>0.41199999999999998</v>
      </c>
      <c r="G15" s="161">
        <f>0.196*2</f>
        <v>0.39200000000000002</v>
      </c>
      <c r="H15" s="161">
        <v>1E-3</v>
      </c>
      <c r="I15" s="21">
        <f t="shared" si="11"/>
        <v>0.36333333333333329</v>
      </c>
      <c r="J15" s="22">
        <f t="shared" si="12"/>
        <v>6.7715089406522863E-2</v>
      </c>
      <c r="K15" s="160">
        <f t="shared" si="1"/>
        <v>0.23232104324814695</v>
      </c>
      <c r="L15" s="161">
        <f t="shared" si="2"/>
        <v>0.33467227209173617</v>
      </c>
      <c r="M15" s="161">
        <f t="shared" si="3"/>
        <v>0.31842604529116647</v>
      </c>
      <c r="N15" s="21">
        <f t="shared" si="13"/>
        <v>0.29513978687701653</v>
      </c>
      <c r="O15" s="22">
        <f t="shared" si="14"/>
        <v>5.5005735015960906E-2</v>
      </c>
      <c r="P15" s="162">
        <v>6.58</v>
      </c>
      <c r="Q15" s="163">
        <v>6.48</v>
      </c>
      <c r="R15" s="163">
        <v>6.51</v>
      </c>
      <c r="S15" s="163">
        <v>6.61</v>
      </c>
      <c r="T15" s="25">
        <f t="shared" si="4"/>
        <v>6.5233333333333334</v>
      </c>
      <c r="U15" s="26">
        <f t="shared" si="5"/>
        <v>5.1316014394468736E-2</v>
      </c>
      <c r="V15" s="162"/>
      <c r="W15" s="163"/>
      <c r="X15" s="163"/>
      <c r="Y15" s="163"/>
      <c r="Z15" s="25"/>
      <c r="AA15" s="26"/>
      <c r="AB15" s="162"/>
      <c r="AC15" s="163"/>
      <c r="AD15" s="163"/>
      <c r="AE15" s="25"/>
      <c r="AF15" s="26"/>
      <c r="AG15" s="162"/>
      <c r="AH15" s="163"/>
      <c r="AI15" s="208"/>
      <c r="AJ15" s="208"/>
      <c r="AK15" s="25"/>
      <c r="AL15" s="26"/>
      <c r="AM15" s="162"/>
      <c r="AN15" s="163"/>
      <c r="AO15" s="163"/>
      <c r="AP15" s="25"/>
      <c r="AQ15" s="26"/>
      <c r="AR15" s="162"/>
      <c r="AS15" s="163"/>
      <c r="AT15" s="163"/>
      <c r="AU15" s="163"/>
      <c r="AV15" s="25"/>
      <c r="AW15" s="26"/>
      <c r="AX15" s="162"/>
      <c r="AY15" s="163"/>
      <c r="AZ15" s="163"/>
      <c r="BA15" s="25"/>
      <c r="BB15" s="26"/>
      <c r="BC15" s="155" t="s">
        <v>142</v>
      </c>
      <c r="BD15" s="166">
        <v>-214000000</v>
      </c>
      <c r="BE15" s="167">
        <v>-187000000</v>
      </c>
      <c r="BF15" s="167">
        <v>-107000000</v>
      </c>
      <c r="BG15" s="135">
        <f t="shared" si="37"/>
        <v>-169333333.33333334</v>
      </c>
      <c r="BH15" s="136">
        <f t="shared" si="38"/>
        <v>55644706.247165471</v>
      </c>
      <c r="BI15" s="166">
        <f t="shared" si="39"/>
        <v>-173834626.766096</v>
      </c>
      <c r="BJ15" s="167">
        <f t="shared" si="40"/>
        <v>-151902220.58532688</v>
      </c>
      <c r="BK15" s="167">
        <f t="shared" si="41"/>
        <v>-86917313.383047998</v>
      </c>
      <c r="BL15" s="135">
        <f t="shared" si="42"/>
        <v>-137551386.91149029</v>
      </c>
      <c r="BM15" s="136">
        <f t="shared" si="43"/>
        <v>45200825.897126347</v>
      </c>
      <c r="BN15" s="166">
        <v>310000000</v>
      </c>
      <c r="BO15" s="167">
        <v>380000000</v>
      </c>
      <c r="BP15" s="167">
        <v>310000000</v>
      </c>
      <c r="BQ15" s="135">
        <f t="shared" si="44"/>
        <v>333333333.33333331</v>
      </c>
      <c r="BR15" s="136">
        <f t="shared" si="45"/>
        <v>40414518.843273804</v>
      </c>
      <c r="BS15" s="166">
        <f t="shared" si="46"/>
        <v>251816515.40883064</v>
      </c>
      <c r="BT15" s="167">
        <f t="shared" si="47"/>
        <v>308678309.21082467</v>
      </c>
      <c r="BU15" s="167">
        <f t="shared" si="48"/>
        <v>251816515.40883064</v>
      </c>
      <c r="BV15" s="135">
        <f t="shared" si="49"/>
        <v>270770446.676162</v>
      </c>
      <c r="BW15" s="136">
        <f t="shared" si="50"/>
        <v>32829171.958186246</v>
      </c>
      <c r="BX15" s="162">
        <v>-2.2291666666666665</v>
      </c>
      <c r="BY15" s="163">
        <v>-0.9689119170984456</v>
      </c>
      <c r="BZ15" s="163">
        <v>-0.52709359605911332</v>
      </c>
      <c r="CA15" s="25">
        <f t="shared" si="61"/>
        <v>-1.2417240599414086</v>
      </c>
      <c r="CB15" s="26">
        <f t="shared" si="62"/>
        <v>0.88322309377856689</v>
      </c>
      <c r="CC15" s="162">
        <v>3.2291666666666665</v>
      </c>
      <c r="CD15" s="163">
        <v>1.9689119170984455</v>
      </c>
      <c r="CE15" s="163">
        <v>1.5270935960591132</v>
      </c>
      <c r="CF15" s="25">
        <f t="shared" si="63"/>
        <v>2.2417240599414083</v>
      </c>
      <c r="CG15" s="26">
        <f t="shared" si="64"/>
        <v>0.88322309377856789</v>
      </c>
      <c r="CH15" s="226">
        <f t="shared" si="6"/>
        <v>152.46666666667443</v>
      </c>
      <c r="CI15" s="174">
        <f t="shared" si="30"/>
        <v>33.161858797704198</v>
      </c>
      <c r="CJ15" s="174">
        <f t="shared" si="55"/>
        <v>1.2310550779273035</v>
      </c>
      <c r="CK15" s="174">
        <f t="shared" si="56"/>
        <v>81.231134002848592</v>
      </c>
      <c r="CL15" s="174">
        <f t="shared" si="7"/>
        <v>0.81231134002848593</v>
      </c>
      <c r="DB15" s="155">
        <v>6.58</v>
      </c>
      <c r="DC15" s="155">
        <v>6.48</v>
      </c>
      <c r="DD15" s="155">
        <v>6.51</v>
      </c>
      <c r="DE15" s="155">
        <v>6.61</v>
      </c>
      <c r="DF15" s="155">
        <v>6.5233333333333334</v>
      </c>
      <c r="DG15" s="155">
        <v>5.1316014394468736E-2</v>
      </c>
    </row>
    <row r="16" spans="1:126" x14ac:dyDescent="0.25">
      <c r="A16" s="155" t="s">
        <v>143</v>
      </c>
      <c r="B16" s="158">
        <v>42933.433333333334</v>
      </c>
      <c r="C16" s="176">
        <f t="shared" si="0"/>
        <v>219.31666666665114</v>
      </c>
      <c r="D16" s="235">
        <f t="shared" si="10"/>
        <v>0.75054639187969707</v>
      </c>
      <c r="E16" s="177">
        <f>0.191*2</f>
        <v>0.38200000000000001</v>
      </c>
      <c r="F16" s="178">
        <f>0.274*2</f>
        <v>0.54800000000000004</v>
      </c>
      <c r="G16" s="178">
        <f>0.256*2</f>
        <v>0.51200000000000001</v>
      </c>
      <c r="H16" s="178">
        <v>2E-3</v>
      </c>
      <c r="I16" s="42">
        <f t="shared" si="11"/>
        <v>0.48066666666666674</v>
      </c>
      <c r="J16" s="43">
        <f t="shared" si="12"/>
        <v>8.7323154623119639E-2</v>
      </c>
      <c r="K16" s="177">
        <f t="shared" si="1"/>
        <v>0.28670872169804429</v>
      </c>
      <c r="L16" s="178">
        <f t="shared" si="2"/>
        <v>0.41129942275007403</v>
      </c>
      <c r="M16" s="178">
        <f t="shared" si="3"/>
        <v>0.38427975264240488</v>
      </c>
      <c r="N16" s="42">
        <f t="shared" si="13"/>
        <v>0.36076263236350775</v>
      </c>
      <c r="O16" s="43">
        <f t="shared" si="14"/>
        <v>6.5540078629935716E-2</v>
      </c>
      <c r="P16" s="179">
        <v>6.16</v>
      </c>
      <c r="Q16" s="180">
        <v>5.79</v>
      </c>
      <c r="R16" s="180">
        <v>5.92</v>
      </c>
      <c r="S16" s="180">
        <v>6.47</v>
      </c>
      <c r="T16" s="46">
        <f t="shared" si="4"/>
        <v>5.9566666666666661</v>
      </c>
      <c r="U16" s="47">
        <f t="shared" si="5"/>
        <v>0.18770544300401457</v>
      </c>
      <c r="V16" s="179">
        <v>28.153281107088073</v>
      </c>
      <c r="W16" s="180">
        <v>24.462204834207633</v>
      </c>
      <c r="X16" s="180">
        <v>24.459294963369846</v>
      </c>
      <c r="Y16" s="180">
        <v>36.1074601173231</v>
      </c>
      <c r="Z16" s="46">
        <f t="shared" si="15"/>
        <v>25.691593634888516</v>
      </c>
      <c r="AA16" s="47">
        <f t="shared" si="16"/>
        <v>2.1318843835736621</v>
      </c>
      <c r="AB16" s="179">
        <f>V16*D16</f>
        <v>21.130343554499795</v>
      </c>
      <c r="AC16" s="180">
        <f>W16*D16</f>
        <v>18.360019575736622</v>
      </c>
      <c r="AD16" s="180">
        <f>X16*D16</f>
        <v>18.357835582678486</v>
      </c>
      <c r="AE16" s="46">
        <f t="shared" si="17"/>
        <v>19.282732904304968</v>
      </c>
      <c r="AF16" s="47">
        <f t="shared" si="18"/>
        <v>1.6000781319958828</v>
      </c>
      <c r="AG16" s="211">
        <v>0</v>
      </c>
      <c r="AH16" s="212">
        <v>0</v>
      </c>
      <c r="AI16" s="212">
        <v>0</v>
      </c>
      <c r="AJ16" s="212">
        <v>0</v>
      </c>
      <c r="AK16" s="46">
        <f t="shared" si="19"/>
        <v>0</v>
      </c>
      <c r="AL16" s="47">
        <f t="shared" si="20"/>
        <v>0</v>
      </c>
      <c r="AM16" s="179">
        <f t="shared" ref="AM16" si="65">AG16*D16</f>
        <v>0</v>
      </c>
      <c r="AN16" s="180">
        <f t="shared" ref="AN16" si="66">AH16*D16</f>
        <v>0</v>
      </c>
      <c r="AO16" s="180">
        <f t="shared" ref="AO16" si="67">AI16*D16</f>
        <v>0</v>
      </c>
      <c r="AP16" s="46">
        <f t="shared" si="21"/>
        <v>0</v>
      </c>
      <c r="AQ16" s="47">
        <f t="shared" si="22"/>
        <v>0</v>
      </c>
      <c r="AR16" s="179">
        <v>0.84715295560449522</v>
      </c>
      <c r="AS16" s="180">
        <v>1.540739247510829</v>
      </c>
      <c r="AT16" s="180">
        <v>1.2691733854919343</v>
      </c>
      <c r="AU16" s="212">
        <v>0</v>
      </c>
      <c r="AV16" s="46">
        <f t="shared" si="23"/>
        <v>1.2190218628690863</v>
      </c>
      <c r="AW16" s="47">
        <f t="shared" si="24"/>
        <v>0.34950231400684151</v>
      </c>
      <c r="AX16" s="179">
        <f t="shared" si="25"/>
        <v>0.63582759419917512</v>
      </c>
      <c r="AY16" s="180">
        <f t="shared" si="26"/>
        <v>1.1563962830466923</v>
      </c>
      <c r="AZ16" s="180">
        <f t="shared" si="27"/>
        <v>0.95257350515071115</v>
      </c>
      <c r="BA16" s="46">
        <f t="shared" si="28"/>
        <v>0.91493246079885948</v>
      </c>
      <c r="BB16" s="47">
        <f t="shared" si="29"/>
        <v>0.26231770073144028</v>
      </c>
      <c r="BC16" s="225" t="s">
        <v>143</v>
      </c>
      <c r="BD16" s="181"/>
      <c r="BE16" s="182"/>
      <c r="BF16" s="182"/>
      <c r="BG16" s="104"/>
      <c r="BH16" s="80"/>
      <c r="BI16" s="181"/>
      <c r="BJ16" s="182"/>
      <c r="BK16" s="182"/>
      <c r="BL16" s="104"/>
      <c r="BM16" s="80"/>
      <c r="BN16" s="236"/>
      <c r="BO16" s="237"/>
      <c r="BP16" s="237"/>
      <c r="BQ16" s="237"/>
      <c r="BR16" s="238"/>
      <c r="BS16" s="181"/>
      <c r="BT16" s="182"/>
      <c r="BU16" s="182"/>
      <c r="BV16" s="104"/>
      <c r="BW16" s="213"/>
      <c r="BX16" s="179"/>
      <c r="BY16" s="180"/>
      <c r="BZ16" s="180"/>
      <c r="CA16" s="180"/>
      <c r="CB16" s="239"/>
      <c r="CC16" s="179"/>
      <c r="CD16" s="180"/>
      <c r="CE16" s="180"/>
      <c r="CF16" s="180"/>
      <c r="CG16" s="239"/>
      <c r="CH16" s="226">
        <f t="shared" si="6"/>
        <v>219.31666666665114</v>
      </c>
      <c r="CI16" s="174">
        <f t="shared" si="30"/>
        <v>35.890857979257731</v>
      </c>
      <c r="CJ16" s="174">
        <f t="shared" si="55"/>
        <v>1.3323626771365347</v>
      </c>
      <c r="CK16" s="174">
        <f t="shared" si="56"/>
        <v>75.054639187969713</v>
      </c>
      <c r="CL16" s="174">
        <f t="shared" si="7"/>
        <v>0.75054639187969707</v>
      </c>
      <c r="CW16" s="155">
        <v>0</v>
      </c>
      <c r="CX16" s="155">
        <v>0</v>
      </c>
      <c r="CY16" s="155">
        <v>0</v>
      </c>
      <c r="CZ16" s="155">
        <v>0</v>
      </c>
      <c r="DA16" s="155">
        <v>0</v>
      </c>
      <c r="DB16" s="155">
        <v>6.16</v>
      </c>
      <c r="DC16" s="155">
        <v>5.79</v>
      </c>
      <c r="DD16" s="155">
        <v>5.92</v>
      </c>
      <c r="DE16" s="155">
        <v>6.47</v>
      </c>
      <c r="DF16" s="155">
        <v>5.9566666666666661</v>
      </c>
      <c r="DG16" s="155">
        <v>0.18770544300401457</v>
      </c>
      <c r="DH16" s="155">
        <f t="shared" si="31"/>
        <v>0</v>
      </c>
      <c r="DI16" s="155">
        <f t="shared" si="8"/>
        <v>0</v>
      </c>
      <c r="DJ16" s="155">
        <f t="shared" si="8"/>
        <v>0</v>
      </c>
      <c r="DK16" s="155">
        <f t="shared" si="32"/>
        <v>0</v>
      </c>
      <c r="DL16" s="155">
        <f t="shared" si="33"/>
        <v>0</v>
      </c>
      <c r="DM16" s="155">
        <v>0.63582759419917512</v>
      </c>
      <c r="DN16" s="155">
        <v>1.1563962830466923</v>
      </c>
      <c r="DO16" s="155">
        <v>0.95257350515071115</v>
      </c>
      <c r="DP16" s="155">
        <v>0.91493246079885948</v>
      </c>
      <c r="DQ16" s="155">
        <v>0.26231770073144028</v>
      </c>
      <c r="DR16" s="155">
        <f t="shared" si="34"/>
        <v>2.4343615653751375E-2</v>
      </c>
      <c r="DS16" s="155">
        <f t="shared" si="9"/>
        <v>9.8709110287529767E-2</v>
      </c>
      <c r="DT16" s="155">
        <f t="shared" si="9"/>
        <v>6.1637698419715066E-2</v>
      </c>
      <c r="DU16" s="155">
        <f t="shared" si="35"/>
        <v>6.156347478699873E-2</v>
      </c>
      <c r="DV16" s="155">
        <f t="shared" si="36"/>
        <v>3.7182802878378766E-2</v>
      </c>
    </row>
    <row r="17" spans="1:54" ht="18.75" x14ac:dyDescent="0.35">
      <c r="C17" s="48" t="s">
        <v>117</v>
      </c>
      <c r="D17" s="240"/>
      <c r="E17" s="174">
        <f>LN(LOGEST(E7:E9,$C$7:$C$9))</f>
        <v>9.6354717924513028E-2</v>
      </c>
      <c r="F17" s="174">
        <f>LN(LOGEST(F7:F9,$C$7:$C$9))</f>
        <v>0.10655216297772724</v>
      </c>
      <c r="G17" s="174">
        <f>LN(LOGEST(G7:G9,$C$7:$C$9))</f>
        <v>0.10410765425937971</v>
      </c>
      <c r="H17" s="174"/>
      <c r="I17" s="111">
        <f>AVERAGE(E17:G17)</f>
        <v>0.10233817838720666</v>
      </c>
      <c r="J17" s="51">
        <f>STDEV(E17:G17)</f>
        <v>5.3240262067332719E-3</v>
      </c>
      <c r="K17" s="174">
        <f t="shared" ref="K17:M17" si="68">LN(LOGEST(K7:K9,$C$7:$C$9))</f>
        <v>9.4862304191680819E-2</v>
      </c>
      <c r="L17" s="174">
        <f t="shared" si="68"/>
        <v>0.10505974924489513</v>
      </c>
      <c r="M17" s="174">
        <f t="shared" si="68"/>
        <v>0.10261524052654752</v>
      </c>
      <c r="N17" s="111">
        <f>AVERAGE(K17:M17)</f>
        <v>0.10084576465437449</v>
      </c>
      <c r="O17" s="51">
        <f>STDEV(K17:M17)</f>
        <v>5.3240262067333153E-3</v>
      </c>
      <c r="T17" s="81"/>
      <c r="U17" s="120"/>
      <c r="Y17" s="50"/>
      <c r="AA17" s="123" t="s">
        <v>87</v>
      </c>
      <c r="AB17" s="174">
        <f>AB7-AB9</f>
        <v>1.9728360733038848</v>
      </c>
      <c r="AC17" s="174">
        <f t="shared" ref="AC17:AD17" si="69">AC7-AC9</f>
        <v>2.0014421348700751</v>
      </c>
      <c r="AD17" s="174">
        <f t="shared" si="69"/>
        <v>1.6371650061378702</v>
      </c>
      <c r="AE17" s="111">
        <f>AVERAGE(AB17:AD17)</f>
        <v>1.8704810714372766</v>
      </c>
      <c r="AF17" s="51">
        <f>STDEV(AB17:AD17)</f>
        <v>0.20256324058100927</v>
      </c>
      <c r="AJ17" s="50"/>
      <c r="AL17" s="123" t="s">
        <v>148</v>
      </c>
      <c r="AM17" s="174">
        <f>AM9-AM7</f>
        <v>2.0752555404208066</v>
      </c>
      <c r="AN17" s="174">
        <f t="shared" ref="AN17:AO17" si="70">AN9-AN7</f>
        <v>1.9247560553211407</v>
      </c>
      <c r="AO17" s="174">
        <f t="shared" si="70"/>
        <v>1.8010148961483134</v>
      </c>
      <c r="AP17" s="111">
        <f>AVERAGE(AM17:AO17)</f>
        <v>1.9336754972967534</v>
      </c>
      <c r="AQ17" s="51">
        <f>STDEV(AM17:AO17)</f>
        <v>0.1373377227007033</v>
      </c>
      <c r="AW17" s="241"/>
      <c r="AX17" s="174">
        <f>AX9-AX7</f>
        <v>0.23311813796909042</v>
      </c>
      <c r="AY17" s="174">
        <f t="shared" ref="AY17:AZ17" si="71">AY9-AY7</f>
        <v>0.32145855624088138</v>
      </c>
      <c r="AZ17" s="174">
        <f t="shared" si="71"/>
        <v>0.2802683315046583</v>
      </c>
      <c r="BA17" s="111">
        <f>AVERAGE(AX17:AZ17)</f>
        <v>0.27828167523821001</v>
      </c>
      <c r="BB17" s="51">
        <f>STDEV(AX17:AZ17)</f>
        <v>4.420370434080767E-2</v>
      </c>
    </row>
    <row r="18" spans="1:54" ht="18" x14ac:dyDescent="0.35">
      <c r="A18" s="52" t="s">
        <v>27</v>
      </c>
      <c r="B18" s="53"/>
      <c r="C18" s="54" t="s">
        <v>28</v>
      </c>
      <c r="D18" s="216"/>
      <c r="J18" s="175"/>
      <c r="K18" s="174">
        <f>K16*0.46</f>
        <v>0.13188601198110037</v>
      </c>
      <c r="L18" s="174">
        <f t="shared" ref="L18:M18" si="72">L16*0.46</f>
        <v>0.18919773446503407</v>
      </c>
      <c r="M18" s="174">
        <f t="shared" si="72"/>
        <v>0.17676868621550626</v>
      </c>
      <c r="N18" s="111">
        <f>AVERAGE(K18:M18)</f>
        <v>0.16595081088721356</v>
      </c>
      <c r="O18" s="26">
        <f>STDEV(K18:M18)</f>
        <v>3.0148436169770514E-2</v>
      </c>
      <c r="T18" s="81"/>
      <c r="U18" s="86"/>
      <c r="Y18" s="50"/>
      <c r="AA18" s="54" t="s">
        <v>29</v>
      </c>
      <c r="AB18" s="174">
        <f>(E9-E7)*0.46</f>
        <v>4.0940000000000004E-2</v>
      </c>
      <c r="AC18" s="174">
        <f t="shared" ref="AC18:AD18" si="73">(F9-F7)*0.46</f>
        <v>4.9680000000000002E-2</v>
      </c>
      <c r="AD18" s="174">
        <f t="shared" si="73"/>
        <v>4.8759999999999998E-2</v>
      </c>
      <c r="AE18" s="111">
        <f>AVERAGE(AB18:AD18)</f>
        <v>4.6460000000000001E-2</v>
      </c>
      <c r="AF18" s="26">
        <f>STDEV(AB18:AD18)</f>
        <v>4.8025409940988511E-3</v>
      </c>
      <c r="AJ18" s="50"/>
      <c r="AL18" s="54" t="s">
        <v>149</v>
      </c>
      <c r="AM18" s="174">
        <f>(AM17/1000*90.08)/(AB17/1000*180.16)</f>
        <v>0.5259574194994826</v>
      </c>
      <c r="AN18" s="174">
        <f>(AN17/1000*90.08)/(AC17/1000*180.16)</f>
        <v>0.48084229411061319</v>
      </c>
      <c r="AO18" s="174">
        <f>(AO17/1000*90.08)/(AD17/1000*180.16)</f>
        <v>0.55004073792078245</v>
      </c>
      <c r="AP18" s="111">
        <f>AVERAGE(AM18:AO18)</f>
        <v>0.51894681717695945</v>
      </c>
      <c r="AQ18" s="26">
        <f>STDEV(AM18:AO18)</f>
        <v>3.5127874474990849E-2</v>
      </c>
      <c r="AW18" s="175"/>
      <c r="AX18" s="174">
        <f>(AX17/1000*59.04)/(AB17/1000*180.16)</f>
        <v>3.8723360628263308E-2</v>
      </c>
      <c r="AY18" s="174">
        <f>(AY17/1000*59.04)/(AC17/1000*180.16)</f>
        <v>5.2634430353524012E-2</v>
      </c>
      <c r="AZ18" s="174">
        <f>(AZ17/1000*59.04)/(AD17/1000*180.16)</f>
        <v>5.6100864097427053E-2</v>
      </c>
      <c r="BA18" s="111">
        <f>AVERAGE(AX18:AZ18)</f>
        <v>4.9152885026404781E-2</v>
      </c>
      <c r="BB18" s="26">
        <f>STDEV(AX18:AZ18)</f>
        <v>9.1970253399557955E-3</v>
      </c>
    </row>
    <row r="19" spans="1:54" ht="18" x14ac:dyDescent="0.35">
      <c r="C19" s="175"/>
      <c r="D19" s="223"/>
      <c r="J19" s="175"/>
      <c r="O19" s="69" t="s">
        <v>34</v>
      </c>
      <c r="P19" s="174">
        <f>AB18/(P7-P9)</f>
        <v>2.496341463414635E-2</v>
      </c>
      <c r="Q19" s="174">
        <f t="shared" ref="Q19:R19" si="74">AC18/(Q7-Q9)</f>
        <v>3.124528301886793E-2</v>
      </c>
      <c r="R19" s="174">
        <f t="shared" si="74"/>
        <v>3.1057324840764323E-2</v>
      </c>
      <c r="S19" s="174"/>
      <c r="T19" s="111">
        <f>AVERAGE(P19:R19)</f>
        <v>2.9088674164592866E-2</v>
      </c>
      <c r="U19" s="26">
        <f>STDEV(P19:R19)</f>
        <v>3.5738154281291412E-3</v>
      </c>
      <c r="Y19" s="50"/>
      <c r="AA19" s="54" t="s">
        <v>88</v>
      </c>
      <c r="AB19" s="174">
        <f>AB18/(AB17/1000*180.16)</f>
        <v>0.11518567316846005</v>
      </c>
      <c r="AC19" s="174">
        <f t="shared" ref="AC19:AD19" si="75">AC18/(AC17/1000*180.16)</f>
        <v>0.13777809497598595</v>
      </c>
      <c r="AD19" s="174">
        <f t="shared" si="75"/>
        <v>0.16531523187725669</v>
      </c>
      <c r="AE19" s="111">
        <f>AVERAGE(AB19:AD19)</f>
        <v>0.13942633334056756</v>
      </c>
      <c r="AF19" s="26">
        <f>STDEV(AB19:AD19)</f>
        <v>2.5105391480009384E-2</v>
      </c>
      <c r="AJ19" s="98"/>
      <c r="AL19" s="60" t="s">
        <v>31</v>
      </c>
      <c r="AM19" s="174">
        <f>(AM17/1000*90.08)/AB18</f>
        <v>4.5661704709600937</v>
      </c>
      <c r="AN19" s="174">
        <f>(AN17/1000*90.08)/AC18</f>
        <v>3.4899763579574947</v>
      </c>
      <c r="AO19" s="174">
        <f>(AO17/1000*90.08)/AD18</f>
        <v>3.327223581727647</v>
      </c>
      <c r="AP19" s="111">
        <f t="shared" ref="AP19:AP21" si="76">AVERAGE(AM19:AO19)</f>
        <v>3.7944568035484121</v>
      </c>
      <c r="AQ19" s="26">
        <f t="shared" ref="AQ19:AQ21" si="77">STDEV(AM19:AO19)</f>
        <v>0.67325968607597586</v>
      </c>
      <c r="AW19" s="175"/>
      <c r="AX19" s="174">
        <f>(AX17/1000*59.04)/AB18</f>
        <v>0.33618209246934777</v>
      </c>
      <c r="AY19" s="174">
        <f>(AY17/1000*59.04)/AC18</f>
        <v>0.38202321176452569</v>
      </c>
      <c r="AZ19" s="174">
        <f>(AZ17/1000*59.04)/AD18</f>
        <v>0.33935689688340903</v>
      </c>
      <c r="BA19" s="111">
        <f t="shared" ref="BA19:BA21" si="78">AVERAGE(AX19:AZ19)</f>
        <v>0.35252073370576081</v>
      </c>
      <c r="BB19" s="26">
        <f t="shared" ref="BB19:BB21" si="79">STDEV(AX19:AZ19)</f>
        <v>2.5599160229835907E-2</v>
      </c>
    </row>
    <row r="20" spans="1:54" ht="18.75" x14ac:dyDescent="0.35">
      <c r="C20" s="175"/>
      <c r="D20" s="223"/>
      <c r="J20" s="175"/>
      <c r="O20" s="69"/>
      <c r="P20" s="174"/>
      <c r="Q20" s="174"/>
      <c r="R20" s="174"/>
      <c r="S20" s="174"/>
      <c r="T20" s="111"/>
      <c r="U20" s="26"/>
      <c r="Y20" s="50"/>
      <c r="AA20" s="54" t="s">
        <v>32</v>
      </c>
      <c r="AB20" s="174">
        <f>K17*(AB17)</f>
        <v>0.18714777570607424</v>
      </c>
      <c r="AC20" s="174">
        <f t="shared" ref="AC20:AD20" si="80">L17*(AC17)</f>
        <v>0.21027100881761765</v>
      </c>
      <c r="AD20" s="174">
        <f t="shared" si="80"/>
        <v>0.16799808088648421</v>
      </c>
      <c r="AE20" s="111">
        <f>AVERAGE(AB20:AD20)</f>
        <v>0.1884722884700587</v>
      </c>
      <c r="AF20" s="26">
        <f>STDEV(AB20:AD20)</f>
        <v>2.1167566216128125E-2</v>
      </c>
      <c r="AJ20" s="98"/>
      <c r="AL20" s="60"/>
      <c r="AM20" s="174">
        <f>K17*(AM17)</f>
        <v>0.19686352235086951</v>
      </c>
      <c r="AN20" s="174">
        <f t="shared" ref="AN20:AO20" si="81">L17*(AN17)</f>
        <v>0.20221438852963253</v>
      </c>
      <c r="AO20" s="174">
        <f t="shared" si="81"/>
        <v>0.18481157676015419</v>
      </c>
      <c r="AP20" s="111">
        <f t="shared" si="76"/>
        <v>0.19462982921355207</v>
      </c>
      <c r="AQ20" s="26">
        <f t="shared" si="77"/>
        <v>8.913837733812954E-3</v>
      </c>
      <c r="AW20" s="175"/>
      <c r="AX20" s="174">
        <f>K17*(AX17)</f>
        <v>2.2114123716622074E-2</v>
      </c>
      <c r="AY20" s="174">
        <f t="shared" ref="AY20:AZ20" si="82">L17*(AY17)</f>
        <v>3.3772355311293016E-2</v>
      </c>
      <c r="AZ20" s="174">
        <f t="shared" si="82"/>
        <v>2.875980224932467E-2</v>
      </c>
      <c r="BA20" s="111">
        <f t="shared" si="78"/>
        <v>2.8215427092413255E-2</v>
      </c>
      <c r="BB20" s="26">
        <f t="shared" si="79"/>
        <v>5.8481492125579734E-3</v>
      </c>
    </row>
    <row r="21" spans="1:54" ht="18.75" x14ac:dyDescent="0.35">
      <c r="C21" s="183"/>
      <c r="D21" s="225"/>
      <c r="E21" s="182"/>
      <c r="F21" s="182"/>
      <c r="G21" s="182"/>
      <c r="H21" s="182"/>
      <c r="I21" s="182"/>
      <c r="J21" s="183"/>
      <c r="K21" s="182"/>
      <c r="L21" s="182"/>
      <c r="M21" s="182"/>
      <c r="N21" s="182"/>
      <c r="O21" s="219"/>
      <c r="P21" s="237"/>
      <c r="Q21" s="237"/>
      <c r="R21" s="237"/>
      <c r="S21" s="237"/>
      <c r="T21" s="221"/>
      <c r="U21" s="213"/>
      <c r="V21" s="182"/>
      <c r="W21" s="182"/>
      <c r="X21" s="182"/>
      <c r="Y21" s="65"/>
      <c r="Z21" s="182"/>
      <c r="AA21" s="124" t="s">
        <v>118</v>
      </c>
      <c r="AB21" s="180">
        <f>K17*(AB17/AB18)</f>
        <v>4.5712695580379634</v>
      </c>
      <c r="AC21" s="180">
        <f t="shared" ref="AC21:AD21" si="83">L17*(AC17/AC18)</f>
        <v>4.2325082290180687</v>
      </c>
      <c r="AD21" s="180">
        <f t="shared" si="83"/>
        <v>3.4454077294192822</v>
      </c>
      <c r="AE21" s="46">
        <f>AVERAGE(AB21:AD21)</f>
        <v>4.0830618388251043</v>
      </c>
      <c r="AF21" s="47">
        <f>STDEV(AB21:AD21)</f>
        <v>0.57761741831547597</v>
      </c>
      <c r="AG21" s="182"/>
      <c r="AH21" s="182"/>
      <c r="AI21" s="182"/>
      <c r="AJ21" s="65"/>
      <c r="AK21" s="182"/>
      <c r="AL21" s="124" t="s">
        <v>150</v>
      </c>
      <c r="AM21" s="180">
        <f>K17*(AM17/AB18)</f>
        <v>4.8085862811643754</v>
      </c>
      <c r="AN21" s="180">
        <f>L17*(AN17/AC18)</f>
        <v>4.0703379333661944</v>
      </c>
      <c r="AO21" s="180">
        <f>M17*(AO17/AD18)</f>
        <v>3.7902292198555005</v>
      </c>
      <c r="AP21" s="46">
        <f t="shared" si="76"/>
        <v>4.2230511447953569</v>
      </c>
      <c r="AQ21" s="47">
        <f t="shared" si="77"/>
        <v>0.52607392046001011</v>
      </c>
      <c r="AR21" s="182"/>
      <c r="AS21" s="182"/>
      <c r="AT21" s="182"/>
      <c r="AU21" s="182"/>
      <c r="AV21" s="182"/>
      <c r="AW21" s="183"/>
      <c r="AX21" s="180">
        <f>K17*(AX17/AB18)</f>
        <v>0.54015934823209755</v>
      </c>
      <c r="AY21" s="180">
        <f>L17*(AY17/AC18)</f>
        <v>0.67979781222409441</v>
      </c>
      <c r="AZ21" s="180">
        <f>M17*(AZ17/AD18)</f>
        <v>0.58982367205341812</v>
      </c>
      <c r="BA21" s="46">
        <f t="shared" si="78"/>
        <v>0.60326027750320332</v>
      </c>
      <c r="BB21" s="47">
        <f t="shared" si="79"/>
        <v>7.0782285432309619E-2</v>
      </c>
    </row>
    <row r="53" spans="1:51" x14ac:dyDescent="0.25">
      <c r="A53" s="145" t="s">
        <v>89</v>
      </c>
    </row>
    <row r="54" spans="1:51" x14ac:dyDescent="0.25">
      <c r="B54" s="155" t="s">
        <v>90</v>
      </c>
      <c r="C54" s="155">
        <v>1</v>
      </c>
      <c r="D54" s="155">
        <v>2</v>
      </c>
      <c r="E54" s="155">
        <v>3</v>
      </c>
      <c r="F54" s="155">
        <v>4</v>
      </c>
      <c r="G54" s="155">
        <v>5</v>
      </c>
      <c r="H54" s="155">
        <v>6</v>
      </c>
      <c r="I54" s="155">
        <v>7</v>
      </c>
      <c r="J54" s="155">
        <v>8</v>
      </c>
      <c r="K54" s="155">
        <v>9</v>
      </c>
      <c r="L54" s="155">
        <v>10</v>
      </c>
      <c r="M54" s="155" t="s">
        <v>17</v>
      </c>
      <c r="O54" s="155">
        <v>1</v>
      </c>
      <c r="P54" s="155">
        <v>2</v>
      </c>
      <c r="Q54" s="155">
        <v>3</v>
      </c>
      <c r="R54" s="155">
        <v>4</v>
      </c>
      <c r="S54" s="155">
        <v>5</v>
      </c>
      <c r="T54" s="155">
        <v>6</v>
      </c>
      <c r="U54" s="155">
        <v>7</v>
      </c>
      <c r="V54" s="155">
        <v>8</v>
      </c>
      <c r="W54" s="155">
        <v>9</v>
      </c>
      <c r="X54" s="155">
        <v>10</v>
      </c>
      <c r="Y54" s="155" t="s">
        <v>17</v>
      </c>
      <c r="AA54" s="155" t="s">
        <v>90</v>
      </c>
      <c r="AB54" s="155">
        <v>1</v>
      </c>
      <c r="AC54" s="155">
        <v>2</v>
      </c>
      <c r="AD54" s="155">
        <v>3</v>
      </c>
      <c r="AE54" s="155">
        <v>4</v>
      </c>
      <c r="AF54" s="155">
        <v>5</v>
      </c>
      <c r="AG54" s="155">
        <v>6</v>
      </c>
      <c r="AH54" s="155">
        <v>7</v>
      </c>
      <c r="AI54" s="155">
        <v>8</v>
      </c>
      <c r="AJ54" s="155">
        <v>9</v>
      </c>
      <c r="AK54" s="155">
        <v>10</v>
      </c>
      <c r="AL54" s="155" t="s">
        <v>17</v>
      </c>
      <c r="AN54" s="155">
        <v>1</v>
      </c>
      <c r="AO54" s="155">
        <v>2</v>
      </c>
      <c r="AP54" s="155">
        <v>3</v>
      </c>
      <c r="AQ54" s="155">
        <v>4</v>
      </c>
      <c r="AR54" s="155">
        <v>5</v>
      </c>
      <c r="AS54" s="155">
        <v>6</v>
      </c>
      <c r="AT54" s="155">
        <v>7</v>
      </c>
      <c r="AU54" s="155">
        <v>8</v>
      </c>
      <c r="AV54" s="155">
        <v>9</v>
      </c>
      <c r="AW54" s="155">
        <v>10</v>
      </c>
      <c r="AX54" s="155" t="s">
        <v>17</v>
      </c>
    </row>
    <row r="55" spans="1:51" x14ac:dyDescent="0.25">
      <c r="A55" s="155" t="s">
        <v>92</v>
      </c>
      <c r="B55" s="155">
        <v>4</v>
      </c>
      <c r="C55" s="155">
        <v>2</v>
      </c>
      <c r="D55" s="155">
        <v>3</v>
      </c>
      <c r="E55" s="155">
        <v>1</v>
      </c>
      <c r="F55" s="155">
        <v>7</v>
      </c>
      <c r="G55" s="155">
        <v>2</v>
      </c>
      <c r="H55" s="155">
        <v>3</v>
      </c>
      <c r="I55" s="155">
        <v>4</v>
      </c>
      <c r="J55" s="155">
        <v>6</v>
      </c>
      <c r="K55" s="155">
        <v>5</v>
      </c>
      <c r="L55" s="155">
        <v>3</v>
      </c>
      <c r="O55" s="188">
        <f t="shared" ref="O55:X55" si="84">(C55/0.01)*10^($B$55)</f>
        <v>2000000</v>
      </c>
      <c r="P55" s="188">
        <f t="shared" si="84"/>
        <v>3000000</v>
      </c>
      <c r="Q55" s="188">
        <f t="shared" si="84"/>
        <v>1000000</v>
      </c>
      <c r="R55" s="188">
        <f t="shared" si="84"/>
        <v>7000000</v>
      </c>
      <c r="S55" s="188">
        <f t="shared" si="84"/>
        <v>2000000</v>
      </c>
      <c r="T55" s="188">
        <f t="shared" si="84"/>
        <v>3000000</v>
      </c>
      <c r="U55" s="188">
        <f t="shared" si="84"/>
        <v>4000000</v>
      </c>
      <c r="V55" s="188">
        <f t="shared" si="84"/>
        <v>6000000</v>
      </c>
      <c r="W55" s="188">
        <f t="shared" si="84"/>
        <v>5000000</v>
      </c>
      <c r="X55" s="188">
        <f t="shared" si="84"/>
        <v>3000000</v>
      </c>
      <c r="Y55" s="188">
        <f>AVERAGE(O55:X55)</f>
        <v>3600000</v>
      </c>
      <c r="Z55" s="155" t="s">
        <v>92</v>
      </c>
      <c r="AY55" s="155" t="s">
        <v>92</v>
      </c>
    </row>
    <row r="56" spans="1:51" x14ac:dyDescent="0.25">
      <c r="A56" s="155" t="s">
        <v>93</v>
      </c>
      <c r="B56" s="155">
        <v>4</v>
      </c>
      <c r="C56" s="155">
        <v>4</v>
      </c>
      <c r="D56" s="155">
        <v>2</v>
      </c>
      <c r="E56" s="155">
        <v>4</v>
      </c>
      <c r="F56" s="155">
        <v>1</v>
      </c>
      <c r="G56" s="155">
        <v>2</v>
      </c>
      <c r="H56" s="155">
        <v>2</v>
      </c>
      <c r="I56" s="155">
        <v>3</v>
      </c>
      <c r="J56" s="155">
        <v>4</v>
      </c>
      <c r="K56" s="155">
        <v>4</v>
      </c>
      <c r="L56" s="155">
        <v>4</v>
      </c>
      <c r="O56" s="188">
        <f t="shared" ref="O56:X56" si="85">(C56/0.01)*10^($B$56)</f>
        <v>4000000</v>
      </c>
      <c r="P56" s="188">
        <f t="shared" si="85"/>
        <v>2000000</v>
      </c>
      <c r="Q56" s="188">
        <f t="shared" si="85"/>
        <v>4000000</v>
      </c>
      <c r="R56" s="188">
        <f t="shared" si="85"/>
        <v>1000000</v>
      </c>
      <c r="S56" s="188">
        <f t="shared" si="85"/>
        <v>2000000</v>
      </c>
      <c r="T56" s="188">
        <f t="shared" si="85"/>
        <v>2000000</v>
      </c>
      <c r="U56" s="188">
        <f t="shared" si="85"/>
        <v>3000000</v>
      </c>
      <c r="V56" s="188">
        <f t="shared" si="85"/>
        <v>4000000</v>
      </c>
      <c r="W56" s="188">
        <f t="shared" si="85"/>
        <v>4000000</v>
      </c>
      <c r="X56" s="188">
        <f t="shared" si="85"/>
        <v>4000000</v>
      </c>
      <c r="Y56" s="188">
        <f t="shared" ref="Y56:Y69" si="86">AVERAGE(O56:X56)</f>
        <v>3000000</v>
      </c>
      <c r="Z56" s="155" t="s">
        <v>93</v>
      </c>
      <c r="AY56" s="155" t="s">
        <v>93</v>
      </c>
    </row>
    <row r="57" spans="1:51" x14ac:dyDescent="0.25">
      <c r="A57" s="155" t="s">
        <v>94</v>
      </c>
      <c r="B57" s="155">
        <v>4</v>
      </c>
      <c r="C57" s="155">
        <v>4</v>
      </c>
      <c r="D57" s="155">
        <v>3</v>
      </c>
      <c r="E57" s="155">
        <v>4</v>
      </c>
      <c r="F57" s="155">
        <v>3</v>
      </c>
      <c r="G57" s="155">
        <v>5</v>
      </c>
      <c r="H57" s="155">
        <v>4</v>
      </c>
      <c r="I57" s="155">
        <v>4</v>
      </c>
      <c r="J57" s="155">
        <v>7</v>
      </c>
      <c r="K57" s="155">
        <v>1</v>
      </c>
      <c r="L57" s="155">
        <v>5</v>
      </c>
      <c r="O57" s="188">
        <f t="shared" ref="O57:X57" si="87">(C57/0.01)*10^($B$57)</f>
        <v>4000000</v>
      </c>
      <c r="P57" s="188">
        <f t="shared" si="87"/>
        <v>3000000</v>
      </c>
      <c r="Q57" s="188">
        <f t="shared" si="87"/>
        <v>4000000</v>
      </c>
      <c r="R57" s="188">
        <f t="shared" si="87"/>
        <v>3000000</v>
      </c>
      <c r="S57" s="188">
        <f t="shared" si="87"/>
        <v>5000000</v>
      </c>
      <c r="T57" s="188">
        <f t="shared" si="87"/>
        <v>4000000</v>
      </c>
      <c r="U57" s="188">
        <f t="shared" si="87"/>
        <v>4000000</v>
      </c>
      <c r="V57" s="188">
        <f t="shared" si="87"/>
        <v>7000000</v>
      </c>
      <c r="W57" s="188">
        <f t="shared" si="87"/>
        <v>1000000</v>
      </c>
      <c r="X57" s="188">
        <f t="shared" si="87"/>
        <v>5000000</v>
      </c>
      <c r="Y57" s="188">
        <f t="shared" si="86"/>
        <v>4000000</v>
      </c>
      <c r="Z57" s="155" t="s">
        <v>94</v>
      </c>
      <c r="AY57" s="155" t="s">
        <v>94</v>
      </c>
    </row>
    <row r="58" spans="1:51" x14ac:dyDescent="0.25">
      <c r="A58" s="155" t="s">
        <v>98</v>
      </c>
      <c r="B58" s="155">
        <v>4</v>
      </c>
      <c r="C58" s="155">
        <v>13</v>
      </c>
      <c r="D58" s="155">
        <v>18</v>
      </c>
      <c r="E58" s="155">
        <v>16</v>
      </c>
      <c r="F58" s="155">
        <v>16</v>
      </c>
      <c r="G58" s="155">
        <v>21</v>
      </c>
      <c r="H58" s="155">
        <v>16</v>
      </c>
      <c r="I58" s="155">
        <v>20</v>
      </c>
      <c r="J58" s="155">
        <v>18</v>
      </c>
      <c r="K58" s="155">
        <v>19</v>
      </c>
      <c r="L58" s="155">
        <v>15</v>
      </c>
      <c r="O58" s="188">
        <f t="shared" ref="O58:X58" si="88">(C58/0.01)*10^($B$58)</f>
        <v>13000000</v>
      </c>
      <c r="P58" s="188">
        <f t="shared" si="88"/>
        <v>18000000</v>
      </c>
      <c r="Q58" s="188">
        <f t="shared" si="88"/>
        <v>16000000</v>
      </c>
      <c r="R58" s="188">
        <f t="shared" si="88"/>
        <v>16000000</v>
      </c>
      <c r="S58" s="188">
        <f t="shared" si="88"/>
        <v>21000000</v>
      </c>
      <c r="T58" s="188">
        <f t="shared" si="88"/>
        <v>16000000</v>
      </c>
      <c r="U58" s="188">
        <f t="shared" si="88"/>
        <v>20000000</v>
      </c>
      <c r="V58" s="188">
        <f t="shared" si="88"/>
        <v>18000000</v>
      </c>
      <c r="W58" s="188">
        <f t="shared" si="88"/>
        <v>19000000</v>
      </c>
      <c r="X58" s="188">
        <f t="shared" si="88"/>
        <v>15000000</v>
      </c>
      <c r="Y58" s="188">
        <f t="shared" si="86"/>
        <v>17200000</v>
      </c>
      <c r="Z58" s="155" t="s">
        <v>98</v>
      </c>
      <c r="AY58" s="155" t="s">
        <v>98</v>
      </c>
    </row>
    <row r="59" spans="1:51" x14ac:dyDescent="0.25">
      <c r="A59" s="155" t="s">
        <v>99</v>
      </c>
      <c r="B59" s="155">
        <v>4</v>
      </c>
      <c r="C59" s="155">
        <v>23</v>
      </c>
      <c r="D59" s="155">
        <v>22</v>
      </c>
      <c r="E59" s="155">
        <v>24</v>
      </c>
      <c r="F59" s="155">
        <v>22</v>
      </c>
      <c r="G59" s="155">
        <v>21</v>
      </c>
      <c r="H59" s="155">
        <v>16</v>
      </c>
      <c r="I59" s="155">
        <v>11</v>
      </c>
      <c r="J59" s="155">
        <v>18</v>
      </c>
      <c r="K59" s="155">
        <v>21</v>
      </c>
      <c r="L59" s="155">
        <v>22</v>
      </c>
      <c r="O59" s="188">
        <f t="shared" ref="O59:X59" si="89">(C59/0.01)*10^($B$59)</f>
        <v>23000000</v>
      </c>
      <c r="P59" s="188">
        <f t="shared" si="89"/>
        <v>22000000</v>
      </c>
      <c r="Q59" s="188">
        <f t="shared" si="89"/>
        <v>24000000</v>
      </c>
      <c r="R59" s="188">
        <f t="shared" si="89"/>
        <v>22000000</v>
      </c>
      <c r="S59" s="188">
        <f t="shared" si="89"/>
        <v>21000000</v>
      </c>
      <c r="T59" s="188">
        <f t="shared" si="89"/>
        <v>16000000</v>
      </c>
      <c r="U59" s="188">
        <f t="shared" si="89"/>
        <v>11000000</v>
      </c>
      <c r="V59" s="188">
        <f t="shared" si="89"/>
        <v>18000000</v>
      </c>
      <c r="W59" s="188">
        <f t="shared" si="89"/>
        <v>21000000</v>
      </c>
      <c r="X59" s="188">
        <f t="shared" si="89"/>
        <v>22000000</v>
      </c>
      <c r="Y59" s="188">
        <f t="shared" si="86"/>
        <v>20000000</v>
      </c>
      <c r="Z59" s="155" t="s">
        <v>99</v>
      </c>
      <c r="AY59" s="155" t="s">
        <v>99</v>
      </c>
    </row>
    <row r="60" spans="1:51" x14ac:dyDescent="0.25">
      <c r="A60" s="155" t="s">
        <v>100</v>
      </c>
      <c r="B60" s="155">
        <v>4</v>
      </c>
      <c r="C60" s="155">
        <v>13</v>
      </c>
      <c r="D60" s="155">
        <v>25</v>
      </c>
      <c r="E60" s="155">
        <v>22</v>
      </c>
      <c r="F60" s="155">
        <v>28</v>
      </c>
      <c r="G60" s="155">
        <v>18</v>
      </c>
      <c r="H60" s="155">
        <v>18</v>
      </c>
      <c r="I60" s="155">
        <v>15</v>
      </c>
      <c r="J60" s="155">
        <v>16</v>
      </c>
      <c r="K60" s="155">
        <v>29</v>
      </c>
      <c r="L60" s="155">
        <v>22</v>
      </c>
      <c r="O60" s="188">
        <f t="shared" ref="O60:X60" si="90">(C60/0.01)*10^($B$60)</f>
        <v>13000000</v>
      </c>
      <c r="P60" s="188">
        <f t="shared" si="90"/>
        <v>25000000</v>
      </c>
      <c r="Q60" s="188">
        <f t="shared" si="90"/>
        <v>22000000</v>
      </c>
      <c r="R60" s="188">
        <f t="shared" si="90"/>
        <v>28000000</v>
      </c>
      <c r="S60" s="188">
        <f t="shared" si="90"/>
        <v>18000000</v>
      </c>
      <c r="T60" s="188">
        <f t="shared" si="90"/>
        <v>18000000</v>
      </c>
      <c r="U60" s="188">
        <f t="shared" si="90"/>
        <v>15000000</v>
      </c>
      <c r="V60" s="188">
        <f t="shared" si="90"/>
        <v>16000000</v>
      </c>
      <c r="W60" s="188">
        <f t="shared" si="90"/>
        <v>29000000</v>
      </c>
      <c r="X60" s="188">
        <f t="shared" si="90"/>
        <v>22000000</v>
      </c>
      <c r="Y60" s="188">
        <f t="shared" si="86"/>
        <v>20600000</v>
      </c>
      <c r="Z60" s="155" t="s">
        <v>100</v>
      </c>
      <c r="AY60" s="155" t="s">
        <v>100</v>
      </c>
    </row>
    <row r="61" spans="1:51" x14ac:dyDescent="0.25">
      <c r="A61" s="155" t="s">
        <v>104</v>
      </c>
      <c r="B61" s="155">
        <v>5</v>
      </c>
      <c r="C61" s="155">
        <v>9</v>
      </c>
      <c r="D61" s="155">
        <v>12</v>
      </c>
      <c r="E61" s="155">
        <v>15</v>
      </c>
      <c r="F61" s="155">
        <v>13</v>
      </c>
      <c r="G61" s="155">
        <v>14</v>
      </c>
      <c r="H61" s="155">
        <v>16</v>
      </c>
      <c r="I61" s="155">
        <v>18</v>
      </c>
      <c r="J61" s="155">
        <v>7</v>
      </c>
      <c r="K61" s="155">
        <v>20</v>
      </c>
      <c r="L61" s="155">
        <v>17</v>
      </c>
      <c r="O61" s="188">
        <f t="shared" ref="O61:X61" si="91">(C61/0.01)*10^($B$61)</f>
        <v>90000000</v>
      </c>
      <c r="P61" s="188">
        <f t="shared" si="91"/>
        <v>120000000</v>
      </c>
      <c r="Q61" s="188">
        <f t="shared" si="91"/>
        <v>150000000</v>
      </c>
      <c r="R61" s="188">
        <f t="shared" si="91"/>
        <v>130000000</v>
      </c>
      <c r="S61" s="188">
        <f t="shared" si="91"/>
        <v>140000000</v>
      </c>
      <c r="T61" s="188">
        <f t="shared" si="91"/>
        <v>160000000</v>
      </c>
      <c r="U61" s="188">
        <f t="shared" si="91"/>
        <v>180000000</v>
      </c>
      <c r="V61" s="188">
        <f t="shared" si="91"/>
        <v>70000000</v>
      </c>
      <c r="W61" s="188">
        <f t="shared" si="91"/>
        <v>200000000</v>
      </c>
      <c r="X61" s="188">
        <f t="shared" si="91"/>
        <v>170000000</v>
      </c>
      <c r="Y61" s="188">
        <f t="shared" si="86"/>
        <v>141000000</v>
      </c>
      <c r="Z61" s="155" t="s">
        <v>104</v>
      </c>
      <c r="AY61" s="155" t="s">
        <v>104</v>
      </c>
    </row>
    <row r="62" spans="1:51" x14ac:dyDescent="0.25">
      <c r="A62" s="155" t="s">
        <v>105</v>
      </c>
      <c r="B62" s="155">
        <v>5</v>
      </c>
      <c r="C62" s="155">
        <v>23</v>
      </c>
      <c r="D62" s="155">
        <v>16</v>
      </c>
      <c r="E62" s="155">
        <v>18</v>
      </c>
      <c r="F62" s="155">
        <v>19</v>
      </c>
      <c r="G62" s="155">
        <v>16</v>
      </c>
      <c r="H62" s="155">
        <v>17</v>
      </c>
      <c r="I62" s="155">
        <v>26</v>
      </c>
      <c r="J62" s="155">
        <v>21</v>
      </c>
      <c r="K62" s="155">
        <v>18</v>
      </c>
      <c r="L62" s="155">
        <v>23</v>
      </c>
      <c r="M62" s="226">
        <f>AVERAGE(C62:L62)</f>
        <v>19.7</v>
      </c>
      <c r="O62" s="188">
        <f t="shared" ref="O62:X62" si="92">(C62/0.01)*10^($B$62)</f>
        <v>230000000</v>
      </c>
      <c r="P62" s="188">
        <f t="shared" si="92"/>
        <v>160000000</v>
      </c>
      <c r="Q62" s="188">
        <f t="shared" si="92"/>
        <v>180000000</v>
      </c>
      <c r="R62" s="188">
        <f t="shared" si="92"/>
        <v>190000000</v>
      </c>
      <c r="S62" s="188">
        <f t="shared" si="92"/>
        <v>160000000</v>
      </c>
      <c r="T62" s="188">
        <f t="shared" si="92"/>
        <v>170000000</v>
      </c>
      <c r="U62" s="188">
        <f t="shared" si="92"/>
        <v>260000000</v>
      </c>
      <c r="V62" s="188">
        <f t="shared" si="92"/>
        <v>210000000</v>
      </c>
      <c r="W62" s="188">
        <f t="shared" si="92"/>
        <v>180000000</v>
      </c>
      <c r="X62" s="188">
        <f t="shared" si="92"/>
        <v>230000000</v>
      </c>
      <c r="Y62" s="188">
        <f t="shared" si="86"/>
        <v>197000000</v>
      </c>
      <c r="Z62" s="155" t="s">
        <v>105</v>
      </c>
      <c r="AA62" s="155">
        <v>6</v>
      </c>
      <c r="AB62" s="155">
        <v>3</v>
      </c>
      <c r="AC62" s="155">
        <v>5</v>
      </c>
      <c r="AD62" s="155">
        <v>1</v>
      </c>
      <c r="AE62" s="155">
        <v>1</v>
      </c>
      <c r="AF62" s="155">
        <v>3</v>
      </c>
      <c r="AG62" s="155">
        <v>5</v>
      </c>
      <c r="AH62" s="155">
        <v>3</v>
      </c>
      <c r="AI62" s="155">
        <v>3</v>
      </c>
      <c r="AJ62" s="155">
        <v>2</v>
      </c>
      <c r="AK62" s="155">
        <v>3</v>
      </c>
      <c r="AL62" s="226">
        <f>AVERAGE(AB62:AK62)</f>
        <v>2.9</v>
      </c>
      <c r="AN62" s="188">
        <f t="shared" ref="AN62:AW62" si="93">(AB62/0.01)*10^($AA$62)</f>
        <v>300000000</v>
      </c>
      <c r="AO62" s="188">
        <f t="shared" si="93"/>
        <v>500000000</v>
      </c>
      <c r="AP62" s="188">
        <f t="shared" si="93"/>
        <v>100000000</v>
      </c>
      <c r="AQ62" s="188">
        <f t="shared" si="93"/>
        <v>100000000</v>
      </c>
      <c r="AR62" s="188">
        <f t="shared" si="93"/>
        <v>300000000</v>
      </c>
      <c r="AS62" s="188">
        <f t="shared" si="93"/>
        <v>500000000</v>
      </c>
      <c r="AT62" s="188">
        <f t="shared" si="93"/>
        <v>300000000</v>
      </c>
      <c r="AU62" s="188">
        <f t="shared" si="93"/>
        <v>300000000</v>
      </c>
      <c r="AV62" s="188">
        <f t="shared" si="93"/>
        <v>200000000</v>
      </c>
      <c r="AW62" s="188">
        <f t="shared" si="93"/>
        <v>300000000</v>
      </c>
      <c r="AX62" s="188">
        <f>AVERAGE(AN62:AW62)</f>
        <v>290000000</v>
      </c>
      <c r="AY62" s="155" t="s">
        <v>105</v>
      </c>
    </row>
    <row r="63" spans="1:51" x14ac:dyDescent="0.25">
      <c r="A63" s="155" t="s">
        <v>106</v>
      </c>
      <c r="B63" s="155">
        <v>5</v>
      </c>
      <c r="C63" s="155">
        <v>24</v>
      </c>
      <c r="D63" s="155">
        <v>25</v>
      </c>
      <c r="E63" s="155">
        <v>16</v>
      </c>
      <c r="F63" s="155">
        <v>16</v>
      </c>
      <c r="G63" s="155">
        <v>14</v>
      </c>
      <c r="H63" s="155">
        <v>23</v>
      </c>
      <c r="I63" s="155">
        <v>17</v>
      </c>
      <c r="J63" s="155">
        <v>22</v>
      </c>
      <c r="K63" s="155">
        <v>18</v>
      </c>
      <c r="L63" s="155">
        <v>19</v>
      </c>
      <c r="M63" s="226">
        <f>AVERAGE(C63:L63)</f>
        <v>19.399999999999999</v>
      </c>
      <c r="O63" s="188">
        <f t="shared" ref="O63:X63" si="94">(C63/0.01)*10^($B$63)</f>
        <v>240000000</v>
      </c>
      <c r="P63" s="188">
        <f t="shared" si="94"/>
        <v>250000000</v>
      </c>
      <c r="Q63" s="188">
        <f t="shared" si="94"/>
        <v>160000000</v>
      </c>
      <c r="R63" s="188">
        <f t="shared" si="94"/>
        <v>160000000</v>
      </c>
      <c r="S63" s="188">
        <f t="shared" si="94"/>
        <v>140000000</v>
      </c>
      <c r="T63" s="188">
        <f t="shared" si="94"/>
        <v>230000000</v>
      </c>
      <c r="U63" s="188">
        <f t="shared" si="94"/>
        <v>170000000</v>
      </c>
      <c r="V63" s="188">
        <f t="shared" si="94"/>
        <v>220000000</v>
      </c>
      <c r="W63" s="188">
        <f t="shared" si="94"/>
        <v>180000000</v>
      </c>
      <c r="X63" s="188">
        <f t="shared" si="94"/>
        <v>190000000</v>
      </c>
      <c r="Y63" s="188">
        <f t="shared" si="86"/>
        <v>194000000</v>
      </c>
      <c r="Z63" s="155" t="s">
        <v>106</v>
      </c>
      <c r="AA63" s="155">
        <v>6</v>
      </c>
      <c r="AB63" s="155">
        <v>2</v>
      </c>
      <c r="AC63" s="155">
        <v>1</v>
      </c>
      <c r="AD63" s="155">
        <v>2</v>
      </c>
      <c r="AE63" s="155">
        <v>2</v>
      </c>
      <c r="AF63" s="155">
        <v>2</v>
      </c>
      <c r="AG63" s="155">
        <v>4</v>
      </c>
      <c r="AH63" s="155">
        <v>4</v>
      </c>
      <c r="AI63" s="155">
        <v>3</v>
      </c>
      <c r="AJ63" s="155">
        <v>1</v>
      </c>
      <c r="AK63" s="155">
        <v>2</v>
      </c>
      <c r="AL63" s="226">
        <f>AVERAGE(AB63:AK63)</f>
        <v>2.2999999999999998</v>
      </c>
      <c r="AN63" s="188">
        <f t="shared" ref="AN63:AW63" si="95">(AB63/0.01)*10^($AA$63)</f>
        <v>200000000</v>
      </c>
      <c r="AO63" s="188">
        <f t="shared" si="95"/>
        <v>100000000</v>
      </c>
      <c r="AP63" s="188">
        <f t="shared" si="95"/>
        <v>200000000</v>
      </c>
      <c r="AQ63" s="188">
        <f t="shared" si="95"/>
        <v>200000000</v>
      </c>
      <c r="AR63" s="188">
        <f t="shared" si="95"/>
        <v>200000000</v>
      </c>
      <c r="AS63" s="188">
        <f t="shared" si="95"/>
        <v>400000000</v>
      </c>
      <c r="AT63" s="188">
        <f t="shared" si="95"/>
        <v>400000000</v>
      </c>
      <c r="AU63" s="188">
        <f t="shared" si="95"/>
        <v>300000000</v>
      </c>
      <c r="AV63" s="188">
        <f t="shared" si="95"/>
        <v>100000000</v>
      </c>
      <c r="AW63" s="188">
        <f t="shared" si="95"/>
        <v>200000000</v>
      </c>
      <c r="AX63" s="188">
        <f>AVERAGE(AN63:AW63)</f>
        <v>230000000</v>
      </c>
      <c r="AY63" s="155" t="s">
        <v>106</v>
      </c>
    </row>
    <row r="64" spans="1:51" x14ac:dyDescent="0.25">
      <c r="A64" s="155" t="s">
        <v>110</v>
      </c>
      <c r="B64" s="155">
        <v>6</v>
      </c>
      <c r="C64" s="155">
        <v>2</v>
      </c>
      <c r="D64" s="155">
        <v>2</v>
      </c>
      <c r="E64" s="155">
        <v>2</v>
      </c>
      <c r="F64" s="155">
        <v>1</v>
      </c>
      <c r="G64" s="155">
        <v>2</v>
      </c>
      <c r="H64" s="155">
        <v>2</v>
      </c>
      <c r="I64" s="155">
        <v>2</v>
      </c>
      <c r="J64" s="155">
        <v>4</v>
      </c>
      <c r="K64" s="155">
        <v>2</v>
      </c>
      <c r="L64" s="155">
        <v>4</v>
      </c>
      <c r="M64" s="226">
        <f>AVERAGE(C64:L64)</f>
        <v>2.2999999999999998</v>
      </c>
      <c r="O64" s="188">
        <f t="shared" ref="O64:X64" si="96">(C64/0.01)*10^($B$64)</f>
        <v>200000000</v>
      </c>
      <c r="P64" s="188">
        <f t="shared" si="96"/>
        <v>200000000</v>
      </c>
      <c r="Q64" s="188">
        <f t="shared" si="96"/>
        <v>200000000</v>
      </c>
      <c r="R64" s="188">
        <f t="shared" si="96"/>
        <v>100000000</v>
      </c>
      <c r="S64" s="188">
        <f t="shared" si="96"/>
        <v>200000000</v>
      </c>
      <c r="T64" s="188">
        <f t="shared" si="96"/>
        <v>200000000</v>
      </c>
      <c r="U64" s="188">
        <f t="shared" si="96"/>
        <v>200000000</v>
      </c>
      <c r="V64" s="188">
        <f t="shared" si="96"/>
        <v>400000000</v>
      </c>
      <c r="W64" s="188">
        <f t="shared" si="96"/>
        <v>200000000</v>
      </c>
      <c r="X64" s="188">
        <f t="shared" si="96"/>
        <v>400000000</v>
      </c>
      <c r="Y64" s="188">
        <f t="shared" si="86"/>
        <v>230000000</v>
      </c>
      <c r="Z64" s="155" t="s">
        <v>110</v>
      </c>
      <c r="AA64" s="155">
        <v>5</v>
      </c>
      <c r="AB64" s="155">
        <v>22</v>
      </c>
      <c r="AC64" s="155">
        <v>17</v>
      </c>
      <c r="AD64" s="155">
        <v>18</v>
      </c>
      <c r="AE64" s="155">
        <v>20</v>
      </c>
      <c r="AF64" s="155">
        <v>20</v>
      </c>
      <c r="AG64" s="155">
        <v>17</v>
      </c>
      <c r="AH64" s="155">
        <v>13</v>
      </c>
      <c r="AI64" s="155">
        <v>19</v>
      </c>
      <c r="AJ64" s="155">
        <v>16</v>
      </c>
      <c r="AK64" s="155">
        <v>11</v>
      </c>
      <c r="AL64" s="226">
        <f>AVERAGE(AB64:AK64)</f>
        <v>17.3</v>
      </c>
      <c r="AN64" s="188">
        <f t="shared" ref="AN64:AW64" si="97">(AB64/0.01)*10^($AA$64)</f>
        <v>220000000</v>
      </c>
      <c r="AO64" s="188">
        <f t="shared" si="97"/>
        <v>170000000</v>
      </c>
      <c r="AP64" s="188">
        <f t="shared" si="97"/>
        <v>180000000</v>
      </c>
      <c r="AQ64" s="188">
        <f t="shared" si="97"/>
        <v>200000000</v>
      </c>
      <c r="AR64" s="188">
        <f t="shared" si="97"/>
        <v>200000000</v>
      </c>
      <c r="AS64" s="188">
        <f t="shared" si="97"/>
        <v>170000000</v>
      </c>
      <c r="AT64" s="188">
        <f t="shared" si="97"/>
        <v>130000000</v>
      </c>
      <c r="AU64" s="188">
        <f t="shared" si="97"/>
        <v>190000000</v>
      </c>
      <c r="AV64" s="188">
        <f t="shared" si="97"/>
        <v>160000000</v>
      </c>
      <c r="AW64" s="188">
        <f t="shared" si="97"/>
        <v>110000000</v>
      </c>
      <c r="AX64" s="188">
        <f>AVERAGE(AN64:AW64)</f>
        <v>173000000</v>
      </c>
      <c r="AY64" s="155" t="s">
        <v>110</v>
      </c>
    </row>
    <row r="65" spans="1:51" x14ac:dyDescent="0.25">
      <c r="A65" s="155" t="s">
        <v>111</v>
      </c>
      <c r="B65" s="155">
        <v>6</v>
      </c>
      <c r="C65" s="155">
        <v>4</v>
      </c>
      <c r="D65" s="155">
        <v>3</v>
      </c>
      <c r="E65" s="155">
        <v>6</v>
      </c>
      <c r="F65" s="155">
        <v>6</v>
      </c>
      <c r="G65" s="155">
        <v>7</v>
      </c>
      <c r="H65" s="155">
        <v>4</v>
      </c>
      <c r="I65" s="155">
        <v>2</v>
      </c>
      <c r="J65" s="155">
        <v>4</v>
      </c>
      <c r="K65" s="155">
        <v>4</v>
      </c>
      <c r="L65" s="155">
        <v>5</v>
      </c>
      <c r="M65" s="226"/>
      <c r="O65" s="188">
        <f t="shared" ref="O65:X65" si="98">(C65/0.01)*10^($B$65)</f>
        <v>400000000</v>
      </c>
      <c r="P65" s="188">
        <f t="shared" si="98"/>
        <v>300000000</v>
      </c>
      <c r="Q65" s="188">
        <f t="shared" si="98"/>
        <v>600000000</v>
      </c>
      <c r="R65" s="188">
        <f t="shared" si="98"/>
        <v>600000000</v>
      </c>
      <c r="S65" s="188">
        <f t="shared" si="98"/>
        <v>700000000</v>
      </c>
      <c r="T65" s="188">
        <f t="shared" si="98"/>
        <v>400000000</v>
      </c>
      <c r="U65" s="188">
        <f t="shared" si="98"/>
        <v>200000000</v>
      </c>
      <c r="V65" s="188">
        <f t="shared" si="98"/>
        <v>400000000</v>
      </c>
      <c r="W65" s="188">
        <f t="shared" si="98"/>
        <v>400000000</v>
      </c>
      <c r="X65" s="188">
        <f t="shared" si="98"/>
        <v>500000000</v>
      </c>
      <c r="Y65" s="188">
        <f t="shared" si="86"/>
        <v>450000000</v>
      </c>
      <c r="Z65" s="155" t="s">
        <v>111</v>
      </c>
      <c r="AL65" s="226"/>
      <c r="AN65" s="188"/>
      <c r="AO65" s="188"/>
      <c r="AP65" s="188"/>
      <c r="AQ65" s="188"/>
      <c r="AR65" s="188"/>
      <c r="AS65" s="188"/>
      <c r="AT65" s="188"/>
      <c r="AU65" s="188"/>
      <c r="AV65" s="188"/>
      <c r="AW65" s="188"/>
      <c r="AX65" s="188"/>
      <c r="AY65" s="155" t="s">
        <v>111</v>
      </c>
    </row>
    <row r="66" spans="1:51" x14ac:dyDescent="0.25">
      <c r="A66" s="155" t="s">
        <v>112</v>
      </c>
      <c r="B66" s="155">
        <v>6</v>
      </c>
      <c r="C66" s="155">
        <v>6</v>
      </c>
      <c r="D66" s="155">
        <v>5</v>
      </c>
      <c r="E66" s="155">
        <v>3</v>
      </c>
      <c r="F66" s="155">
        <v>4</v>
      </c>
      <c r="G66" s="155">
        <v>4</v>
      </c>
      <c r="H66" s="155">
        <v>1</v>
      </c>
      <c r="I66" s="155">
        <v>7</v>
      </c>
      <c r="J66" s="155">
        <v>3</v>
      </c>
      <c r="K66" s="155">
        <v>3</v>
      </c>
      <c r="L66" s="155">
        <v>5</v>
      </c>
      <c r="M66" s="226"/>
      <c r="O66" s="188">
        <f t="shared" ref="O66:X66" si="99">(C66/0.01)*10^($B$66)</f>
        <v>600000000</v>
      </c>
      <c r="P66" s="188">
        <f t="shared" si="99"/>
        <v>500000000</v>
      </c>
      <c r="Q66" s="188">
        <f t="shared" si="99"/>
        <v>300000000</v>
      </c>
      <c r="R66" s="188">
        <f t="shared" si="99"/>
        <v>400000000</v>
      </c>
      <c r="S66" s="188">
        <f t="shared" si="99"/>
        <v>400000000</v>
      </c>
      <c r="T66" s="188">
        <f t="shared" si="99"/>
        <v>100000000</v>
      </c>
      <c r="U66" s="188">
        <f t="shared" si="99"/>
        <v>700000000</v>
      </c>
      <c r="V66" s="188">
        <f t="shared" si="99"/>
        <v>300000000</v>
      </c>
      <c r="W66" s="188">
        <f t="shared" si="99"/>
        <v>300000000</v>
      </c>
      <c r="X66" s="188">
        <f t="shared" si="99"/>
        <v>500000000</v>
      </c>
      <c r="Y66" s="188">
        <f t="shared" si="86"/>
        <v>410000000</v>
      </c>
      <c r="Z66" s="155" t="s">
        <v>112</v>
      </c>
      <c r="AL66" s="226"/>
      <c r="AN66" s="188"/>
      <c r="AO66" s="188"/>
      <c r="AP66" s="188"/>
      <c r="AQ66" s="188"/>
      <c r="AR66" s="188"/>
      <c r="AS66" s="188"/>
      <c r="AT66" s="188"/>
      <c r="AU66" s="188"/>
      <c r="AV66" s="188"/>
      <c r="AW66" s="188"/>
      <c r="AX66" s="188"/>
      <c r="AY66" s="155" t="s">
        <v>112</v>
      </c>
    </row>
    <row r="67" spans="1:51" x14ac:dyDescent="0.25">
      <c r="A67" s="155" t="s">
        <v>163</v>
      </c>
      <c r="B67" s="155">
        <v>6</v>
      </c>
      <c r="C67" s="155">
        <v>1</v>
      </c>
      <c r="D67" s="155">
        <v>5</v>
      </c>
      <c r="E67" s="155">
        <v>2</v>
      </c>
      <c r="F67" s="155">
        <v>2</v>
      </c>
      <c r="G67" s="155">
        <v>3</v>
      </c>
      <c r="H67" s="155">
        <v>2</v>
      </c>
      <c r="I67" s="155">
        <v>4</v>
      </c>
      <c r="J67" s="155">
        <v>6</v>
      </c>
      <c r="K67" s="155">
        <v>4</v>
      </c>
      <c r="L67" s="155">
        <v>2</v>
      </c>
      <c r="M67" s="226">
        <f>AVERAGE(C67:L67)</f>
        <v>3.1</v>
      </c>
      <c r="O67" s="188">
        <f t="shared" ref="O67:X67" si="100">(C67/0.01)*10^($B$67)</f>
        <v>100000000</v>
      </c>
      <c r="P67" s="188">
        <f t="shared" si="100"/>
        <v>500000000</v>
      </c>
      <c r="Q67" s="188">
        <f t="shared" si="100"/>
        <v>200000000</v>
      </c>
      <c r="R67" s="188">
        <f t="shared" si="100"/>
        <v>200000000</v>
      </c>
      <c r="S67" s="188">
        <f t="shared" si="100"/>
        <v>300000000</v>
      </c>
      <c r="T67" s="188">
        <f t="shared" si="100"/>
        <v>200000000</v>
      </c>
      <c r="U67" s="188">
        <f t="shared" si="100"/>
        <v>400000000</v>
      </c>
      <c r="V67" s="188">
        <f t="shared" si="100"/>
        <v>600000000</v>
      </c>
      <c r="W67" s="188">
        <f t="shared" si="100"/>
        <v>400000000</v>
      </c>
      <c r="X67" s="188">
        <f t="shared" si="100"/>
        <v>200000000</v>
      </c>
      <c r="Y67" s="188">
        <f t="shared" si="86"/>
        <v>310000000</v>
      </c>
      <c r="Z67" s="155" t="s">
        <v>163</v>
      </c>
      <c r="AA67" s="155">
        <v>5</v>
      </c>
      <c r="AB67" s="155">
        <v>14</v>
      </c>
      <c r="AC67" s="155">
        <v>15</v>
      </c>
      <c r="AD67" s="155">
        <v>21</v>
      </c>
      <c r="AE67" s="155">
        <v>23</v>
      </c>
      <c r="AF67" s="155">
        <v>20</v>
      </c>
      <c r="AG67" s="155">
        <v>20</v>
      </c>
      <c r="AH67" s="155">
        <v>19</v>
      </c>
      <c r="AI67" s="155">
        <v>17</v>
      </c>
      <c r="AJ67" s="155">
        <v>14</v>
      </c>
      <c r="AK67" s="155">
        <v>22</v>
      </c>
      <c r="AL67" s="226">
        <f>AVERAGE(AB67:AK67)</f>
        <v>18.5</v>
      </c>
      <c r="AN67" s="188">
        <f t="shared" ref="AN67:AW67" si="101">(AB67/0.01)*10^($AA$67)</f>
        <v>140000000</v>
      </c>
      <c r="AO67" s="188">
        <f t="shared" si="101"/>
        <v>150000000</v>
      </c>
      <c r="AP67" s="188">
        <f t="shared" si="101"/>
        <v>210000000</v>
      </c>
      <c r="AQ67" s="188">
        <f t="shared" si="101"/>
        <v>230000000</v>
      </c>
      <c r="AR67" s="188">
        <f t="shared" si="101"/>
        <v>200000000</v>
      </c>
      <c r="AS67" s="188">
        <f t="shared" si="101"/>
        <v>200000000</v>
      </c>
      <c r="AT67" s="188">
        <f t="shared" si="101"/>
        <v>190000000</v>
      </c>
      <c r="AU67" s="188">
        <f t="shared" si="101"/>
        <v>170000000</v>
      </c>
      <c r="AV67" s="188">
        <f t="shared" si="101"/>
        <v>140000000</v>
      </c>
      <c r="AW67" s="188">
        <f t="shared" si="101"/>
        <v>220000000</v>
      </c>
      <c r="AX67" s="188">
        <f>AVERAGE(AN67:AW67)</f>
        <v>185000000</v>
      </c>
      <c r="AY67" s="155" t="s">
        <v>163</v>
      </c>
    </row>
    <row r="68" spans="1:51" x14ac:dyDescent="0.25">
      <c r="A68" s="155" t="s">
        <v>164</v>
      </c>
      <c r="B68" s="155">
        <v>6</v>
      </c>
      <c r="C68" s="155">
        <v>3</v>
      </c>
      <c r="D68" s="155">
        <v>3</v>
      </c>
      <c r="E68" s="155">
        <v>7</v>
      </c>
      <c r="F68" s="155">
        <v>4</v>
      </c>
      <c r="G68" s="155">
        <v>4</v>
      </c>
      <c r="H68" s="155">
        <v>3</v>
      </c>
      <c r="I68" s="155">
        <v>5</v>
      </c>
      <c r="J68" s="155">
        <v>4</v>
      </c>
      <c r="K68" s="155">
        <v>1</v>
      </c>
      <c r="L68" s="155">
        <v>4</v>
      </c>
      <c r="M68" s="226"/>
      <c r="O68" s="188">
        <f t="shared" ref="O68:X68" si="102">(C68/0.01)*10^($B$68)</f>
        <v>300000000</v>
      </c>
      <c r="P68" s="188">
        <f t="shared" si="102"/>
        <v>300000000</v>
      </c>
      <c r="Q68" s="188">
        <f t="shared" si="102"/>
        <v>700000000</v>
      </c>
      <c r="R68" s="188">
        <f t="shared" si="102"/>
        <v>400000000</v>
      </c>
      <c r="S68" s="188">
        <f t="shared" si="102"/>
        <v>400000000</v>
      </c>
      <c r="T68" s="188">
        <f t="shared" si="102"/>
        <v>300000000</v>
      </c>
      <c r="U68" s="188">
        <f t="shared" si="102"/>
        <v>500000000</v>
      </c>
      <c r="V68" s="188">
        <f t="shared" si="102"/>
        <v>400000000</v>
      </c>
      <c r="W68" s="188">
        <f t="shared" si="102"/>
        <v>100000000</v>
      </c>
      <c r="X68" s="188">
        <f t="shared" si="102"/>
        <v>400000000</v>
      </c>
      <c r="Y68" s="188">
        <f t="shared" si="86"/>
        <v>380000000</v>
      </c>
      <c r="Z68" s="155" t="s">
        <v>164</v>
      </c>
      <c r="AL68" s="226"/>
      <c r="AN68" s="188"/>
      <c r="AO68" s="188"/>
      <c r="AP68" s="188"/>
      <c r="AQ68" s="188"/>
      <c r="AR68" s="188"/>
      <c r="AS68" s="188"/>
      <c r="AT68" s="188"/>
      <c r="AU68" s="188"/>
      <c r="AV68" s="188"/>
      <c r="AW68" s="188"/>
      <c r="AX68" s="188"/>
      <c r="AY68" s="155" t="s">
        <v>164</v>
      </c>
    </row>
    <row r="69" spans="1:51" x14ac:dyDescent="0.25">
      <c r="A69" s="155" t="s">
        <v>165</v>
      </c>
      <c r="B69" s="155">
        <v>6</v>
      </c>
      <c r="C69" s="155">
        <v>4</v>
      </c>
      <c r="D69" s="155">
        <v>4</v>
      </c>
      <c r="E69" s="155">
        <v>3</v>
      </c>
      <c r="F69" s="155">
        <v>2</v>
      </c>
      <c r="G69" s="155">
        <v>1</v>
      </c>
      <c r="H69" s="155">
        <v>3</v>
      </c>
      <c r="I69" s="155">
        <v>2</v>
      </c>
      <c r="J69" s="155">
        <v>5</v>
      </c>
      <c r="K69" s="155">
        <v>5</v>
      </c>
      <c r="L69" s="155">
        <v>2</v>
      </c>
      <c r="M69" s="226">
        <f>AVERAGE(C69:L69)</f>
        <v>3.1</v>
      </c>
      <c r="O69" s="188">
        <f t="shared" ref="O69:X69" si="103">(C69/0.01)*10^($B$69)</f>
        <v>400000000</v>
      </c>
      <c r="P69" s="188">
        <f t="shared" si="103"/>
        <v>400000000</v>
      </c>
      <c r="Q69" s="188">
        <f t="shared" si="103"/>
        <v>300000000</v>
      </c>
      <c r="R69" s="188">
        <f t="shared" si="103"/>
        <v>200000000</v>
      </c>
      <c r="S69" s="188">
        <f t="shared" si="103"/>
        <v>100000000</v>
      </c>
      <c r="T69" s="188">
        <f t="shared" si="103"/>
        <v>300000000</v>
      </c>
      <c r="U69" s="188">
        <f t="shared" si="103"/>
        <v>200000000</v>
      </c>
      <c r="V69" s="188">
        <f t="shared" si="103"/>
        <v>500000000</v>
      </c>
      <c r="W69" s="188">
        <f t="shared" si="103"/>
        <v>500000000</v>
      </c>
      <c r="X69" s="188">
        <f t="shared" si="103"/>
        <v>200000000</v>
      </c>
      <c r="Y69" s="188">
        <f t="shared" si="86"/>
        <v>310000000</v>
      </c>
      <c r="Z69" s="155" t="s">
        <v>165</v>
      </c>
      <c r="AA69" s="155">
        <v>5</v>
      </c>
      <c r="AB69" s="155">
        <v>20</v>
      </c>
      <c r="AC69" s="155">
        <v>31</v>
      </c>
      <c r="AD69" s="155">
        <v>32</v>
      </c>
      <c r="AE69" s="155">
        <v>26</v>
      </c>
      <c r="AF69" s="155">
        <v>27</v>
      </c>
      <c r="AG69" s="155">
        <v>23</v>
      </c>
      <c r="AH69" s="155">
        <v>26</v>
      </c>
      <c r="AI69" s="155">
        <v>23</v>
      </c>
      <c r="AJ69" s="155">
        <v>28</v>
      </c>
      <c r="AK69" s="155">
        <v>20</v>
      </c>
      <c r="AL69" s="226">
        <f>AVERAGE(AB69:AK69)</f>
        <v>25.6</v>
      </c>
      <c r="AN69" s="188">
        <f t="shared" ref="AN69:AW69" si="104">(AB69/0.01)*10^($AA$69)</f>
        <v>200000000</v>
      </c>
      <c r="AO69" s="188">
        <f t="shared" si="104"/>
        <v>310000000</v>
      </c>
      <c r="AP69" s="188">
        <f t="shared" si="104"/>
        <v>320000000</v>
      </c>
      <c r="AQ69" s="188">
        <f t="shared" si="104"/>
        <v>260000000</v>
      </c>
      <c r="AR69" s="188">
        <f t="shared" si="104"/>
        <v>270000000</v>
      </c>
      <c r="AS69" s="188">
        <f t="shared" si="104"/>
        <v>230000000</v>
      </c>
      <c r="AT69" s="188">
        <f t="shared" si="104"/>
        <v>260000000</v>
      </c>
      <c r="AU69" s="188">
        <f t="shared" si="104"/>
        <v>230000000</v>
      </c>
      <c r="AV69" s="188">
        <f t="shared" si="104"/>
        <v>280000000</v>
      </c>
      <c r="AW69" s="188">
        <f t="shared" si="104"/>
        <v>200000000</v>
      </c>
      <c r="AX69" s="188">
        <f>AVERAGE(AN69:AW69)</f>
        <v>256000000</v>
      </c>
      <c r="AY69" s="155" t="s">
        <v>165</v>
      </c>
    </row>
    <row r="70" spans="1:51" x14ac:dyDescent="0.25">
      <c r="M70" s="226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  <c r="AN70" s="188"/>
      <c r="AO70" s="188"/>
      <c r="AP70" s="188"/>
      <c r="AQ70" s="188"/>
      <c r="AR70" s="188"/>
      <c r="AS70" s="188"/>
      <c r="AT70" s="188"/>
      <c r="AU70" s="188"/>
      <c r="AV70" s="188"/>
      <c r="AW70" s="188"/>
      <c r="AX70" s="188"/>
    </row>
    <row r="71" spans="1:51" x14ac:dyDescent="0.25">
      <c r="A71" s="145" t="s">
        <v>113</v>
      </c>
      <c r="M71" s="226"/>
      <c r="O71" s="188"/>
      <c r="P71" s="188"/>
      <c r="Q71" s="188"/>
      <c r="R71" s="188"/>
      <c r="S71" s="188"/>
      <c r="T71" s="188"/>
      <c r="U71" s="188"/>
      <c r="V71" s="188"/>
      <c r="W71" s="188"/>
      <c r="X71" s="188"/>
      <c r="Y71" s="188"/>
      <c r="AN71" s="188"/>
      <c r="AO71" s="188"/>
      <c r="AP71" s="188"/>
      <c r="AQ71" s="188"/>
      <c r="AR71" s="188"/>
      <c r="AS71" s="188"/>
      <c r="AT71" s="188"/>
      <c r="AU71" s="188"/>
      <c r="AV71" s="188"/>
      <c r="AW71" s="188"/>
      <c r="AX71" s="188"/>
    </row>
    <row r="72" spans="1:51" x14ac:dyDescent="0.25">
      <c r="B72" s="155" t="s">
        <v>90</v>
      </c>
      <c r="C72" s="155">
        <v>1</v>
      </c>
      <c r="D72" s="155">
        <v>2</v>
      </c>
      <c r="E72" s="155">
        <v>3</v>
      </c>
      <c r="F72" s="155">
        <v>4</v>
      </c>
      <c r="G72" s="155">
        <v>5</v>
      </c>
      <c r="H72" s="155">
        <v>6</v>
      </c>
      <c r="I72" s="155">
        <v>7</v>
      </c>
      <c r="J72" s="155">
        <v>8</v>
      </c>
      <c r="K72" s="155">
        <v>9</v>
      </c>
      <c r="L72" s="155">
        <v>10</v>
      </c>
      <c r="M72" s="226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  <c r="AA72" s="155" t="s">
        <v>90</v>
      </c>
      <c r="AB72" s="155">
        <v>1</v>
      </c>
      <c r="AC72" s="155">
        <v>2</v>
      </c>
      <c r="AD72" s="155">
        <v>3</v>
      </c>
      <c r="AE72" s="155">
        <v>4</v>
      </c>
      <c r="AF72" s="155">
        <v>5</v>
      </c>
      <c r="AG72" s="155">
        <v>6</v>
      </c>
      <c r="AH72" s="155">
        <v>7</v>
      </c>
      <c r="AI72" s="155">
        <v>8</v>
      </c>
      <c r="AJ72" s="155">
        <v>9</v>
      </c>
      <c r="AK72" s="155">
        <v>10</v>
      </c>
      <c r="AN72" s="188"/>
      <c r="AO72" s="188"/>
      <c r="AP72" s="188"/>
      <c r="AQ72" s="188"/>
      <c r="AR72" s="188"/>
      <c r="AS72" s="188"/>
      <c r="AT72" s="188"/>
      <c r="AU72" s="188"/>
      <c r="AV72" s="188"/>
      <c r="AW72" s="188"/>
      <c r="AX72" s="188"/>
    </row>
    <row r="73" spans="1:51" x14ac:dyDescent="0.25">
      <c r="A73" s="155" t="s">
        <v>92</v>
      </c>
      <c r="B73" s="155">
        <v>5</v>
      </c>
      <c r="C73" s="155">
        <v>5</v>
      </c>
      <c r="D73" s="155">
        <v>3</v>
      </c>
      <c r="E73" s="155">
        <v>4</v>
      </c>
      <c r="F73" s="155">
        <v>6</v>
      </c>
      <c r="G73" s="155">
        <v>3</v>
      </c>
      <c r="H73" s="155">
        <v>5</v>
      </c>
      <c r="I73" s="155">
        <v>6</v>
      </c>
      <c r="J73" s="155">
        <v>2</v>
      </c>
      <c r="K73" s="155">
        <v>1</v>
      </c>
      <c r="L73" s="155">
        <v>2</v>
      </c>
      <c r="M73" s="226">
        <f t="shared" ref="M73:M87" si="105">AVERAGE(D73:L73)</f>
        <v>3.5555555555555554</v>
      </c>
      <c r="O73" s="188">
        <f t="shared" ref="O73:X73" si="106">(C73/0.01)*10^($B$73)</f>
        <v>50000000</v>
      </c>
      <c r="P73" s="188">
        <f t="shared" si="106"/>
        <v>30000000</v>
      </c>
      <c r="Q73" s="188">
        <f t="shared" si="106"/>
        <v>40000000</v>
      </c>
      <c r="R73" s="188">
        <f t="shared" si="106"/>
        <v>60000000</v>
      </c>
      <c r="S73" s="188">
        <f t="shared" si="106"/>
        <v>30000000</v>
      </c>
      <c r="T73" s="188">
        <f t="shared" si="106"/>
        <v>50000000</v>
      </c>
      <c r="U73" s="188">
        <f t="shared" si="106"/>
        <v>60000000</v>
      </c>
      <c r="V73" s="188">
        <f t="shared" si="106"/>
        <v>20000000</v>
      </c>
      <c r="W73" s="188">
        <f t="shared" si="106"/>
        <v>10000000</v>
      </c>
      <c r="X73" s="188">
        <f t="shared" si="106"/>
        <v>20000000</v>
      </c>
      <c r="Y73" s="188">
        <f>AVERAGE(O73:X73)</f>
        <v>37000000</v>
      </c>
      <c r="Z73" s="155" t="s">
        <v>92</v>
      </c>
      <c r="AN73" s="188"/>
      <c r="AO73" s="188"/>
      <c r="AP73" s="188"/>
      <c r="AQ73" s="188"/>
      <c r="AR73" s="188"/>
      <c r="AS73" s="188"/>
      <c r="AT73" s="188"/>
      <c r="AU73" s="188"/>
      <c r="AV73" s="188"/>
      <c r="AW73" s="188"/>
      <c r="AX73" s="188"/>
      <c r="AY73" s="155" t="s">
        <v>92</v>
      </c>
    </row>
    <row r="74" spans="1:51" x14ac:dyDescent="0.25">
      <c r="A74" s="155" t="s">
        <v>93</v>
      </c>
      <c r="B74" s="155">
        <v>5</v>
      </c>
      <c r="C74" s="155">
        <v>3</v>
      </c>
      <c r="D74" s="155">
        <v>2</v>
      </c>
      <c r="E74" s="155">
        <v>5</v>
      </c>
      <c r="F74" s="155">
        <v>3</v>
      </c>
      <c r="G74" s="155">
        <v>4</v>
      </c>
      <c r="H74" s="155">
        <v>4</v>
      </c>
      <c r="I74" s="155">
        <v>3</v>
      </c>
      <c r="J74" s="155">
        <v>3</v>
      </c>
      <c r="K74" s="155">
        <v>3</v>
      </c>
      <c r="L74" s="155">
        <v>4</v>
      </c>
      <c r="M74" s="226">
        <f t="shared" si="105"/>
        <v>3.4444444444444446</v>
      </c>
      <c r="O74" s="188">
        <f t="shared" ref="O74:X74" si="107">(C74/0.01)*10^($B$74)</f>
        <v>30000000</v>
      </c>
      <c r="P74" s="188">
        <f t="shared" si="107"/>
        <v>20000000</v>
      </c>
      <c r="Q74" s="188">
        <f t="shared" si="107"/>
        <v>50000000</v>
      </c>
      <c r="R74" s="188">
        <f t="shared" si="107"/>
        <v>30000000</v>
      </c>
      <c r="S74" s="188">
        <f t="shared" si="107"/>
        <v>40000000</v>
      </c>
      <c r="T74" s="188">
        <f t="shared" si="107"/>
        <v>40000000</v>
      </c>
      <c r="U74" s="188">
        <f t="shared" si="107"/>
        <v>30000000</v>
      </c>
      <c r="V74" s="188">
        <f t="shared" si="107"/>
        <v>30000000</v>
      </c>
      <c r="W74" s="188">
        <f t="shared" si="107"/>
        <v>30000000</v>
      </c>
      <c r="X74" s="188">
        <f t="shared" si="107"/>
        <v>40000000</v>
      </c>
      <c r="Y74" s="188">
        <f>AVERAGE(O74:X74)</f>
        <v>34000000</v>
      </c>
      <c r="Z74" s="155" t="s">
        <v>93</v>
      </c>
      <c r="AN74" s="188"/>
      <c r="AO74" s="188"/>
      <c r="AP74" s="188"/>
      <c r="AQ74" s="188"/>
      <c r="AR74" s="188"/>
      <c r="AS74" s="188"/>
      <c r="AT74" s="188"/>
      <c r="AU74" s="188"/>
      <c r="AV74" s="188"/>
      <c r="AW74" s="188"/>
      <c r="AX74" s="188"/>
      <c r="AY74" s="155" t="s">
        <v>93</v>
      </c>
    </row>
    <row r="75" spans="1:51" x14ac:dyDescent="0.25">
      <c r="A75" s="155" t="s">
        <v>94</v>
      </c>
      <c r="B75" s="155">
        <v>5</v>
      </c>
      <c r="C75" s="155">
        <v>3</v>
      </c>
      <c r="D75" s="155">
        <v>3</v>
      </c>
      <c r="E75" s="155">
        <v>1</v>
      </c>
      <c r="F75" s="155">
        <v>5</v>
      </c>
      <c r="G75" s="155">
        <v>5</v>
      </c>
      <c r="H75" s="155">
        <v>1</v>
      </c>
      <c r="I75" s="155">
        <v>3</v>
      </c>
      <c r="J75" s="155">
        <v>4</v>
      </c>
      <c r="K75" s="155">
        <v>3</v>
      </c>
      <c r="L75" s="155">
        <v>3</v>
      </c>
      <c r="M75" s="226">
        <f t="shared" si="105"/>
        <v>3.1111111111111112</v>
      </c>
      <c r="O75" s="188">
        <f t="shared" ref="O75:X75" si="108">(C75/0.01)*10^($B$75)</f>
        <v>30000000</v>
      </c>
      <c r="P75" s="188">
        <f t="shared" si="108"/>
        <v>30000000</v>
      </c>
      <c r="Q75" s="188">
        <f t="shared" si="108"/>
        <v>10000000</v>
      </c>
      <c r="R75" s="188">
        <f t="shared" si="108"/>
        <v>50000000</v>
      </c>
      <c r="S75" s="188">
        <f t="shared" si="108"/>
        <v>50000000</v>
      </c>
      <c r="T75" s="188">
        <f t="shared" si="108"/>
        <v>10000000</v>
      </c>
      <c r="U75" s="188">
        <f t="shared" si="108"/>
        <v>30000000</v>
      </c>
      <c r="V75" s="188">
        <f t="shared" si="108"/>
        <v>40000000</v>
      </c>
      <c r="W75" s="188">
        <f t="shared" si="108"/>
        <v>30000000</v>
      </c>
      <c r="X75" s="188">
        <f t="shared" si="108"/>
        <v>30000000</v>
      </c>
      <c r="Y75" s="188">
        <f t="shared" ref="Y75:Y87" si="109">AVERAGE(O75:X75)</f>
        <v>31000000</v>
      </c>
      <c r="Z75" s="155" t="s">
        <v>94</v>
      </c>
      <c r="AN75" s="188"/>
      <c r="AO75" s="188"/>
      <c r="AP75" s="188"/>
      <c r="AQ75" s="188"/>
      <c r="AR75" s="188"/>
      <c r="AS75" s="188"/>
      <c r="AT75" s="188"/>
      <c r="AU75" s="188"/>
      <c r="AV75" s="188"/>
      <c r="AW75" s="188"/>
      <c r="AX75" s="188"/>
      <c r="AY75" s="155" t="s">
        <v>94</v>
      </c>
    </row>
    <row r="76" spans="1:51" x14ac:dyDescent="0.25">
      <c r="A76" s="155" t="s">
        <v>98</v>
      </c>
      <c r="B76" s="155">
        <v>5</v>
      </c>
      <c r="C76" s="155">
        <v>6</v>
      </c>
      <c r="D76" s="155">
        <v>6</v>
      </c>
      <c r="E76" s="155">
        <v>8</v>
      </c>
      <c r="F76" s="155">
        <v>11</v>
      </c>
      <c r="G76" s="155">
        <v>9</v>
      </c>
      <c r="H76" s="155">
        <v>12</v>
      </c>
      <c r="I76" s="155">
        <v>6</v>
      </c>
      <c r="J76" s="155">
        <v>15</v>
      </c>
      <c r="K76" s="155">
        <v>12</v>
      </c>
      <c r="L76" s="155">
        <v>8</v>
      </c>
      <c r="M76" s="226">
        <f t="shared" si="105"/>
        <v>9.6666666666666661</v>
      </c>
      <c r="O76" s="188">
        <f t="shared" ref="O76:X76" si="110">(C76/0.01)*10^($B$76)</f>
        <v>60000000</v>
      </c>
      <c r="P76" s="188">
        <f t="shared" si="110"/>
        <v>60000000</v>
      </c>
      <c r="Q76" s="188">
        <f t="shared" si="110"/>
        <v>80000000</v>
      </c>
      <c r="R76" s="188">
        <f t="shared" si="110"/>
        <v>110000000</v>
      </c>
      <c r="S76" s="188">
        <f t="shared" si="110"/>
        <v>90000000</v>
      </c>
      <c r="T76" s="188">
        <f t="shared" si="110"/>
        <v>120000000</v>
      </c>
      <c r="U76" s="188">
        <f t="shared" si="110"/>
        <v>60000000</v>
      </c>
      <c r="V76" s="188">
        <f t="shared" si="110"/>
        <v>150000000</v>
      </c>
      <c r="W76" s="188">
        <f t="shared" si="110"/>
        <v>120000000</v>
      </c>
      <c r="X76" s="188">
        <f t="shared" si="110"/>
        <v>80000000</v>
      </c>
      <c r="Y76" s="188">
        <f t="shared" si="109"/>
        <v>93000000</v>
      </c>
      <c r="Z76" s="155" t="s">
        <v>98</v>
      </c>
      <c r="AA76" s="155">
        <v>5</v>
      </c>
      <c r="AB76" s="155">
        <v>1</v>
      </c>
      <c r="AC76" s="155">
        <v>0</v>
      </c>
      <c r="AD76" s="155">
        <v>2</v>
      </c>
      <c r="AE76" s="155">
        <v>2</v>
      </c>
      <c r="AF76" s="155">
        <v>2</v>
      </c>
      <c r="AG76" s="155">
        <v>4</v>
      </c>
      <c r="AH76" s="155">
        <v>2</v>
      </c>
      <c r="AI76" s="155">
        <v>2</v>
      </c>
      <c r="AJ76" s="155">
        <v>1</v>
      </c>
      <c r="AK76" s="155">
        <v>1</v>
      </c>
      <c r="AL76" s="155" t="s">
        <v>166</v>
      </c>
      <c r="AN76" s="188">
        <f t="shared" ref="AN76:AW76" si="111">(AB76/0.01)*10^($AA$76)</f>
        <v>10000000</v>
      </c>
      <c r="AO76" s="188">
        <f t="shared" si="111"/>
        <v>0</v>
      </c>
      <c r="AP76" s="188">
        <f t="shared" si="111"/>
        <v>20000000</v>
      </c>
      <c r="AQ76" s="188">
        <f t="shared" si="111"/>
        <v>20000000</v>
      </c>
      <c r="AR76" s="188">
        <f t="shared" si="111"/>
        <v>20000000</v>
      </c>
      <c r="AS76" s="188">
        <f t="shared" si="111"/>
        <v>40000000</v>
      </c>
      <c r="AT76" s="188">
        <f t="shared" si="111"/>
        <v>20000000</v>
      </c>
      <c r="AU76" s="188">
        <f t="shared" si="111"/>
        <v>20000000</v>
      </c>
      <c r="AV76" s="188">
        <f t="shared" si="111"/>
        <v>10000000</v>
      </c>
      <c r="AW76" s="188">
        <f t="shared" si="111"/>
        <v>10000000</v>
      </c>
      <c r="AX76" s="188">
        <f t="shared" ref="AX76:AX82" si="112">AVERAGE(AN76:AW76)</f>
        <v>17000000</v>
      </c>
      <c r="AY76" s="155" t="s">
        <v>98</v>
      </c>
    </row>
    <row r="77" spans="1:51" x14ac:dyDescent="0.25">
      <c r="A77" s="155" t="s">
        <v>99</v>
      </c>
      <c r="B77" s="155">
        <v>5</v>
      </c>
      <c r="C77" s="155">
        <v>10</v>
      </c>
      <c r="D77" s="155">
        <v>11</v>
      </c>
      <c r="E77" s="155">
        <v>9</v>
      </c>
      <c r="F77" s="155">
        <v>13</v>
      </c>
      <c r="G77" s="155">
        <v>10</v>
      </c>
      <c r="H77" s="155">
        <v>13</v>
      </c>
      <c r="I77" s="155">
        <v>12</v>
      </c>
      <c r="J77" s="155">
        <v>10</v>
      </c>
      <c r="K77" s="155">
        <v>8</v>
      </c>
      <c r="L77" s="155">
        <v>12</v>
      </c>
      <c r="M77" s="226">
        <f t="shared" si="105"/>
        <v>10.888888888888889</v>
      </c>
      <c r="O77" s="188">
        <f t="shared" ref="O77:X77" si="113">(C77/0.01)*10^($B$77)</f>
        <v>100000000</v>
      </c>
      <c r="P77" s="188">
        <f t="shared" si="113"/>
        <v>110000000</v>
      </c>
      <c r="Q77" s="188">
        <f t="shared" si="113"/>
        <v>90000000</v>
      </c>
      <c r="R77" s="188">
        <f t="shared" si="113"/>
        <v>130000000</v>
      </c>
      <c r="S77" s="188">
        <f t="shared" si="113"/>
        <v>100000000</v>
      </c>
      <c r="T77" s="188">
        <f t="shared" si="113"/>
        <v>130000000</v>
      </c>
      <c r="U77" s="188">
        <f t="shared" si="113"/>
        <v>120000000</v>
      </c>
      <c r="V77" s="188">
        <f t="shared" si="113"/>
        <v>100000000</v>
      </c>
      <c r="W77" s="188">
        <f t="shared" si="113"/>
        <v>80000000</v>
      </c>
      <c r="X77" s="188">
        <f t="shared" si="113"/>
        <v>120000000</v>
      </c>
      <c r="Y77" s="188">
        <f t="shared" si="109"/>
        <v>108000000</v>
      </c>
      <c r="Z77" s="155" t="s">
        <v>99</v>
      </c>
      <c r="AA77" s="155">
        <v>5</v>
      </c>
      <c r="AB77" s="155">
        <v>2</v>
      </c>
      <c r="AC77" s="155">
        <v>2</v>
      </c>
      <c r="AD77" s="155">
        <v>1</v>
      </c>
      <c r="AE77" s="155">
        <v>3</v>
      </c>
      <c r="AF77" s="155">
        <v>5</v>
      </c>
      <c r="AG77" s="155">
        <v>1</v>
      </c>
      <c r="AH77" s="155">
        <v>5</v>
      </c>
      <c r="AI77" s="155">
        <v>4</v>
      </c>
      <c r="AJ77" s="155">
        <v>2</v>
      </c>
      <c r="AK77" s="155">
        <v>3</v>
      </c>
      <c r="AL77" s="155" t="s">
        <v>166</v>
      </c>
      <c r="AN77" s="188">
        <f t="shared" ref="AN77:AW77" si="114">(AB77/0.01)*10^($AA$77)</f>
        <v>20000000</v>
      </c>
      <c r="AO77" s="188">
        <f t="shared" si="114"/>
        <v>20000000</v>
      </c>
      <c r="AP77" s="188">
        <f t="shared" si="114"/>
        <v>10000000</v>
      </c>
      <c r="AQ77" s="188">
        <f t="shared" si="114"/>
        <v>30000000</v>
      </c>
      <c r="AR77" s="188">
        <f t="shared" si="114"/>
        <v>50000000</v>
      </c>
      <c r="AS77" s="188">
        <f t="shared" si="114"/>
        <v>10000000</v>
      </c>
      <c r="AT77" s="188">
        <f t="shared" si="114"/>
        <v>50000000</v>
      </c>
      <c r="AU77" s="188">
        <f t="shared" si="114"/>
        <v>40000000</v>
      </c>
      <c r="AV77" s="188">
        <f t="shared" si="114"/>
        <v>20000000</v>
      </c>
      <c r="AW77" s="188">
        <f t="shared" si="114"/>
        <v>30000000</v>
      </c>
      <c r="AX77" s="188">
        <f t="shared" si="112"/>
        <v>28000000</v>
      </c>
      <c r="AY77" s="155" t="s">
        <v>99</v>
      </c>
    </row>
    <row r="78" spans="1:51" x14ac:dyDescent="0.25">
      <c r="A78" s="155" t="s">
        <v>100</v>
      </c>
      <c r="B78" s="155">
        <v>5</v>
      </c>
      <c r="C78" s="155">
        <v>9</v>
      </c>
      <c r="D78" s="155">
        <v>9</v>
      </c>
      <c r="E78" s="155">
        <v>12</v>
      </c>
      <c r="F78" s="155">
        <v>6</v>
      </c>
      <c r="G78" s="155">
        <v>9</v>
      </c>
      <c r="H78" s="155">
        <v>13</v>
      </c>
      <c r="I78" s="155">
        <v>9</v>
      </c>
      <c r="J78" s="155">
        <v>11</v>
      </c>
      <c r="K78" s="155">
        <v>8</v>
      </c>
      <c r="L78" s="155">
        <v>15</v>
      </c>
      <c r="M78" s="226">
        <f t="shared" si="105"/>
        <v>10.222222222222221</v>
      </c>
      <c r="O78" s="188">
        <f t="shared" ref="O78:X78" si="115">(C78/0.01)*10^($B$78)</f>
        <v>90000000</v>
      </c>
      <c r="P78" s="188">
        <f t="shared" si="115"/>
        <v>90000000</v>
      </c>
      <c r="Q78" s="188">
        <f t="shared" si="115"/>
        <v>120000000</v>
      </c>
      <c r="R78" s="188">
        <f t="shared" si="115"/>
        <v>60000000</v>
      </c>
      <c r="S78" s="188">
        <f t="shared" si="115"/>
        <v>90000000</v>
      </c>
      <c r="T78" s="188">
        <f t="shared" si="115"/>
        <v>130000000</v>
      </c>
      <c r="U78" s="188">
        <f t="shared" si="115"/>
        <v>90000000</v>
      </c>
      <c r="V78" s="188">
        <f t="shared" si="115"/>
        <v>110000000</v>
      </c>
      <c r="W78" s="188">
        <f t="shared" si="115"/>
        <v>80000000</v>
      </c>
      <c r="X78" s="188">
        <f t="shared" si="115"/>
        <v>150000000</v>
      </c>
      <c r="Y78" s="188">
        <f t="shared" si="109"/>
        <v>101000000</v>
      </c>
      <c r="Z78" s="155" t="s">
        <v>100</v>
      </c>
      <c r="AA78" s="155">
        <v>5</v>
      </c>
      <c r="AB78" s="155">
        <v>1</v>
      </c>
      <c r="AC78" s="155">
        <v>2</v>
      </c>
      <c r="AD78" s="155">
        <v>5</v>
      </c>
      <c r="AE78" s="155">
        <v>4</v>
      </c>
      <c r="AF78" s="155">
        <v>4</v>
      </c>
      <c r="AG78" s="155">
        <v>1</v>
      </c>
      <c r="AH78" s="155">
        <v>1</v>
      </c>
      <c r="AI78" s="155">
        <v>0</v>
      </c>
      <c r="AJ78" s="155">
        <v>1</v>
      </c>
      <c r="AK78" s="155">
        <v>2</v>
      </c>
      <c r="AL78" s="155" t="s">
        <v>166</v>
      </c>
      <c r="AN78" s="188">
        <f t="shared" ref="AN78:AW78" si="116">(AB78/0.01)*10^($AA$78)</f>
        <v>10000000</v>
      </c>
      <c r="AO78" s="188">
        <f t="shared" si="116"/>
        <v>20000000</v>
      </c>
      <c r="AP78" s="188">
        <f t="shared" si="116"/>
        <v>50000000</v>
      </c>
      <c r="AQ78" s="188">
        <f t="shared" si="116"/>
        <v>40000000</v>
      </c>
      <c r="AR78" s="188">
        <f t="shared" si="116"/>
        <v>40000000</v>
      </c>
      <c r="AS78" s="188">
        <f t="shared" si="116"/>
        <v>10000000</v>
      </c>
      <c r="AT78" s="188">
        <f t="shared" si="116"/>
        <v>10000000</v>
      </c>
      <c r="AU78" s="188">
        <f t="shared" si="116"/>
        <v>0</v>
      </c>
      <c r="AV78" s="188">
        <f t="shared" si="116"/>
        <v>10000000</v>
      </c>
      <c r="AW78" s="188">
        <f t="shared" si="116"/>
        <v>20000000</v>
      </c>
      <c r="AX78" s="188">
        <f t="shared" si="112"/>
        <v>21000000</v>
      </c>
      <c r="AY78" s="155" t="s">
        <v>100</v>
      </c>
    </row>
    <row r="79" spans="1:51" x14ac:dyDescent="0.25">
      <c r="A79" s="155" t="s">
        <v>104</v>
      </c>
      <c r="B79" s="155">
        <v>6</v>
      </c>
      <c r="C79" s="155">
        <v>3</v>
      </c>
      <c r="D79" s="155">
        <v>2</v>
      </c>
      <c r="E79" s="155">
        <v>0</v>
      </c>
      <c r="F79" s="155">
        <v>1</v>
      </c>
      <c r="G79" s="155">
        <v>1</v>
      </c>
      <c r="H79" s="155">
        <v>2</v>
      </c>
      <c r="I79" s="155">
        <v>1</v>
      </c>
      <c r="J79" s="155">
        <v>2</v>
      </c>
      <c r="K79" s="155">
        <v>4</v>
      </c>
      <c r="L79" s="155">
        <v>2</v>
      </c>
      <c r="M79" s="226">
        <f t="shared" si="105"/>
        <v>1.6666666666666667</v>
      </c>
      <c r="O79" s="188">
        <f t="shared" ref="O79:X79" si="117">(C79/0.01)*10^($B$79)</f>
        <v>300000000</v>
      </c>
      <c r="P79" s="188">
        <f t="shared" si="117"/>
        <v>200000000</v>
      </c>
      <c r="Q79" s="188">
        <f t="shared" si="117"/>
        <v>0</v>
      </c>
      <c r="R79" s="188">
        <f t="shared" si="117"/>
        <v>100000000</v>
      </c>
      <c r="S79" s="188">
        <f t="shared" si="117"/>
        <v>100000000</v>
      </c>
      <c r="T79" s="188">
        <f t="shared" si="117"/>
        <v>200000000</v>
      </c>
      <c r="U79" s="188">
        <f t="shared" si="117"/>
        <v>100000000</v>
      </c>
      <c r="V79" s="188">
        <f t="shared" si="117"/>
        <v>200000000</v>
      </c>
      <c r="W79" s="188">
        <f t="shared" si="117"/>
        <v>400000000</v>
      </c>
      <c r="X79" s="188">
        <f t="shared" si="117"/>
        <v>200000000</v>
      </c>
      <c r="Y79" s="188">
        <f t="shared" si="109"/>
        <v>180000000</v>
      </c>
      <c r="Z79" s="155" t="s">
        <v>104</v>
      </c>
      <c r="AA79" s="155">
        <v>5</v>
      </c>
      <c r="AB79" s="155">
        <v>13</v>
      </c>
      <c r="AC79" s="155">
        <v>19</v>
      </c>
      <c r="AD79" s="155">
        <v>17</v>
      </c>
      <c r="AE79" s="155">
        <v>16</v>
      </c>
      <c r="AF79" s="155">
        <v>16</v>
      </c>
      <c r="AG79" s="155">
        <v>14</v>
      </c>
      <c r="AH79" s="155">
        <v>16</v>
      </c>
      <c r="AI79" s="155">
        <v>14</v>
      </c>
      <c r="AJ79" s="155">
        <v>12</v>
      </c>
      <c r="AK79" s="155">
        <v>7</v>
      </c>
      <c r="AL79" s="226">
        <f>AVERAGE(AB79:AK79)</f>
        <v>14.4</v>
      </c>
      <c r="AN79" s="188">
        <f t="shared" ref="AN79:AW79" si="118">(AB79/0.01)*10^($AA$79)</f>
        <v>130000000</v>
      </c>
      <c r="AO79" s="188">
        <f t="shared" si="118"/>
        <v>190000000</v>
      </c>
      <c r="AP79" s="188">
        <f t="shared" si="118"/>
        <v>170000000</v>
      </c>
      <c r="AQ79" s="188">
        <f t="shared" si="118"/>
        <v>160000000</v>
      </c>
      <c r="AR79" s="188">
        <f t="shared" si="118"/>
        <v>160000000</v>
      </c>
      <c r="AS79" s="188">
        <f t="shared" si="118"/>
        <v>140000000</v>
      </c>
      <c r="AT79" s="188">
        <f t="shared" si="118"/>
        <v>160000000</v>
      </c>
      <c r="AU79" s="188">
        <f t="shared" si="118"/>
        <v>140000000</v>
      </c>
      <c r="AV79" s="188">
        <f t="shared" si="118"/>
        <v>120000000</v>
      </c>
      <c r="AW79" s="188">
        <f t="shared" si="118"/>
        <v>70000000</v>
      </c>
      <c r="AX79" s="188">
        <f t="shared" si="112"/>
        <v>144000000</v>
      </c>
      <c r="AY79" s="155" t="s">
        <v>104</v>
      </c>
    </row>
    <row r="80" spans="1:51" x14ac:dyDescent="0.25">
      <c r="A80" s="155" t="s">
        <v>105</v>
      </c>
      <c r="B80" s="155">
        <v>6</v>
      </c>
      <c r="C80" s="155">
        <v>3</v>
      </c>
      <c r="D80" s="155">
        <v>7</v>
      </c>
      <c r="E80" s="155">
        <v>1</v>
      </c>
      <c r="F80" s="155">
        <v>9</v>
      </c>
      <c r="G80" s="155">
        <v>3</v>
      </c>
      <c r="H80" s="155">
        <v>3</v>
      </c>
      <c r="I80" s="155">
        <v>1</v>
      </c>
      <c r="J80" s="155">
        <v>2</v>
      </c>
      <c r="K80" s="155">
        <v>3</v>
      </c>
      <c r="L80" s="155">
        <v>1</v>
      </c>
      <c r="M80" s="226">
        <f t="shared" si="105"/>
        <v>3.3333333333333335</v>
      </c>
      <c r="O80" s="188">
        <f t="shared" ref="O80:X80" si="119">(C80/0.01)*10^($B$80)</f>
        <v>300000000</v>
      </c>
      <c r="P80" s="188">
        <f t="shared" si="119"/>
        <v>700000000</v>
      </c>
      <c r="Q80" s="188">
        <f t="shared" si="119"/>
        <v>100000000</v>
      </c>
      <c r="R80" s="188">
        <f t="shared" si="119"/>
        <v>900000000</v>
      </c>
      <c r="S80" s="188">
        <f t="shared" si="119"/>
        <v>300000000</v>
      </c>
      <c r="T80" s="188">
        <f t="shared" si="119"/>
        <v>300000000</v>
      </c>
      <c r="U80" s="188">
        <f t="shared" si="119"/>
        <v>100000000</v>
      </c>
      <c r="V80" s="188">
        <f t="shared" si="119"/>
        <v>200000000</v>
      </c>
      <c r="W80" s="188">
        <f t="shared" si="119"/>
        <v>300000000</v>
      </c>
      <c r="X80" s="188">
        <f t="shared" si="119"/>
        <v>100000000</v>
      </c>
      <c r="Y80" s="188">
        <f t="shared" si="109"/>
        <v>330000000</v>
      </c>
      <c r="Z80" s="155" t="s">
        <v>105</v>
      </c>
      <c r="AA80" s="155">
        <v>5</v>
      </c>
      <c r="AB80" s="155">
        <v>29</v>
      </c>
      <c r="AC80" s="155">
        <v>19</v>
      </c>
      <c r="AD80" s="155">
        <v>29</v>
      </c>
      <c r="AE80" s="155">
        <v>23</v>
      </c>
      <c r="AF80" s="155">
        <v>22</v>
      </c>
      <c r="AG80" s="155">
        <v>18</v>
      </c>
      <c r="AH80" s="155">
        <v>35</v>
      </c>
      <c r="AI80" s="155">
        <v>8</v>
      </c>
      <c r="AJ80" s="155">
        <v>24</v>
      </c>
      <c r="AK80" s="155">
        <v>17</v>
      </c>
      <c r="AL80" s="226">
        <f>AVERAGE(AB80:AK80)</f>
        <v>22.4</v>
      </c>
      <c r="AN80" s="188">
        <f t="shared" ref="AN80:AW80" si="120">(AB80/0.01)*10^($AA$80)</f>
        <v>290000000</v>
      </c>
      <c r="AO80" s="188">
        <f t="shared" si="120"/>
        <v>190000000</v>
      </c>
      <c r="AP80" s="188">
        <f t="shared" si="120"/>
        <v>290000000</v>
      </c>
      <c r="AQ80" s="188">
        <f t="shared" si="120"/>
        <v>230000000</v>
      </c>
      <c r="AR80" s="188">
        <f t="shared" si="120"/>
        <v>220000000</v>
      </c>
      <c r="AS80" s="188">
        <f t="shared" si="120"/>
        <v>180000000</v>
      </c>
      <c r="AT80" s="188">
        <f t="shared" si="120"/>
        <v>350000000</v>
      </c>
      <c r="AU80" s="188">
        <f t="shared" si="120"/>
        <v>80000000</v>
      </c>
      <c r="AV80" s="188">
        <f t="shared" si="120"/>
        <v>240000000</v>
      </c>
      <c r="AW80" s="188">
        <f t="shared" si="120"/>
        <v>170000000</v>
      </c>
      <c r="AX80" s="188">
        <f t="shared" si="112"/>
        <v>224000000</v>
      </c>
      <c r="AY80" s="155" t="s">
        <v>105</v>
      </c>
    </row>
    <row r="81" spans="1:51" x14ac:dyDescent="0.25">
      <c r="A81" s="155" t="s">
        <v>106</v>
      </c>
      <c r="B81" s="155">
        <v>6</v>
      </c>
      <c r="C81" s="155">
        <v>4</v>
      </c>
      <c r="D81" s="155">
        <v>3</v>
      </c>
      <c r="E81" s="155">
        <v>0</v>
      </c>
      <c r="F81" s="155">
        <v>2</v>
      </c>
      <c r="G81" s="155">
        <v>3</v>
      </c>
      <c r="H81" s="155">
        <v>5</v>
      </c>
      <c r="I81" s="155">
        <v>4</v>
      </c>
      <c r="J81" s="155">
        <v>2</v>
      </c>
      <c r="K81" s="155">
        <v>3</v>
      </c>
      <c r="L81" s="155">
        <v>6</v>
      </c>
      <c r="M81" s="226">
        <f t="shared" si="105"/>
        <v>3.1111111111111112</v>
      </c>
      <c r="O81" s="188">
        <f t="shared" ref="O81:X81" si="121">(C81/0.01)*10^($B$81)</f>
        <v>400000000</v>
      </c>
      <c r="P81" s="188">
        <f t="shared" si="121"/>
        <v>300000000</v>
      </c>
      <c r="Q81" s="188">
        <f t="shared" si="121"/>
        <v>0</v>
      </c>
      <c r="R81" s="188">
        <f t="shared" si="121"/>
        <v>200000000</v>
      </c>
      <c r="S81" s="188">
        <f t="shared" si="121"/>
        <v>300000000</v>
      </c>
      <c r="T81" s="188">
        <f t="shared" si="121"/>
        <v>500000000</v>
      </c>
      <c r="U81" s="188">
        <f t="shared" si="121"/>
        <v>400000000</v>
      </c>
      <c r="V81" s="188">
        <f t="shared" si="121"/>
        <v>200000000</v>
      </c>
      <c r="W81" s="188">
        <f t="shared" si="121"/>
        <v>300000000</v>
      </c>
      <c r="X81" s="188">
        <f t="shared" si="121"/>
        <v>600000000</v>
      </c>
      <c r="Y81" s="188">
        <f t="shared" si="109"/>
        <v>320000000</v>
      </c>
      <c r="Z81" s="155" t="s">
        <v>106</v>
      </c>
      <c r="AA81" s="155">
        <v>5</v>
      </c>
      <c r="AB81" s="155">
        <v>25</v>
      </c>
      <c r="AC81" s="155">
        <v>24</v>
      </c>
      <c r="AD81" s="155">
        <v>24</v>
      </c>
      <c r="AE81" s="155">
        <v>25</v>
      </c>
      <c r="AF81" s="155">
        <v>27</v>
      </c>
      <c r="AG81" s="155">
        <v>24</v>
      </c>
      <c r="AH81" s="155">
        <v>29</v>
      </c>
      <c r="AI81" s="155">
        <v>15</v>
      </c>
      <c r="AJ81" s="155">
        <v>25</v>
      </c>
      <c r="AK81" s="155">
        <v>22</v>
      </c>
      <c r="AL81" s="226">
        <f>AVERAGE(AB81:AK81)</f>
        <v>24</v>
      </c>
      <c r="AN81" s="188">
        <f t="shared" ref="AN81:AW81" si="122">(AB81/0.01)*10^($AA$81)</f>
        <v>250000000</v>
      </c>
      <c r="AO81" s="188">
        <f t="shared" si="122"/>
        <v>240000000</v>
      </c>
      <c r="AP81" s="188">
        <f t="shared" si="122"/>
        <v>240000000</v>
      </c>
      <c r="AQ81" s="188">
        <f t="shared" si="122"/>
        <v>250000000</v>
      </c>
      <c r="AR81" s="188">
        <f t="shared" si="122"/>
        <v>270000000</v>
      </c>
      <c r="AS81" s="188">
        <f t="shared" si="122"/>
        <v>240000000</v>
      </c>
      <c r="AT81" s="188">
        <f t="shared" si="122"/>
        <v>290000000</v>
      </c>
      <c r="AU81" s="188">
        <f t="shared" si="122"/>
        <v>150000000</v>
      </c>
      <c r="AV81" s="188">
        <f t="shared" si="122"/>
        <v>250000000</v>
      </c>
      <c r="AW81" s="188">
        <f t="shared" si="122"/>
        <v>220000000</v>
      </c>
      <c r="AX81" s="188">
        <f t="shared" si="112"/>
        <v>240000000</v>
      </c>
      <c r="AY81" s="155" t="s">
        <v>106</v>
      </c>
    </row>
    <row r="82" spans="1:51" x14ac:dyDescent="0.25">
      <c r="A82" s="155" t="s">
        <v>110</v>
      </c>
      <c r="B82" s="155">
        <v>5</v>
      </c>
      <c r="C82" s="155">
        <v>10</v>
      </c>
      <c r="D82" s="155">
        <v>14</v>
      </c>
      <c r="E82" s="155">
        <v>11</v>
      </c>
      <c r="F82" s="155">
        <v>18</v>
      </c>
      <c r="G82" s="155">
        <v>16</v>
      </c>
      <c r="H82" s="155">
        <v>16</v>
      </c>
      <c r="I82" s="155">
        <v>12</v>
      </c>
      <c r="J82" s="155">
        <v>9</v>
      </c>
      <c r="K82" s="155">
        <v>13</v>
      </c>
      <c r="L82" s="155">
        <v>17</v>
      </c>
      <c r="M82" s="226">
        <f t="shared" si="105"/>
        <v>14</v>
      </c>
      <c r="O82" s="188">
        <f t="shared" ref="O82:X82" si="123">(C82/0.01)*10^($B$82)</f>
        <v>100000000</v>
      </c>
      <c r="P82" s="188">
        <f t="shared" si="123"/>
        <v>140000000</v>
      </c>
      <c r="Q82" s="188">
        <f t="shared" si="123"/>
        <v>110000000</v>
      </c>
      <c r="R82" s="188">
        <f t="shared" si="123"/>
        <v>180000000</v>
      </c>
      <c r="S82" s="188">
        <f t="shared" si="123"/>
        <v>160000000</v>
      </c>
      <c r="T82" s="188">
        <f t="shared" si="123"/>
        <v>160000000</v>
      </c>
      <c r="U82" s="188">
        <f t="shared" si="123"/>
        <v>120000000</v>
      </c>
      <c r="V82" s="188">
        <f t="shared" si="123"/>
        <v>90000000</v>
      </c>
      <c r="W82" s="188">
        <f t="shared" si="123"/>
        <v>130000000</v>
      </c>
      <c r="X82" s="188">
        <f t="shared" si="123"/>
        <v>170000000</v>
      </c>
      <c r="Y82" s="188">
        <f t="shared" si="109"/>
        <v>136000000</v>
      </c>
      <c r="Z82" s="155" t="s">
        <v>110</v>
      </c>
      <c r="AA82" s="155">
        <v>6</v>
      </c>
      <c r="AB82" s="155">
        <v>3</v>
      </c>
      <c r="AC82" s="155">
        <v>5</v>
      </c>
      <c r="AD82" s="155">
        <v>1</v>
      </c>
      <c r="AE82" s="155">
        <v>3</v>
      </c>
      <c r="AF82" s="155">
        <v>2</v>
      </c>
      <c r="AG82" s="155">
        <v>2</v>
      </c>
      <c r="AH82" s="155">
        <v>2</v>
      </c>
      <c r="AI82" s="155">
        <v>3</v>
      </c>
      <c r="AJ82" s="155">
        <v>1</v>
      </c>
      <c r="AK82" s="155">
        <v>5</v>
      </c>
      <c r="AL82" s="226">
        <f>AVERAGE(AB82:AK82)</f>
        <v>2.7</v>
      </c>
      <c r="AN82" s="188">
        <f t="shared" ref="AN82:AW82" si="124">(AB82/0.01)*10^($AA$82)</f>
        <v>300000000</v>
      </c>
      <c r="AO82" s="188">
        <f t="shared" si="124"/>
        <v>500000000</v>
      </c>
      <c r="AP82" s="188">
        <f t="shared" si="124"/>
        <v>100000000</v>
      </c>
      <c r="AQ82" s="188">
        <f t="shared" si="124"/>
        <v>300000000</v>
      </c>
      <c r="AR82" s="188">
        <f t="shared" si="124"/>
        <v>200000000</v>
      </c>
      <c r="AS82" s="188">
        <f t="shared" si="124"/>
        <v>200000000</v>
      </c>
      <c r="AT82" s="188">
        <f t="shared" si="124"/>
        <v>200000000</v>
      </c>
      <c r="AU82" s="188">
        <f t="shared" si="124"/>
        <v>300000000</v>
      </c>
      <c r="AV82" s="188">
        <f t="shared" si="124"/>
        <v>100000000</v>
      </c>
      <c r="AW82" s="188">
        <f t="shared" si="124"/>
        <v>500000000</v>
      </c>
      <c r="AX82" s="188">
        <f t="shared" si="112"/>
        <v>270000000</v>
      </c>
      <c r="AY82" s="155" t="s">
        <v>110</v>
      </c>
    </row>
    <row r="83" spans="1:51" x14ac:dyDescent="0.25">
      <c r="A83" s="155" t="s">
        <v>111</v>
      </c>
      <c r="B83" s="155">
        <v>6</v>
      </c>
      <c r="C83" s="155">
        <v>5</v>
      </c>
      <c r="D83" s="155">
        <v>0</v>
      </c>
      <c r="E83" s="155">
        <v>8</v>
      </c>
      <c r="F83" s="155">
        <v>2</v>
      </c>
      <c r="G83" s="155">
        <v>3</v>
      </c>
      <c r="H83" s="155">
        <v>3</v>
      </c>
      <c r="I83" s="155">
        <v>5</v>
      </c>
      <c r="J83" s="155">
        <v>3</v>
      </c>
      <c r="K83" s="155">
        <v>8</v>
      </c>
      <c r="L83" s="155">
        <v>4</v>
      </c>
      <c r="M83" s="226">
        <f t="shared" si="105"/>
        <v>4</v>
      </c>
      <c r="O83" s="188">
        <f t="shared" ref="O83:X83" si="125">(C83/0.01)*10^($B$83)</f>
        <v>500000000</v>
      </c>
      <c r="P83" s="188">
        <f t="shared" si="125"/>
        <v>0</v>
      </c>
      <c r="Q83" s="188">
        <f t="shared" si="125"/>
        <v>800000000</v>
      </c>
      <c r="R83" s="188">
        <f t="shared" si="125"/>
        <v>200000000</v>
      </c>
      <c r="S83" s="188">
        <f t="shared" si="125"/>
        <v>300000000</v>
      </c>
      <c r="T83" s="188">
        <f t="shared" si="125"/>
        <v>300000000</v>
      </c>
      <c r="U83" s="188">
        <f t="shared" si="125"/>
        <v>500000000</v>
      </c>
      <c r="V83" s="188">
        <f t="shared" si="125"/>
        <v>300000000</v>
      </c>
      <c r="W83" s="188">
        <f t="shared" si="125"/>
        <v>800000000</v>
      </c>
      <c r="X83" s="188">
        <f t="shared" si="125"/>
        <v>400000000</v>
      </c>
      <c r="Y83" s="188">
        <f t="shared" si="109"/>
        <v>410000000</v>
      </c>
      <c r="Z83" s="155" t="s">
        <v>111</v>
      </c>
      <c r="AY83" s="155" t="s">
        <v>111</v>
      </c>
    </row>
    <row r="84" spans="1:51" x14ac:dyDescent="0.25">
      <c r="A84" s="155" t="s">
        <v>112</v>
      </c>
      <c r="B84" s="155">
        <v>6</v>
      </c>
      <c r="C84" s="155">
        <v>6</v>
      </c>
      <c r="D84" s="155">
        <v>4</v>
      </c>
      <c r="E84" s="155">
        <v>3</v>
      </c>
      <c r="F84" s="155">
        <v>5</v>
      </c>
      <c r="G84" s="155">
        <v>6</v>
      </c>
      <c r="H84" s="155">
        <v>1</v>
      </c>
      <c r="I84" s="155">
        <v>2</v>
      </c>
      <c r="J84" s="155">
        <v>3</v>
      </c>
      <c r="K84" s="155">
        <v>3</v>
      </c>
      <c r="L84" s="155">
        <v>3</v>
      </c>
      <c r="M84" s="226">
        <f t="shared" si="105"/>
        <v>3.3333333333333335</v>
      </c>
      <c r="O84" s="188">
        <f t="shared" ref="O84:X84" si="126">(C84/0.01)*10^($B$84)</f>
        <v>600000000</v>
      </c>
      <c r="P84" s="188">
        <f t="shared" si="126"/>
        <v>400000000</v>
      </c>
      <c r="Q84" s="188">
        <f t="shared" si="126"/>
        <v>300000000</v>
      </c>
      <c r="R84" s="188">
        <f t="shared" si="126"/>
        <v>500000000</v>
      </c>
      <c r="S84" s="188">
        <f t="shared" si="126"/>
        <v>600000000</v>
      </c>
      <c r="T84" s="188">
        <f t="shared" si="126"/>
        <v>100000000</v>
      </c>
      <c r="U84" s="188">
        <f t="shared" si="126"/>
        <v>200000000</v>
      </c>
      <c r="V84" s="188">
        <f t="shared" si="126"/>
        <v>300000000</v>
      </c>
      <c r="W84" s="188">
        <f t="shared" si="126"/>
        <v>300000000</v>
      </c>
      <c r="X84" s="188">
        <f t="shared" si="126"/>
        <v>300000000</v>
      </c>
      <c r="Y84" s="188">
        <f t="shared" si="109"/>
        <v>360000000</v>
      </c>
      <c r="Z84" s="155" t="s">
        <v>112</v>
      </c>
      <c r="AY84" s="155" t="s">
        <v>112</v>
      </c>
    </row>
    <row r="85" spans="1:51" x14ac:dyDescent="0.25">
      <c r="A85" s="155" t="s">
        <v>163</v>
      </c>
      <c r="B85" s="155">
        <v>5</v>
      </c>
      <c r="C85" s="155">
        <v>11</v>
      </c>
      <c r="D85" s="155">
        <v>7</v>
      </c>
      <c r="E85" s="155">
        <v>5</v>
      </c>
      <c r="F85" s="155">
        <v>12</v>
      </c>
      <c r="G85" s="155">
        <v>11</v>
      </c>
      <c r="H85" s="155">
        <v>8</v>
      </c>
      <c r="I85" s="155">
        <v>9</v>
      </c>
      <c r="J85" s="155">
        <v>9</v>
      </c>
      <c r="K85" s="155">
        <v>10</v>
      </c>
      <c r="L85" s="155">
        <v>14</v>
      </c>
      <c r="M85" s="226">
        <f t="shared" si="105"/>
        <v>9.4444444444444446</v>
      </c>
      <c r="O85" s="188">
        <f t="shared" ref="O85:X85" si="127">(C85/0.01)*10^($B$85)</f>
        <v>110000000</v>
      </c>
      <c r="P85" s="188">
        <f t="shared" si="127"/>
        <v>70000000</v>
      </c>
      <c r="Q85" s="188">
        <f t="shared" si="127"/>
        <v>50000000</v>
      </c>
      <c r="R85" s="188">
        <f t="shared" si="127"/>
        <v>120000000</v>
      </c>
      <c r="S85" s="188">
        <f t="shared" si="127"/>
        <v>110000000</v>
      </c>
      <c r="T85" s="188">
        <f t="shared" si="127"/>
        <v>80000000</v>
      </c>
      <c r="U85" s="188">
        <f t="shared" si="127"/>
        <v>90000000</v>
      </c>
      <c r="V85" s="188">
        <f t="shared" si="127"/>
        <v>90000000</v>
      </c>
      <c r="W85" s="188">
        <f t="shared" si="127"/>
        <v>100000000</v>
      </c>
      <c r="X85" s="188">
        <f t="shared" si="127"/>
        <v>140000000</v>
      </c>
      <c r="Y85" s="188">
        <f t="shared" si="109"/>
        <v>96000000</v>
      </c>
      <c r="Z85" s="155" t="s">
        <v>163</v>
      </c>
      <c r="AY85" s="155" t="s">
        <v>163</v>
      </c>
    </row>
    <row r="86" spans="1:51" x14ac:dyDescent="0.25">
      <c r="A86" s="155" t="s">
        <v>164</v>
      </c>
      <c r="B86" s="155">
        <v>5</v>
      </c>
      <c r="C86" s="155">
        <v>16</v>
      </c>
      <c r="D86" s="155">
        <v>23</v>
      </c>
      <c r="E86" s="155">
        <v>22</v>
      </c>
      <c r="F86" s="155">
        <v>18</v>
      </c>
      <c r="G86" s="155">
        <v>20</v>
      </c>
      <c r="H86" s="155">
        <v>14</v>
      </c>
      <c r="I86" s="155">
        <v>15</v>
      </c>
      <c r="J86" s="155">
        <v>22</v>
      </c>
      <c r="K86" s="155">
        <v>23</v>
      </c>
      <c r="L86" s="155">
        <v>20</v>
      </c>
      <c r="M86" s="226">
        <f t="shared" si="105"/>
        <v>19.666666666666668</v>
      </c>
      <c r="O86" s="188">
        <f t="shared" ref="O86:X86" si="128">(C86/0.01)*10^($B$86)</f>
        <v>160000000</v>
      </c>
      <c r="P86" s="188">
        <f t="shared" si="128"/>
        <v>230000000</v>
      </c>
      <c r="Q86" s="188">
        <f t="shared" si="128"/>
        <v>220000000</v>
      </c>
      <c r="R86" s="188">
        <f t="shared" si="128"/>
        <v>180000000</v>
      </c>
      <c r="S86" s="188">
        <f t="shared" si="128"/>
        <v>200000000</v>
      </c>
      <c r="T86" s="188">
        <f t="shared" si="128"/>
        <v>140000000</v>
      </c>
      <c r="U86" s="188">
        <f t="shared" si="128"/>
        <v>150000000</v>
      </c>
      <c r="V86" s="188">
        <f t="shared" si="128"/>
        <v>220000000</v>
      </c>
      <c r="W86" s="188">
        <f t="shared" si="128"/>
        <v>230000000</v>
      </c>
      <c r="X86" s="188">
        <f t="shared" si="128"/>
        <v>200000000</v>
      </c>
      <c r="Y86" s="188">
        <f t="shared" si="109"/>
        <v>193000000</v>
      </c>
      <c r="Z86" s="155" t="s">
        <v>164</v>
      </c>
      <c r="AY86" s="155" t="s">
        <v>164</v>
      </c>
    </row>
    <row r="87" spans="1:51" x14ac:dyDescent="0.25">
      <c r="A87" s="155" t="s">
        <v>165</v>
      </c>
      <c r="B87" s="155">
        <v>5</v>
      </c>
      <c r="C87" s="155">
        <v>17</v>
      </c>
      <c r="D87" s="155">
        <v>18</v>
      </c>
      <c r="E87" s="155">
        <v>21</v>
      </c>
      <c r="F87" s="155">
        <v>25</v>
      </c>
      <c r="G87" s="155">
        <v>19</v>
      </c>
      <c r="H87" s="155">
        <v>14</v>
      </c>
      <c r="I87" s="155">
        <v>23</v>
      </c>
      <c r="J87" s="155">
        <v>20</v>
      </c>
      <c r="K87" s="155">
        <v>24</v>
      </c>
      <c r="L87" s="155">
        <v>22</v>
      </c>
      <c r="M87" s="226">
        <f t="shared" si="105"/>
        <v>20.666666666666668</v>
      </c>
      <c r="O87" s="188">
        <f t="shared" ref="O87:X87" si="129">(C87/0.01)*10^($B$87)</f>
        <v>170000000</v>
      </c>
      <c r="P87" s="188">
        <f t="shared" si="129"/>
        <v>180000000</v>
      </c>
      <c r="Q87" s="188">
        <f t="shared" si="129"/>
        <v>210000000</v>
      </c>
      <c r="R87" s="188">
        <f t="shared" si="129"/>
        <v>250000000</v>
      </c>
      <c r="S87" s="188">
        <f t="shared" si="129"/>
        <v>190000000</v>
      </c>
      <c r="T87" s="188">
        <f t="shared" si="129"/>
        <v>140000000</v>
      </c>
      <c r="U87" s="188">
        <f t="shared" si="129"/>
        <v>230000000</v>
      </c>
      <c r="V87" s="188">
        <f t="shared" si="129"/>
        <v>200000000</v>
      </c>
      <c r="W87" s="188">
        <f t="shared" si="129"/>
        <v>240000000</v>
      </c>
      <c r="X87" s="188">
        <f t="shared" si="129"/>
        <v>220000000</v>
      </c>
      <c r="Y87" s="188">
        <f t="shared" si="109"/>
        <v>203000000</v>
      </c>
      <c r="Z87" s="155" t="s">
        <v>165</v>
      </c>
      <c r="AY87" s="155" t="s">
        <v>165</v>
      </c>
    </row>
    <row r="90" spans="1:51" x14ac:dyDescent="0.25">
      <c r="F90" s="242"/>
      <c r="H90" s="157"/>
      <c r="I90" s="157"/>
      <c r="J90" s="157"/>
    </row>
    <row r="91" spans="1:51" x14ac:dyDescent="0.25">
      <c r="B91" s="188"/>
      <c r="C91" s="188"/>
      <c r="D91" s="188"/>
      <c r="E91" s="188"/>
      <c r="F91" s="188"/>
      <c r="H91" s="174"/>
      <c r="I91" s="174"/>
    </row>
    <row r="92" spans="1:51" x14ac:dyDescent="0.25">
      <c r="B92" s="188"/>
      <c r="C92" s="188"/>
      <c r="D92" s="188"/>
      <c r="E92" s="188"/>
      <c r="F92" s="188"/>
      <c r="H92" s="174"/>
      <c r="I92" s="174"/>
    </row>
    <row r="93" spans="1:51" x14ac:dyDescent="0.25">
      <c r="B93" s="188"/>
      <c r="C93" s="188"/>
      <c r="D93" s="188"/>
      <c r="E93" s="188"/>
      <c r="F93" s="188"/>
      <c r="H93" s="174"/>
      <c r="I93" s="174"/>
    </row>
    <row r="94" spans="1:51" x14ac:dyDescent="0.25">
      <c r="B94" s="188"/>
      <c r="C94" s="188"/>
      <c r="D94" s="188"/>
      <c r="E94" s="188"/>
      <c r="F94" s="188"/>
      <c r="H94" s="174"/>
      <c r="I94" s="174"/>
    </row>
    <row r="95" spans="1:51" x14ac:dyDescent="0.25">
      <c r="B95" s="188"/>
      <c r="C95" s="188"/>
      <c r="D95" s="188"/>
      <c r="E95" s="188"/>
      <c r="F95" s="188"/>
      <c r="H95" s="174"/>
      <c r="I95" s="174"/>
    </row>
    <row r="96" spans="1:51" x14ac:dyDescent="0.25">
      <c r="B96" s="188"/>
      <c r="C96" s="188"/>
      <c r="D96" s="188"/>
      <c r="E96" s="188"/>
      <c r="F96" s="188"/>
      <c r="H96" s="174"/>
      <c r="I96" s="174"/>
    </row>
    <row r="97" spans="2:9" x14ac:dyDescent="0.25">
      <c r="B97" s="188"/>
      <c r="C97" s="188"/>
      <c r="D97" s="188"/>
      <c r="E97" s="188"/>
      <c r="F97" s="188"/>
      <c r="H97" s="174"/>
      <c r="I97" s="174"/>
    </row>
    <row r="98" spans="2:9" x14ac:dyDescent="0.25">
      <c r="B98" s="188"/>
      <c r="C98" s="188"/>
      <c r="D98" s="188"/>
      <c r="E98" s="188"/>
      <c r="F98" s="188"/>
      <c r="H98" s="174"/>
      <c r="I98" s="174"/>
    </row>
    <row r="99" spans="2:9" x14ac:dyDescent="0.25">
      <c r="B99" s="188"/>
      <c r="C99" s="188"/>
      <c r="D99" s="188"/>
      <c r="E99" s="188"/>
      <c r="F99" s="188"/>
      <c r="H99" s="174"/>
      <c r="I99" s="174"/>
    </row>
    <row r="100" spans="2:9" x14ac:dyDescent="0.25">
      <c r="B100" s="188"/>
      <c r="C100" s="188"/>
      <c r="D100" s="188"/>
      <c r="E100" s="188"/>
      <c r="F100" s="188"/>
      <c r="H100" s="174"/>
      <c r="I100" s="174"/>
    </row>
    <row r="101" spans="2:9" x14ac:dyDescent="0.25">
      <c r="B101" s="188"/>
      <c r="C101" s="188"/>
      <c r="D101" s="188"/>
      <c r="E101" s="188"/>
      <c r="F101" s="188"/>
      <c r="H101" s="174"/>
      <c r="I101" s="174"/>
    </row>
    <row r="102" spans="2:9" x14ac:dyDescent="0.25">
      <c r="B102" s="188"/>
      <c r="C102" s="188"/>
      <c r="D102" s="188"/>
      <c r="E102" s="188"/>
      <c r="F102" s="188"/>
      <c r="H102" s="174"/>
      <c r="I102" s="174"/>
    </row>
    <row r="103" spans="2:9" x14ac:dyDescent="0.25">
      <c r="B103" s="188"/>
      <c r="C103" s="188"/>
      <c r="D103" s="188"/>
      <c r="E103" s="188"/>
      <c r="F103" s="188"/>
      <c r="H103" s="174"/>
      <c r="I103" s="174"/>
    </row>
    <row r="104" spans="2:9" x14ac:dyDescent="0.25">
      <c r="B104" s="188"/>
      <c r="C104" s="188"/>
      <c r="D104" s="188"/>
      <c r="E104" s="188"/>
      <c r="F104" s="188"/>
      <c r="H104" s="174"/>
      <c r="I104" s="174"/>
    </row>
    <row r="105" spans="2:9" x14ac:dyDescent="0.25">
      <c r="B105" s="188"/>
      <c r="C105" s="188"/>
      <c r="D105" s="188"/>
      <c r="E105" s="188"/>
      <c r="F105" s="188"/>
      <c r="H105" s="174"/>
      <c r="I105" s="174"/>
    </row>
  </sheetData>
  <mergeCells count="15">
    <mergeCell ref="AG4:AL4"/>
    <mergeCell ref="E4:J4"/>
    <mergeCell ref="K4:O4"/>
    <mergeCell ref="P4:U4"/>
    <mergeCell ref="V4:AA4"/>
    <mergeCell ref="AB4:AF4"/>
    <mergeCell ref="BS4:BW4"/>
    <mergeCell ref="BX4:CB4"/>
    <mergeCell ref="CC4:CG4"/>
    <mergeCell ref="AM4:AQ4"/>
    <mergeCell ref="AR4:AW4"/>
    <mergeCell ref="AX4:BB4"/>
    <mergeCell ref="BD4:BH4"/>
    <mergeCell ref="BI4:BM4"/>
    <mergeCell ref="BN4:BR4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FDD6-CAA1-4275-9998-68FCE24AF8FC}">
  <dimension ref="A1:AA32"/>
  <sheetViews>
    <sheetView zoomScaleNormal="100" workbookViewId="0"/>
  </sheetViews>
  <sheetFormatPr defaultColWidth="8.7109375" defaultRowHeight="15" x14ac:dyDescent="0.25"/>
  <cols>
    <col min="1" max="1" width="8.7109375" style="5"/>
    <col min="2" max="2" width="15.85546875" style="5" customWidth="1"/>
    <col min="3" max="14" width="8.7109375" style="5"/>
    <col min="15" max="15" width="12" style="5" bestFit="1" customWidth="1"/>
    <col min="16" max="16384" width="8.7109375" style="5"/>
  </cols>
  <sheetData>
    <row r="1" spans="1:27" x14ac:dyDescent="0.25">
      <c r="A1" s="8" t="s">
        <v>190</v>
      </c>
      <c r="D1" s="5">
        <v>20161119</v>
      </c>
    </row>
    <row r="2" spans="1:27" x14ac:dyDescent="0.25">
      <c r="A2" s="9" t="s">
        <v>191</v>
      </c>
    </row>
    <row r="3" spans="1:27" x14ac:dyDescent="0.25">
      <c r="A3" s="9" t="s">
        <v>11</v>
      </c>
    </row>
    <row r="4" spans="1:27" x14ac:dyDescent="0.25">
      <c r="A4" s="10"/>
      <c r="D4" s="382" t="s">
        <v>12</v>
      </c>
      <c r="E4" s="383"/>
      <c r="F4" s="383"/>
      <c r="G4" s="383"/>
      <c r="H4" s="383"/>
      <c r="I4" s="384"/>
      <c r="J4" s="382" t="s">
        <v>5</v>
      </c>
      <c r="K4" s="383"/>
      <c r="L4" s="383"/>
      <c r="M4" s="383"/>
      <c r="N4" s="383"/>
      <c r="O4" s="384"/>
      <c r="P4" s="382" t="s">
        <v>13</v>
      </c>
      <c r="Q4" s="383"/>
      <c r="R4" s="383"/>
      <c r="S4" s="383"/>
      <c r="T4" s="383"/>
      <c r="U4" s="384"/>
      <c r="V4" s="383" t="s">
        <v>14</v>
      </c>
      <c r="W4" s="383"/>
      <c r="X4" s="383"/>
      <c r="Y4" s="383"/>
      <c r="Z4" s="383"/>
      <c r="AA4" s="384"/>
    </row>
    <row r="5" spans="1:27" x14ac:dyDescent="0.25">
      <c r="B5" s="73" t="s">
        <v>15</v>
      </c>
      <c r="C5" s="13" t="s">
        <v>16</v>
      </c>
      <c r="D5" s="12">
        <v>1</v>
      </c>
      <c r="E5" s="13">
        <v>2</v>
      </c>
      <c r="F5" s="13">
        <v>3</v>
      </c>
      <c r="G5" s="13" t="s">
        <v>4</v>
      </c>
      <c r="H5" s="14" t="s">
        <v>17</v>
      </c>
      <c r="I5" s="15" t="s">
        <v>18</v>
      </c>
      <c r="J5" s="12">
        <v>1</v>
      </c>
      <c r="K5" s="13">
        <v>2</v>
      </c>
      <c r="L5" s="13">
        <v>3</v>
      </c>
      <c r="M5" s="13" t="s">
        <v>4</v>
      </c>
      <c r="N5" s="14" t="s">
        <v>17</v>
      </c>
      <c r="O5" s="15" t="s">
        <v>18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5" t="s">
        <v>18</v>
      </c>
      <c r="V5" s="13">
        <v>1</v>
      </c>
      <c r="W5" s="13">
        <v>2</v>
      </c>
      <c r="X5" s="13">
        <v>3</v>
      </c>
      <c r="Y5" s="13" t="s">
        <v>4</v>
      </c>
      <c r="Z5" s="14" t="s">
        <v>17</v>
      </c>
      <c r="AA5" s="15" t="s">
        <v>18</v>
      </c>
    </row>
    <row r="6" spans="1:27" x14ac:dyDescent="0.25">
      <c r="A6" s="5" t="s">
        <v>19</v>
      </c>
      <c r="B6" s="17">
        <v>42693.246527777781</v>
      </c>
      <c r="C6" s="18">
        <f t="shared" ref="C6:C13" si="0">(B6-$B$6)*24</f>
        <v>0</v>
      </c>
      <c r="D6" s="19">
        <v>2.3E-2</v>
      </c>
      <c r="E6" s="20">
        <v>2.1999999999999999E-2</v>
      </c>
      <c r="F6" s="20">
        <v>2.3E-2</v>
      </c>
      <c r="G6" s="20">
        <v>0</v>
      </c>
      <c r="H6" s="21">
        <f>AVERAGE(D6:F6)</f>
        <v>2.2666666666666668E-2</v>
      </c>
      <c r="I6" s="22">
        <f>STDEV(D6:F6)</f>
        <v>5.7735026918962634E-4</v>
      </c>
      <c r="J6" s="23">
        <v>6.02</v>
      </c>
      <c r="K6" s="24">
        <v>6.03</v>
      </c>
      <c r="L6" s="24">
        <v>6.02</v>
      </c>
      <c r="M6" s="24">
        <v>6.07</v>
      </c>
      <c r="N6" s="25">
        <f>AVERAGE(J6:L6)</f>
        <v>6.0233333333333334</v>
      </c>
      <c r="O6" s="26">
        <f>STDEV(J6:L6)</f>
        <v>5.7735026918966474E-3</v>
      </c>
      <c r="P6" s="23">
        <v>29.540964951433761</v>
      </c>
      <c r="Q6" s="24">
        <v>30.699304008409868</v>
      </c>
      <c r="R6" s="24">
        <v>30.844464321317105</v>
      </c>
      <c r="S6" s="24">
        <v>30.831238125642695</v>
      </c>
      <c r="T6" s="25">
        <f>AVERAGE(P6:R6)</f>
        <v>30.361577760386911</v>
      </c>
      <c r="U6" s="26">
        <f>STDEV(P6:R6)</f>
        <v>0.71436819342291302</v>
      </c>
      <c r="V6" s="24" t="s">
        <v>21</v>
      </c>
      <c r="W6" s="24" t="s">
        <v>21</v>
      </c>
      <c r="X6" s="24" t="s">
        <v>21</v>
      </c>
      <c r="Y6" s="24" t="s">
        <v>21</v>
      </c>
      <c r="Z6" s="25"/>
      <c r="AA6" s="26"/>
    </row>
    <row r="7" spans="1:27" x14ac:dyDescent="0.25">
      <c r="A7" s="5" t="s">
        <v>20</v>
      </c>
      <c r="B7" s="17">
        <v>42693.288888888892</v>
      </c>
      <c r="C7" s="28">
        <f t="shared" si="0"/>
        <v>1.0166666666627862</v>
      </c>
      <c r="D7" s="29">
        <v>3.5999999999999997E-2</v>
      </c>
      <c r="E7" s="30">
        <v>3.3000000000000002E-2</v>
      </c>
      <c r="F7" s="30">
        <v>3.4000000000000002E-2</v>
      </c>
      <c r="G7" s="30">
        <v>0</v>
      </c>
      <c r="H7" s="31">
        <f t="shared" ref="H7:H13" si="1">AVERAGE(D7:F7)</f>
        <v>3.4333333333333334E-2</v>
      </c>
      <c r="I7" s="32">
        <f t="shared" ref="I7:I13" si="2">STDEV(D7:F7)</f>
        <v>1.5275252316519442E-3</v>
      </c>
      <c r="J7" s="33">
        <v>5.88</v>
      </c>
      <c r="K7" s="34">
        <v>5.89</v>
      </c>
      <c r="L7" s="34">
        <v>5.88</v>
      </c>
      <c r="M7" s="34">
        <v>6.06</v>
      </c>
      <c r="N7" s="35">
        <f t="shared" ref="N7:N13" si="3">AVERAGE(J7:L7)</f>
        <v>5.8833333333333329</v>
      </c>
      <c r="O7" s="36">
        <f t="shared" ref="O7:O13" si="4">STDEV(J7:L7)</f>
        <v>5.7735026918961348E-3</v>
      </c>
      <c r="P7" s="33">
        <v>29.062755264034354</v>
      </c>
      <c r="Q7" s="37">
        <v>29.06339490005746</v>
      </c>
      <c r="R7" s="34">
        <v>29.106054069406245</v>
      </c>
      <c r="S7" s="34">
        <v>29.19978025665651</v>
      </c>
      <c r="T7" s="35">
        <f t="shared" ref="T7:T15" si="5">AVERAGE(P7:R7)</f>
        <v>29.077401411166019</v>
      </c>
      <c r="U7" s="36">
        <f t="shared" ref="U7:U15" si="6">STDEV(P7:R7)</f>
        <v>2.4815990847311658E-2</v>
      </c>
      <c r="V7" s="34">
        <v>9.9095214224815181E-2</v>
      </c>
      <c r="W7" s="34">
        <v>8.3143438623090579E-2</v>
      </c>
      <c r="X7" s="34">
        <v>0.13277965009019554</v>
      </c>
      <c r="Y7" s="34" t="s">
        <v>21</v>
      </c>
      <c r="Z7" s="35">
        <f t="shared" ref="Z7:Z10" si="7">AVERAGE(V7:X7)</f>
        <v>0.10500610097936709</v>
      </c>
      <c r="AA7" s="36">
        <f t="shared" ref="AA7:AA10" si="8">STDEV(V7:X7)</f>
        <v>2.5340527004595742E-2</v>
      </c>
    </row>
    <row r="8" spans="1:27" x14ac:dyDescent="0.25">
      <c r="A8" s="5" t="s">
        <v>22</v>
      </c>
      <c r="B8" s="17">
        <v>42693.334027777775</v>
      </c>
      <c r="C8" s="28">
        <f t="shared" si="0"/>
        <v>2.0999999998603016</v>
      </c>
      <c r="D8" s="29">
        <v>5.2999999999999999E-2</v>
      </c>
      <c r="E8" s="30">
        <v>0.05</v>
      </c>
      <c r="F8" s="30">
        <v>5.1999999999999998E-2</v>
      </c>
      <c r="G8" s="30">
        <v>1E-3</v>
      </c>
      <c r="H8" s="31">
        <f t="shared" si="1"/>
        <v>5.1666666666666666E-2</v>
      </c>
      <c r="I8" s="32">
        <f t="shared" si="2"/>
        <v>1.5275252316519442E-3</v>
      </c>
      <c r="J8" s="33">
        <v>5.53</v>
      </c>
      <c r="K8" s="34">
        <v>5.55</v>
      </c>
      <c r="L8" s="34">
        <v>5.51</v>
      </c>
      <c r="M8" s="34">
        <v>6.04</v>
      </c>
      <c r="N8" s="35">
        <f t="shared" si="3"/>
        <v>5.53</v>
      </c>
      <c r="O8" s="36">
        <f t="shared" si="4"/>
        <v>2.0000000000000018E-2</v>
      </c>
      <c r="P8" s="33"/>
      <c r="Q8" s="34"/>
      <c r="R8" s="34"/>
      <c r="S8" s="34"/>
      <c r="T8" s="35"/>
      <c r="U8" s="36"/>
      <c r="V8" s="34"/>
      <c r="W8" s="34"/>
      <c r="X8" s="34"/>
      <c r="Y8" s="34"/>
      <c r="Z8" s="35"/>
      <c r="AA8" s="36"/>
    </row>
    <row r="9" spans="1:27" x14ac:dyDescent="0.25">
      <c r="A9" s="5" t="s">
        <v>23</v>
      </c>
      <c r="B9" s="17">
        <v>42693.384027777778</v>
      </c>
      <c r="C9" s="28">
        <f t="shared" si="0"/>
        <v>3.2999999999301508</v>
      </c>
      <c r="D9" s="29">
        <v>8.5000000000000006E-2</v>
      </c>
      <c r="E9" s="30">
        <v>8.2000000000000003E-2</v>
      </c>
      <c r="F9" s="30">
        <v>8.5000000000000006E-2</v>
      </c>
      <c r="G9" s="30">
        <v>0</v>
      </c>
      <c r="H9" s="31">
        <f t="shared" si="1"/>
        <v>8.4000000000000005E-2</v>
      </c>
      <c r="I9" s="32">
        <f t="shared" si="2"/>
        <v>1.7320508075688791E-3</v>
      </c>
      <c r="J9" s="33">
        <v>4.75</v>
      </c>
      <c r="K9" s="34">
        <v>4.76</v>
      </c>
      <c r="L9" s="34">
        <v>4.7</v>
      </c>
      <c r="M9" s="34">
        <v>6.04</v>
      </c>
      <c r="N9" s="35">
        <f t="shared" si="3"/>
        <v>4.7366666666666672</v>
      </c>
      <c r="O9" s="36">
        <f t="shared" si="4"/>
        <v>3.2145502536643007E-2</v>
      </c>
      <c r="P9" s="33"/>
      <c r="Q9" s="34"/>
      <c r="R9" s="34"/>
      <c r="S9" s="34"/>
      <c r="T9" s="35"/>
      <c r="U9" s="36"/>
      <c r="V9" s="34"/>
      <c r="W9" s="34"/>
      <c r="X9" s="34"/>
      <c r="Y9" s="34"/>
      <c r="Z9" s="35"/>
      <c r="AA9" s="36"/>
    </row>
    <row r="10" spans="1:27" x14ac:dyDescent="0.25">
      <c r="A10" s="5" t="s">
        <v>24</v>
      </c>
      <c r="B10" s="17">
        <v>42693.434027777781</v>
      </c>
      <c r="C10" s="28">
        <f t="shared" si="0"/>
        <v>4.5</v>
      </c>
      <c r="D10" s="29">
        <v>0.106</v>
      </c>
      <c r="E10" s="30">
        <v>0.104</v>
      </c>
      <c r="F10" s="30">
        <v>0.107</v>
      </c>
      <c r="G10" s="30">
        <v>0</v>
      </c>
      <c r="H10" s="31">
        <f t="shared" si="1"/>
        <v>0.10566666666666667</v>
      </c>
      <c r="I10" s="32">
        <f t="shared" si="2"/>
        <v>1.5275252316519479E-3</v>
      </c>
      <c r="J10" s="33">
        <v>4.29</v>
      </c>
      <c r="K10" s="34">
        <v>4.29</v>
      </c>
      <c r="L10" s="34">
        <v>4.2699999999999996</v>
      </c>
      <c r="M10" s="34">
        <v>6.04</v>
      </c>
      <c r="N10" s="35">
        <f t="shared" si="3"/>
        <v>4.2833333333333332</v>
      </c>
      <c r="O10" s="36">
        <f t="shared" si="4"/>
        <v>1.1547005383792781E-2</v>
      </c>
      <c r="P10" s="33">
        <v>28.323088431279764</v>
      </c>
      <c r="Q10" s="34">
        <v>28.220716526720828</v>
      </c>
      <c r="R10" s="34">
        <v>28.32604538556367</v>
      </c>
      <c r="S10" s="34">
        <v>29.827939422199524</v>
      </c>
      <c r="T10" s="35">
        <f t="shared" si="5"/>
        <v>28.289950114521421</v>
      </c>
      <c r="U10" s="36">
        <f t="shared" si="6"/>
        <v>5.9976271595240618E-2</v>
      </c>
      <c r="V10" s="34">
        <v>0.98888609868999511</v>
      </c>
      <c r="W10" s="34">
        <v>0.96839305912548057</v>
      </c>
      <c r="X10" s="34">
        <v>0.99850800071237122</v>
      </c>
      <c r="Y10" s="34" t="s">
        <v>21</v>
      </c>
      <c r="Z10" s="35">
        <f t="shared" si="7"/>
        <v>0.98526238617594897</v>
      </c>
      <c r="AA10" s="36">
        <f t="shared" si="8"/>
        <v>1.5381023892569701E-2</v>
      </c>
    </row>
    <row r="11" spans="1:27" x14ac:dyDescent="0.25">
      <c r="A11" s="5" t="s">
        <v>40</v>
      </c>
      <c r="B11" s="17">
        <v>42693.488888888889</v>
      </c>
      <c r="C11" s="18">
        <f t="shared" si="0"/>
        <v>5.816666666592937</v>
      </c>
      <c r="D11" s="19">
        <v>0.114</v>
      </c>
      <c r="E11" s="20">
        <v>0.113</v>
      </c>
      <c r="F11" s="20">
        <v>0.11600000000000001</v>
      </c>
      <c r="G11" s="20">
        <v>0</v>
      </c>
      <c r="H11" s="21">
        <f t="shared" si="1"/>
        <v>0.11433333333333334</v>
      </c>
      <c r="I11" s="22">
        <f t="shared" si="2"/>
        <v>1.5275252316519479E-3</v>
      </c>
      <c r="J11" s="23">
        <v>4.12</v>
      </c>
      <c r="K11" s="24">
        <v>4.1399999999999997</v>
      </c>
      <c r="L11" s="24">
        <v>4.08</v>
      </c>
      <c r="M11" s="24">
        <v>6.03</v>
      </c>
      <c r="N11" s="25">
        <f t="shared" si="3"/>
        <v>4.1133333333333333</v>
      </c>
      <c r="O11" s="26">
        <f t="shared" si="4"/>
        <v>3.0550504633038766E-2</v>
      </c>
      <c r="P11" s="23">
        <v>29.328728141369211</v>
      </c>
      <c r="Q11" s="24">
        <v>29.391116253083659</v>
      </c>
      <c r="R11" s="24">
        <v>29.545363972861608</v>
      </c>
      <c r="S11" s="24">
        <v>31.320102045899837</v>
      </c>
      <c r="T11" s="25">
        <f t="shared" si="5"/>
        <v>29.421736122438158</v>
      </c>
      <c r="U11" s="26">
        <f t="shared" si="6"/>
        <v>0.11151660491184955</v>
      </c>
      <c r="V11" s="24">
        <v>1.3509770671136854</v>
      </c>
      <c r="W11" s="24">
        <v>1.323324789581426</v>
      </c>
      <c r="X11" s="24">
        <v>1.3813322467797211</v>
      </c>
      <c r="Y11" s="24" t="s">
        <v>21</v>
      </c>
      <c r="Z11" s="25">
        <f>AVERAGE(V11:X11)</f>
        <v>1.3518780344916106</v>
      </c>
      <c r="AA11" s="26">
        <f>STDEV(V11:X11)</f>
        <v>2.9014222018090976E-2</v>
      </c>
    </row>
    <row r="12" spans="1:27" x14ac:dyDescent="0.25">
      <c r="A12" s="5" t="s">
        <v>46</v>
      </c>
      <c r="B12" s="17">
        <v>42693.556250000001</v>
      </c>
      <c r="C12" s="122">
        <f t="shared" si="0"/>
        <v>7.4333333332906477</v>
      </c>
      <c r="D12" s="19">
        <v>0.11799999999999999</v>
      </c>
      <c r="E12" s="20">
        <v>0.11700000000000001</v>
      </c>
      <c r="F12" s="20">
        <v>0.11799999999999999</v>
      </c>
      <c r="G12" s="20">
        <v>0</v>
      </c>
      <c r="H12" s="21">
        <f t="shared" si="1"/>
        <v>0.11766666666666666</v>
      </c>
      <c r="I12" s="22">
        <f t="shared" si="2"/>
        <v>5.7735026918961832E-4</v>
      </c>
      <c r="J12" s="23">
        <v>4.1399999999999997</v>
      </c>
      <c r="K12" s="24">
        <v>4.12</v>
      </c>
      <c r="L12" s="24">
        <v>4.0999999999999996</v>
      </c>
      <c r="M12" s="24">
        <v>6.04</v>
      </c>
      <c r="N12" s="25">
        <f t="shared" si="3"/>
        <v>4.12</v>
      </c>
      <c r="O12" s="26">
        <f t="shared" si="4"/>
        <v>2.0000000000000018E-2</v>
      </c>
      <c r="P12" s="93">
        <v>29.4092401141924</v>
      </c>
      <c r="Q12" s="94">
        <v>29.308518450925234</v>
      </c>
      <c r="R12" s="94">
        <v>29.182838999771185</v>
      </c>
      <c r="S12" s="94">
        <v>31.284796881923498</v>
      </c>
      <c r="T12" s="70">
        <f t="shared" si="5"/>
        <v>29.300199188296272</v>
      </c>
      <c r="U12" s="95">
        <f t="shared" si="6"/>
        <v>0.11342959821320545</v>
      </c>
      <c r="V12" s="94">
        <v>1.6818619966984012</v>
      </c>
      <c r="W12" s="94">
        <v>1.6697566124232761</v>
      </c>
      <c r="X12" s="94">
        <v>1.7083815916449949</v>
      </c>
      <c r="Y12" s="24" t="s">
        <v>21</v>
      </c>
      <c r="Z12" s="25">
        <f t="shared" ref="Z12:Z14" si="9">AVERAGE(V12:X12)</f>
        <v>1.6866667335888907</v>
      </c>
      <c r="AA12" s="26">
        <f t="shared" ref="AA12:AA14" si="10">STDEV(V12:X12)</f>
        <v>1.9755666969497029E-2</v>
      </c>
    </row>
    <row r="13" spans="1:27" x14ac:dyDescent="0.25">
      <c r="A13" s="5" t="s">
        <v>65</v>
      </c>
      <c r="B13" s="17">
        <v>42693.815972222219</v>
      </c>
      <c r="C13" s="39">
        <f t="shared" si="0"/>
        <v>13.666666666511446</v>
      </c>
      <c r="D13" s="19">
        <v>0.113</v>
      </c>
      <c r="E13" s="20">
        <v>0.111</v>
      </c>
      <c r="F13" s="20">
        <v>0.112</v>
      </c>
      <c r="G13" s="41">
        <v>0</v>
      </c>
      <c r="H13" s="42">
        <f t="shared" si="1"/>
        <v>0.112</v>
      </c>
      <c r="I13" s="43">
        <f t="shared" si="2"/>
        <v>1.0000000000000009E-3</v>
      </c>
      <c r="J13" s="44">
        <v>4.05</v>
      </c>
      <c r="K13" s="45">
        <v>4.0599999999999996</v>
      </c>
      <c r="L13" s="45">
        <v>4.0599999999999996</v>
      </c>
      <c r="M13" s="45">
        <v>6.04</v>
      </c>
      <c r="N13" s="46">
        <f t="shared" si="3"/>
        <v>4.0566666666666658</v>
      </c>
      <c r="O13" s="47">
        <f t="shared" si="4"/>
        <v>5.7735026918961348E-3</v>
      </c>
      <c r="P13" s="44"/>
      <c r="Q13" s="24"/>
      <c r="R13" s="45"/>
      <c r="S13" s="45"/>
      <c r="T13" s="46"/>
      <c r="U13" s="47"/>
      <c r="V13" s="45"/>
      <c r="W13" s="24"/>
      <c r="X13" s="45"/>
      <c r="Y13" s="45"/>
      <c r="Z13" s="46"/>
      <c r="AA13" s="47"/>
    </row>
    <row r="14" spans="1:27" ht="18.75" x14ac:dyDescent="0.35">
      <c r="C14" s="259" t="s">
        <v>25</v>
      </c>
      <c r="D14" s="201">
        <f>LN(LOGEST(D7:D10,$C$7:$C$10))</f>
        <v>0.31802195224682567</v>
      </c>
      <c r="E14" s="119">
        <f t="shared" ref="E14:F14" si="11">LN(LOGEST(E7:E10,$C$7:$C$10))</f>
        <v>0.33737709779495362</v>
      </c>
      <c r="F14" s="119">
        <f t="shared" si="11"/>
        <v>0.33665112119526397</v>
      </c>
      <c r="G14" s="24"/>
      <c r="H14" s="25">
        <f>AVERAGE(D14:F14)</f>
        <v>0.33068339041234773</v>
      </c>
      <c r="I14" s="26">
        <f>STDEV(D14:F14)</f>
        <v>1.0971133616009271E-2</v>
      </c>
      <c r="J14" s="84"/>
      <c r="K14" s="49"/>
      <c r="L14" s="49"/>
      <c r="M14" s="50"/>
      <c r="N14" s="85"/>
      <c r="O14" s="50" t="s">
        <v>26</v>
      </c>
      <c r="P14" s="23">
        <f>(P7-P10)</f>
        <v>0.73966683275459033</v>
      </c>
      <c r="Q14" s="119">
        <f t="shared" ref="Q14:R14" si="12">(Q7-Q10)</f>
        <v>0.84267837333663209</v>
      </c>
      <c r="R14" s="24">
        <f t="shared" si="12"/>
        <v>0.78000868384257416</v>
      </c>
      <c r="S14" s="24"/>
      <c r="T14" s="25">
        <f t="shared" si="5"/>
        <v>0.7874512966445989</v>
      </c>
      <c r="U14" s="26">
        <f t="shared" si="6"/>
        <v>5.1907501743602105E-2</v>
      </c>
      <c r="V14" s="24">
        <f>V10-V7</f>
        <v>0.88979088446517995</v>
      </c>
      <c r="W14" s="119">
        <f t="shared" ref="W14:X14" si="13">W10-W7</f>
        <v>0.88524962050238998</v>
      </c>
      <c r="X14" s="24">
        <f t="shared" si="13"/>
        <v>0.86572835062217568</v>
      </c>
      <c r="Y14" s="24"/>
      <c r="Z14" s="25">
        <f t="shared" si="9"/>
        <v>0.88025628519658194</v>
      </c>
      <c r="AA14" s="26">
        <f t="shared" si="10"/>
        <v>1.2784812546283338E-2</v>
      </c>
    </row>
    <row r="15" spans="1:27" ht="18" x14ac:dyDescent="0.35">
      <c r="A15" s="52" t="s">
        <v>27</v>
      </c>
      <c r="B15" s="53"/>
      <c r="C15" s="54" t="s">
        <v>28</v>
      </c>
      <c r="D15" s="23">
        <f>D12*0.46</f>
        <v>5.4280000000000002E-2</v>
      </c>
      <c r="E15" s="24">
        <f t="shared" ref="E15:F15" si="14">E12*0.46</f>
        <v>5.3820000000000007E-2</v>
      </c>
      <c r="F15" s="24">
        <f t="shared" si="14"/>
        <v>5.4280000000000002E-2</v>
      </c>
      <c r="G15" s="24"/>
      <c r="H15" s="25">
        <f>AVERAGE(D15:F15)</f>
        <v>5.4126666666666663E-2</v>
      </c>
      <c r="I15" s="26">
        <f>STDEV(D15:F15)</f>
        <v>2.6558112382722503E-4</v>
      </c>
      <c r="J15" s="84"/>
      <c r="K15" s="49"/>
      <c r="L15" s="49"/>
      <c r="M15" s="50"/>
      <c r="N15" s="85"/>
      <c r="O15" s="50" t="s">
        <v>29</v>
      </c>
      <c r="P15" s="23">
        <f>(D10-D7)*0.46</f>
        <v>3.2200000000000006E-2</v>
      </c>
      <c r="Q15" s="24">
        <f t="shared" ref="Q15:R15" si="15">(E10-E7)*0.46</f>
        <v>3.2660000000000002E-2</v>
      </c>
      <c r="R15" s="24">
        <f t="shared" si="15"/>
        <v>3.3579999999999999E-2</v>
      </c>
      <c r="S15" s="24"/>
      <c r="T15" s="25">
        <f t="shared" si="5"/>
        <v>3.2813333333333333E-2</v>
      </c>
      <c r="U15" s="26">
        <f t="shared" si="6"/>
        <v>7.0266160655989176E-4</v>
      </c>
      <c r="V15" s="24"/>
      <c r="W15" s="24"/>
      <c r="X15" s="24"/>
      <c r="Y15" s="24"/>
      <c r="Z15" s="25"/>
      <c r="AA15" s="26"/>
    </row>
    <row r="16" spans="1:27" ht="18" x14ac:dyDescent="0.35">
      <c r="D16" s="84"/>
      <c r="E16" s="49"/>
      <c r="F16" s="49"/>
      <c r="G16" s="49"/>
      <c r="H16" s="24"/>
      <c r="I16" s="59"/>
      <c r="J16" s="84"/>
      <c r="K16" s="49"/>
      <c r="L16" s="49"/>
      <c r="M16" s="50"/>
      <c r="N16" s="85"/>
      <c r="O16" s="50" t="s">
        <v>30</v>
      </c>
      <c r="P16" s="23">
        <f>P15/(P14/1000*180.16)</f>
        <v>0.24163584176997854</v>
      </c>
      <c r="Q16" s="24">
        <f t="shared" ref="Q16:R16" si="16">Q15/(Q14/1000*180.16)</f>
        <v>0.2151275142047569</v>
      </c>
      <c r="R16" s="24">
        <f t="shared" si="16"/>
        <v>0.23895871870023036</v>
      </c>
      <c r="S16" s="24"/>
      <c r="T16" s="25">
        <f>AVERAGE(P16:R16)</f>
        <v>0.23190735822498862</v>
      </c>
      <c r="U16" s="26">
        <f>STDEV(P16:R16)</f>
        <v>1.4593290272934467E-2</v>
      </c>
      <c r="V16" s="24">
        <f>(V14/1000*59.04)/(P14/1000*180.16)</f>
        <v>0.39422102507538903</v>
      </c>
      <c r="W16" s="24">
        <f>(W14/1000*59.04)/(Q14/1000*180.16)</f>
        <v>0.34426421096956533</v>
      </c>
      <c r="X16" s="24">
        <f>(X14/1000*59.04)/(R14/1000*180.16)</f>
        <v>0.36372250865150324</v>
      </c>
      <c r="Y16" s="24"/>
      <c r="Z16" s="25">
        <f>AVERAGE(V16:X16)</f>
        <v>0.36740258156548583</v>
      </c>
      <c r="AA16" s="26">
        <f>STDEV(V16:X16)</f>
        <v>2.5180905888989136E-2</v>
      </c>
    </row>
    <row r="17" spans="3:27" ht="18" x14ac:dyDescent="0.35">
      <c r="D17" s="84"/>
      <c r="E17" s="49"/>
      <c r="F17" s="49"/>
      <c r="G17" s="49"/>
      <c r="H17" s="49"/>
      <c r="I17" s="59"/>
      <c r="M17" s="98"/>
      <c r="O17" s="98" t="s">
        <v>31</v>
      </c>
      <c r="P17" s="23"/>
      <c r="Q17" s="24"/>
      <c r="R17" s="24"/>
      <c r="S17" s="24"/>
      <c r="T17" s="25"/>
      <c r="U17" s="26"/>
      <c r="V17" s="24">
        <f>(V14/1000*59.04)/P15</f>
        <v>1.6314675099013729</v>
      </c>
      <c r="W17" s="24">
        <f>(W14/1000*59.04)/Q15</f>
        <v>1.6002797793772534</v>
      </c>
      <c r="X17" s="24">
        <f>(X14/1000*59.04)/R15</f>
        <v>1.5221144080027771</v>
      </c>
      <c r="Y17" s="24"/>
      <c r="Z17" s="25">
        <f>AVERAGE(V17:X17)</f>
        <v>1.5846205657604677</v>
      </c>
      <c r="AA17" s="26">
        <f>STDEV(V17:X17)</f>
        <v>5.6333235767469125E-2</v>
      </c>
    </row>
    <row r="18" spans="3:27" ht="18.75" x14ac:dyDescent="0.35">
      <c r="D18" s="84"/>
      <c r="E18" s="49"/>
      <c r="F18" s="49"/>
      <c r="G18" s="49"/>
      <c r="H18" s="49"/>
      <c r="I18" s="59"/>
      <c r="M18" s="98"/>
      <c r="O18" s="54" t="s">
        <v>32</v>
      </c>
      <c r="P18" s="23">
        <f>D14*(P14)</f>
        <v>0.23523029016484112</v>
      </c>
      <c r="Q18" s="24">
        <f t="shared" ref="Q18:R18" si="17">E14*(Q14)</f>
        <v>0.28430038397088536</v>
      </c>
      <c r="R18" s="24">
        <f t="shared" si="17"/>
        <v>0.26259079795764478</v>
      </c>
      <c r="S18" s="24"/>
      <c r="T18" s="25">
        <f t="shared" ref="T18" si="18">AVERAGE(P18:R18)</f>
        <v>0.2607071573644571</v>
      </c>
      <c r="U18" s="26">
        <f t="shared" ref="U18" si="19">STDEV(P18:R18)</f>
        <v>2.4589217208905282E-2</v>
      </c>
      <c r="V18" s="24">
        <f>D14*(V14)</f>
        <v>0.28297303416904623</v>
      </c>
      <c r="W18" s="24">
        <f t="shared" ref="W18:X18" si="20">E14*(W14)</f>
        <v>0.2986629477891804</v>
      </c>
      <c r="X18" s="24">
        <f t="shared" si="20"/>
        <v>0.29144841988748205</v>
      </c>
      <c r="Y18" s="24"/>
      <c r="Z18" s="25">
        <f>AVERAGE(V18:X18)</f>
        <v>0.29102813394856958</v>
      </c>
      <c r="AA18" s="26">
        <f>STDEV(V18:X18)</f>
        <v>7.8533959249902571E-3</v>
      </c>
    </row>
    <row r="19" spans="3:27" ht="18.75" x14ac:dyDescent="0.35">
      <c r="C19" s="62"/>
      <c r="D19" s="64"/>
      <c r="E19" s="62"/>
      <c r="F19" s="62"/>
      <c r="G19" s="62"/>
      <c r="H19" s="62"/>
      <c r="I19" s="63"/>
      <c r="J19" s="64"/>
      <c r="K19" s="62"/>
      <c r="L19" s="62"/>
      <c r="M19" s="65"/>
      <c r="N19" s="62"/>
      <c r="O19" s="65" t="s">
        <v>33</v>
      </c>
      <c r="P19" s="44">
        <f>D14*(P14/P15)</f>
        <v>7.3052885144360573</v>
      </c>
      <c r="Q19" s="45">
        <f>E14*(Q14/Q15)</f>
        <v>8.7048494785941628</v>
      </c>
      <c r="R19" s="45">
        <f>F14*(R14/R15)</f>
        <v>7.8198569969518985</v>
      </c>
      <c r="S19" s="45"/>
      <c r="T19" s="46">
        <f>AVERAGE(P19:R19)</f>
        <v>7.9433316633273732</v>
      </c>
      <c r="U19" s="47">
        <f>STDEV(P19:R19)</f>
        <v>0.70790339597023577</v>
      </c>
      <c r="V19" s="45">
        <f>D14*(V14/P15)</f>
        <v>8.7879824276101299</v>
      </c>
      <c r="W19" s="45">
        <f>E14*(W14/Q15)</f>
        <v>9.1446095465150155</v>
      </c>
      <c r="X19" s="45">
        <f>F14*(X14/R15)</f>
        <v>8.6792263218428243</v>
      </c>
      <c r="Y19" s="45"/>
      <c r="Z19" s="46">
        <f>AVERAGE(V19:X19)</f>
        <v>8.8706060986559905</v>
      </c>
      <c r="AA19" s="47">
        <f>STDEV(V19:X19)</f>
        <v>0.24344483916154938</v>
      </c>
    </row>
    <row r="20" spans="3:27" x14ac:dyDescent="0.25">
      <c r="I20" s="54" t="s">
        <v>34</v>
      </c>
      <c r="J20" s="23">
        <f>P15/(J7-J10)</f>
        <v>2.025157232704403E-2</v>
      </c>
      <c r="K20" s="24">
        <f>Q15/(K7-K10)</f>
        <v>2.0412500000000007E-2</v>
      </c>
      <c r="L20" s="24">
        <f>R15/(L7-L10)</f>
        <v>2.0857142857142852E-2</v>
      </c>
      <c r="N20" s="70">
        <f>AVERAGE(J20:L20)</f>
        <v>2.0507071728062296E-2</v>
      </c>
      <c r="O20" s="26">
        <f>STDEV(J20:L20)</f>
        <v>3.1366666310361671E-4</v>
      </c>
    </row>
    <row r="21" spans="3:27" x14ac:dyDescent="0.25">
      <c r="T21" s="55"/>
      <c r="Z21" s="55"/>
    </row>
    <row r="22" spans="3:27" x14ac:dyDescent="0.25">
      <c r="O22" s="9" t="s">
        <v>35</v>
      </c>
      <c r="P22" s="5">
        <f>P14/1000*6</f>
        <v>4.438000996527542E-3</v>
      </c>
      <c r="Q22" s="5">
        <f>Q14/1000*6</f>
        <v>5.0560702400197933E-3</v>
      </c>
      <c r="R22" s="5">
        <f>R14/1000*6</f>
        <v>4.6800521030554449E-3</v>
      </c>
      <c r="T22" s="55"/>
      <c r="V22" s="5">
        <f>V14/1000*2</f>
        <v>1.7795817689303598E-3</v>
      </c>
      <c r="W22" s="5">
        <f>W14/1000*2</f>
        <v>1.77049924100478E-3</v>
      </c>
      <c r="X22" s="5">
        <f>X14/1000*2</f>
        <v>1.7314567012443514E-3</v>
      </c>
      <c r="Z22" s="55"/>
    </row>
    <row r="23" spans="3:27" x14ac:dyDescent="0.25">
      <c r="O23" s="9" t="s">
        <v>36</v>
      </c>
      <c r="P23" s="5">
        <f>P15*0.5/12.01</f>
        <v>1.3405495420482933E-3</v>
      </c>
      <c r="Q23" s="5">
        <f>Q15*0.5/12.01</f>
        <v>1.3597002497918401E-3</v>
      </c>
      <c r="R23" s="5">
        <f>R15*0.5/12.01</f>
        <v>1.3980016652789342E-3</v>
      </c>
      <c r="T23" s="79" t="s">
        <v>17</v>
      </c>
      <c r="U23" s="51" t="s">
        <v>18</v>
      </c>
      <c r="Z23" s="55"/>
    </row>
    <row r="24" spans="3:27" x14ac:dyDescent="0.25">
      <c r="O24" s="9" t="s">
        <v>37</v>
      </c>
      <c r="P24" s="5">
        <f>(P22-V22-P23)/P22</f>
        <v>0.29695119189473801</v>
      </c>
      <c r="Q24" s="5">
        <f t="shared" ref="Q24:R24" si="21">(Q22-W22-Q23)/Q22</f>
        <v>0.38090268880751027</v>
      </c>
      <c r="R24" s="5">
        <f t="shared" si="21"/>
        <v>0.33131975935050595</v>
      </c>
      <c r="T24" s="72">
        <f>AVERAGE(P24:R24)</f>
        <v>0.33639121335091809</v>
      </c>
      <c r="U24" s="80">
        <f>STDEV(P24:R24)</f>
        <v>4.220489536454939E-2</v>
      </c>
      <c r="Z24" s="55"/>
    </row>
    <row r="25" spans="3:27" x14ac:dyDescent="0.25">
      <c r="T25" s="55"/>
      <c r="Z25" s="55"/>
    </row>
    <row r="26" spans="3:27" x14ac:dyDescent="0.25">
      <c r="T26" s="55"/>
      <c r="Z26" s="55"/>
    </row>
    <row r="27" spans="3:27" x14ac:dyDescent="0.25">
      <c r="T27" s="55"/>
      <c r="Z27" s="55"/>
    </row>
    <row r="29" spans="3:27" x14ac:dyDescent="0.25">
      <c r="O29" s="260"/>
      <c r="P29" s="261"/>
      <c r="Q29" s="261"/>
      <c r="R29" s="261"/>
    </row>
    <row r="30" spans="3:27" x14ac:dyDescent="0.25">
      <c r="O30" s="260"/>
      <c r="P30" s="261"/>
      <c r="Q30" s="261"/>
      <c r="R30" s="261"/>
    </row>
    <row r="31" spans="3:27" x14ac:dyDescent="0.25">
      <c r="O31" s="260"/>
      <c r="P31" s="261"/>
      <c r="Q31" s="261"/>
      <c r="R31" s="261"/>
    </row>
    <row r="32" spans="3:27" x14ac:dyDescent="0.25">
      <c r="O32" s="261"/>
      <c r="P32" s="261"/>
      <c r="Q32" s="261"/>
      <c r="R32" s="261"/>
    </row>
  </sheetData>
  <mergeCells count="4">
    <mergeCell ref="D4:I4"/>
    <mergeCell ref="J4:O4"/>
    <mergeCell ref="P4:U4"/>
    <mergeCell ref="V4:AA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F035-8098-401C-9419-FF3866163A4E}">
  <dimension ref="A1:DU113"/>
  <sheetViews>
    <sheetView workbookViewId="0"/>
  </sheetViews>
  <sheetFormatPr defaultColWidth="9.140625" defaultRowHeight="15" x14ac:dyDescent="0.25"/>
  <cols>
    <col min="1" max="1" width="9.140625" style="155"/>
    <col min="2" max="2" width="15.85546875" style="155" bestFit="1" customWidth="1"/>
    <col min="3" max="3" width="10" style="155" bestFit="1" customWidth="1"/>
    <col min="4" max="4" width="9.7109375" style="155" customWidth="1"/>
    <col min="5" max="13" width="9.140625" style="155"/>
    <col min="14" max="14" width="10" style="155" bestFit="1" customWidth="1"/>
    <col min="15" max="37" width="9.140625" style="155"/>
    <col min="38" max="38" width="10" style="155" bestFit="1" customWidth="1"/>
    <col min="39" max="47" width="9.140625" style="155"/>
    <col min="48" max="48" width="10" style="155" bestFit="1" customWidth="1"/>
    <col min="49" max="69" width="9.140625" style="155"/>
    <col min="70" max="70" width="11" style="155" bestFit="1" customWidth="1"/>
    <col min="71" max="16384" width="9.140625" style="155"/>
  </cols>
  <sheetData>
    <row r="1" spans="1:125" x14ac:dyDescent="0.25">
      <c r="A1" s="8" t="s">
        <v>253</v>
      </c>
      <c r="E1" s="155">
        <v>20171005</v>
      </c>
    </row>
    <row r="2" spans="1:125" x14ac:dyDescent="0.25">
      <c r="A2" s="9" t="s">
        <v>116</v>
      </c>
      <c r="CH2" s="5" t="s">
        <v>120</v>
      </c>
    </row>
    <row r="3" spans="1:125" x14ac:dyDescent="0.25">
      <c r="A3" s="9" t="s">
        <v>254</v>
      </c>
      <c r="CH3" s="155" t="s">
        <v>122</v>
      </c>
      <c r="CI3" s="155">
        <f>SLOPE(Y6:Y17,C6:C17)</f>
        <v>5.693773047829153E-2</v>
      </c>
    </row>
    <row r="4" spans="1:125" x14ac:dyDescent="0.25">
      <c r="C4" s="175"/>
      <c r="D4" s="223"/>
      <c r="E4" s="383" t="s">
        <v>12</v>
      </c>
      <c r="F4" s="383"/>
      <c r="G4" s="383"/>
      <c r="H4" s="383"/>
      <c r="I4" s="383"/>
      <c r="J4" s="384"/>
      <c r="K4" s="382" t="s">
        <v>123</v>
      </c>
      <c r="L4" s="383"/>
      <c r="M4" s="383"/>
      <c r="N4" s="383"/>
      <c r="O4" s="384"/>
      <c r="P4" s="382" t="s">
        <v>5</v>
      </c>
      <c r="Q4" s="383"/>
      <c r="R4" s="383"/>
      <c r="S4" s="383"/>
      <c r="T4" s="383"/>
      <c r="U4" s="384"/>
      <c r="V4" s="382" t="s">
        <v>124</v>
      </c>
      <c r="W4" s="383"/>
      <c r="X4" s="383"/>
      <c r="Y4" s="383"/>
      <c r="Z4" s="383"/>
      <c r="AA4" s="384"/>
      <c r="AB4" s="382" t="s">
        <v>125</v>
      </c>
      <c r="AC4" s="383"/>
      <c r="AD4" s="383"/>
      <c r="AE4" s="383"/>
      <c r="AF4" s="384"/>
      <c r="AG4" s="382" t="s">
        <v>126</v>
      </c>
      <c r="AH4" s="383"/>
      <c r="AI4" s="383"/>
      <c r="AJ4" s="383"/>
      <c r="AK4" s="383"/>
      <c r="AL4" s="384"/>
      <c r="AM4" s="383" t="s">
        <v>127</v>
      </c>
      <c r="AN4" s="383"/>
      <c r="AO4" s="383"/>
      <c r="AP4" s="383"/>
      <c r="AQ4" s="384"/>
      <c r="AR4" s="383" t="s">
        <v>128</v>
      </c>
      <c r="AS4" s="383"/>
      <c r="AT4" s="383"/>
      <c r="AU4" s="383"/>
      <c r="AV4" s="383"/>
      <c r="AW4" s="384"/>
      <c r="AX4" s="383" t="s">
        <v>129</v>
      </c>
      <c r="AY4" s="383"/>
      <c r="AZ4" s="383"/>
      <c r="BA4" s="383"/>
      <c r="BB4" s="384"/>
      <c r="BC4" s="311"/>
      <c r="BD4" s="383" t="s">
        <v>83</v>
      </c>
      <c r="BE4" s="383"/>
      <c r="BF4" s="383"/>
      <c r="BG4" s="383"/>
      <c r="BH4" s="384"/>
      <c r="BI4" s="383" t="s">
        <v>130</v>
      </c>
      <c r="BJ4" s="383"/>
      <c r="BK4" s="383"/>
      <c r="BL4" s="383"/>
      <c r="BM4" s="384"/>
      <c r="BN4" s="383" t="s">
        <v>84</v>
      </c>
      <c r="BO4" s="383"/>
      <c r="BP4" s="383"/>
      <c r="BQ4" s="383"/>
      <c r="BR4" s="384"/>
      <c r="BS4" s="383" t="s">
        <v>131</v>
      </c>
      <c r="BT4" s="383"/>
      <c r="BU4" s="383"/>
      <c r="BV4" s="383"/>
      <c r="BW4" s="384"/>
      <c r="BX4" s="383" t="s">
        <v>132</v>
      </c>
      <c r="BY4" s="383"/>
      <c r="BZ4" s="383"/>
      <c r="CA4" s="383"/>
      <c r="CB4" s="384"/>
      <c r="CC4" s="383" t="s">
        <v>133</v>
      </c>
      <c r="CD4" s="383"/>
      <c r="CE4" s="383"/>
      <c r="CF4" s="383"/>
      <c r="CG4" s="384"/>
      <c r="CH4" s="155" t="s">
        <v>134</v>
      </c>
      <c r="CI4" s="155">
        <f>INTERCEPT(Y6:Y17,C6:C17)</f>
        <v>27.106568005827416</v>
      </c>
      <c r="CV4" s="155" t="s">
        <v>127</v>
      </c>
      <c r="DA4" s="155" t="s">
        <v>5</v>
      </c>
      <c r="DG4" s="157" t="s">
        <v>135</v>
      </c>
      <c r="DL4" s="155" t="s">
        <v>129</v>
      </c>
      <c r="DQ4" s="157" t="s">
        <v>136</v>
      </c>
    </row>
    <row r="5" spans="1:125" x14ac:dyDescent="0.25">
      <c r="B5" s="9" t="s">
        <v>15</v>
      </c>
      <c r="C5" s="190" t="s">
        <v>16</v>
      </c>
      <c r="D5" s="224" t="s">
        <v>137</v>
      </c>
      <c r="E5" s="13">
        <v>1</v>
      </c>
      <c r="F5" s="13">
        <v>2</v>
      </c>
      <c r="G5" s="13">
        <v>3</v>
      </c>
      <c r="H5" s="13" t="s">
        <v>4</v>
      </c>
      <c r="I5" s="14" t="s">
        <v>17</v>
      </c>
      <c r="J5" s="15" t="s">
        <v>18</v>
      </c>
      <c r="K5" s="193">
        <v>1</v>
      </c>
      <c r="L5" s="194">
        <v>2</v>
      </c>
      <c r="M5" s="194">
        <v>3</v>
      </c>
      <c r="N5" s="195" t="s">
        <v>17</v>
      </c>
      <c r="O5" s="196" t="s">
        <v>18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5" t="s">
        <v>18</v>
      </c>
      <c r="V5" s="12">
        <v>1</v>
      </c>
      <c r="W5" s="13">
        <v>2</v>
      </c>
      <c r="X5" s="13">
        <v>3</v>
      </c>
      <c r="Y5" s="13" t="s">
        <v>4</v>
      </c>
      <c r="Z5" s="14" t="s">
        <v>17</v>
      </c>
      <c r="AA5" s="15" t="s">
        <v>18</v>
      </c>
      <c r="AB5" s="12">
        <v>1</v>
      </c>
      <c r="AC5" s="13">
        <v>2</v>
      </c>
      <c r="AD5" s="13">
        <v>3</v>
      </c>
      <c r="AE5" s="14" t="s">
        <v>17</v>
      </c>
      <c r="AF5" s="15" t="s">
        <v>18</v>
      </c>
      <c r="AG5" s="12">
        <v>1</v>
      </c>
      <c r="AH5" s="13">
        <v>2</v>
      </c>
      <c r="AI5" s="13">
        <v>3</v>
      </c>
      <c r="AJ5" s="13" t="s">
        <v>4</v>
      </c>
      <c r="AK5" s="14" t="s">
        <v>17</v>
      </c>
      <c r="AL5" s="15" t="s">
        <v>18</v>
      </c>
      <c r="AM5" s="194">
        <v>1</v>
      </c>
      <c r="AN5" s="194">
        <v>2</v>
      </c>
      <c r="AO5" s="194">
        <v>3</v>
      </c>
      <c r="AP5" s="195" t="s">
        <v>17</v>
      </c>
      <c r="AQ5" s="196" t="s">
        <v>18</v>
      </c>
      <c r="AR5" s="13">
        <v>1</v>
      </c>
      <c r="AS5" s="13">
        <v>2</v>
      </c>
      <c r="AT5" s="13">
        <v>3</v>
      </c>
      <c r="AU5" s="13" t="s">
        <v>4</v>
      </c>
      <c r="AV5" s="14" t="s">
        <v>17</v>
      </c>
      <c r="AW5" s="15" t="s">
        <v>18</v>
      </c>
      <c r="AX5" s="194">
        <v>1</v>
      </c>
      <c r="AY5" s="194">
        <v>2</v>
      </c>
      <c r="AZ5" s="194">
        <v>3</v>
      </c>
      <c r="BA5" s="195" t="s">
        <v>17</v>
      </c>
      <c r="BB5" s="196" t="s">
        <v>18</v>
      </c>
      <c r="BC5" s="312"/>
      <c r="BD5" s="194">
        <v>1</v>
      </c>
      <c r="BE5" s="194">
        <v>2</v>
      </c>
      <c r="BF5" s="194">
        <v>3</v>
      </c>
      <c r="BG5" s="195" t="s">
        <v>17</v>
      </c>
      <c r="BH5" s="196" t="s">
        <v>18</v>
      </c>
      <c r="BI5" s="194">
        <v>1</v>
      </c>
      <c r="BJ5" s="194">
        <v>2</v>
      </c>
      <c r="BK5" s="194">
        <v>3</v>
      </c>
      <c r="BL5" s="195" t="s">
        <v>17</v>
      </c>
      <c r="BM5" s="196" t="s">
        <v>18</v>
      </c>
      <c r="BN5" s="194">
        <v>1</v>
      </c>
      <c r="BO5" s="194">
        <v>2</v>
      </c>
      <c r="BP5" s="194">
        <v>3</v>
      </c>
      <c r="BQ5" s="195" t="s">
        <v>17</v>
      </c>
      <c r="BR5" s="196" t="s">
        <v>18</v>
      </c>
      <c r="BS5" s="194">
        <v>1</v>
      </c>
      <c r="BT5" s="194">
        <v>2</v>
      </c>
      <c r="BU5" s="194">
        <v>3</v>
      </c>
      <c r="BV5" s="195" t="s">
        <v>17</v>
      </c>
      <c r="BW5" s="196" t="s">
        <v>18</v>
      </c>
      <c r="BX5" s="13">
        <v>1</v>
      </c>
      <c r="BY5" s="13">
        <v>2</v>
      </c>
      <c r="BZ5" s="13">
        <v>3</v>
      </c>
      <c r="CA5" s="14" t="s">
        <v>17</v>
      </c>
      <c r="CB5" s="15" t="s">
        <v>18</v>
      </c>
      <c r="CC5" s="13">
        <v>1</v>
      </c>
      <c r="CD5" s="13">
        <v>2</v>
      </c>
      <c r="CE5" s="13">
        <v>3</v>
      </c>
      <c r="CF5" s="14" t="s">
        <v>17</v>
      </c>
      <c r="CG5" s="15" t="s">
        <v>18</v>
      </c>
      <c r="CH5" s="155" t="s">
        <v>16</v>
      </c>
      <c r="CI5" s="155" t="s">
        <v>138</v>
      </c>
      <c r="CJ5" s="155" t="s">
        <v>139</v>
      </c>
      <c r="CK5" s="155" t="s">
        <v>140</v>
      </c>
      <c r="CL5" s="155" t="s">
        <v>141</v>
      </c>
      <c r="CV5" s="155">
        <v>1</v>
      </c>
      <c r="CW5" s="155">
        <v>2</v>
      </c>
      <c r="CX5" s="155">
        <v>3</v>
      </c>
      <c r="CY5" s="155" t="s">
        <v>17</v>
      </c>
      <c r="CZ5" s="155" t="s">
        <v>18</v>
      </c>
      <c r="DA5" s="155">
        <v>1</v>
      </c>
      <c r="DB5" s="155">
        <v>2</v>
      </c>
      <c r="DC5" s="155">
        <v>3</v>
      </c>
      <c r="DD5" s="155" t="s">
        <v>4</v>
      </c>
      <c r="DE5" s="155" t="s">
        <v>17</v>
      </c>
      <c r="DF5" s="155" t="s">
        <v>18</v>
      </c>
      <c r="DG5" s="155">
        <v>1</v>
      </c>
      <c r="DH5" s="155">
        <v>2</v>
      </c>
      <c r="DI5" s="155">
        <v>3</v>
      </c>
      <c r="DJ5" s="155" t="s">
        <v>17</v>
      </c>
      <c r="DK5" s="155" t="s">
        <v>18</v>
      </c>
      <c r="DL5" s="155">
        <v>1</v>
      </c>
      <c r="DM5" s="155">
        <v>2</v>
      </c>
      <c r="DN5" s="155">
        <v>3</v>
      </c>
      <c r="DO5" s="155" t="s">
        <v>17</v>
      </c>
      <c r="DP5" s="155" t="s">
        <v>18</v>
      </c>
      <c r="DQ5" s="155">
        <v>1</v>
      </c>
      <c r="DR5" s="155">
        <v>2</v>
      </c>
      <c r="DS5" s="155">
        <v>3</v>
      </c>
      <c r="DT5" s="155" t="s">
        <v>17</v>
      </c>
      <c r="DU5" s="155" t="s">
        <v>18</v>
      </c>
    </row>
    <row r="6" spans="1:125" x14ac:dyDescent="0.25">
      <c r="A6" s="155" t="s">
        <v>19</v>
      </c>
      <c r="B6" s="158">
        <v>43013.542361111111</v>
      </c>
      <c r="C6" s="313">
        <f>(B6-$B$6)*24</f>
        <v>0</v>
      </c>
      <c r="D6" s="173">
        <f>CL6</f>
        <v>1</v>
      </c>
      <c r="E6" s="314">
        <v>6.6000000000000003E-2</v>
      </c>
      <c r="F6" s="315">
        <v>6.6000000000000003E-2</v>
      </c>
      <c r="G6" s="315">
        <v>6.4000000000000001E-2</v>
      </c>
      <c r="H6" s="315">
        <v>2E-3</v>
      </c>
      <c r="I6" s="246">
        <f>AVERAGE(E6:G6)</f>
        <v>6.533333333333334E-2</v>
      </c>
      <c r="J6" s="246">
        <f>STDEV(E6:G6)</f>
        <v>1.1547005383792527E-3</v>
      </c>
      <c r="K6" s="314">
        <f>E6*D6</f>
        <v>6.6000000000000003E-2</v>
      </c>
      <c r="L6" s="315">
        <f>F6*D6</f>
        <v>6.6000000000000003E-2</v>
      </c>
      <c r="M6" s="315">
        <f>G6*D6</f>
        <v>6.4000000000000001E-2</v>
      </c>
      <c r="N6" s="246">
        <f>AVERAGE(K6:M6)</f>
        <v>6.533333333333334E-2</v>
      </c>
      <c r="O6" s="247">
        <f>STDEV(K6:M6)</f>
        <v>1.1547005383792527E-3</v>
      </c>
      <c r="P6" s="316">
        <v>6.91</v>
      </c>
      <c r="Q6" s="316">
        <v>6.89</v>
      </c>
      <c r="R6" s="316">
        <v>6.91</v>
      </c>
      <c r="S6" s="316">
        <v>6.97</v>
      </c>
      <c r="T6" s="250">
        <f>AVERAGE(P6:R6)</f>
        <v>6.9033333333333333</v>
      </c>
      <c r="U6" s="251">
        <f>STDEV(P6:R6)</f>
        <v>1.1547005383792781E-2</v>
      </c>
      <c r="V6" s="317">
        <v>26.605117193335843</v>
      </c>
      <c r="W6" s="316">
        <v>26.72665548390809</v>
      </c>
      <c r="X6" s="316">
        <v>27.721880552675159</v>
      </c>
      <c r="Y6" s="316">
        <v>26.778741320005167</v>
      </c>
      <c r="Z6" s="250">
        <f>AVERAGE(V6:X6)</f>
        <v>27.017884409973032</v>
      </c>
      <c r="AA6" s="250">
        <f>STDEV(V6:X6)</f>
        <v>0.61269961296169673</v>
      </c>
      <c r="AB6" s="317">
        <f>V6*D6</f>
        <v>26.605117193335843</v>
      </c>
      <c r="AC6" s="316">
        <f>W6*D6</f>
        <v>26.72665548390809</v>
      </c>
      <c r="AD6" s="316">
        <f>X6*D6</f>
        <v>27.721880552675159</v>
      </c>
      <c r="AE6" s="250">
        <f>AVERAGE(AB6:AD6)</f>
        <v>27.017884409973032</v>
      </c>
      <c r="AF6" s="251">
        <f>STDEV(AB6:AD6)</f>
        <v>0.61269961296169673</v>
      </c>
      <c r="AG6" s="316">
        <v>0</v>
      </c>
      <c r="AH6" s="316">
        <v>0</v>
      </c>
      <c r="AI6" s="316">
        <v>0</v>
      </c>
      <c r="AJ6" s="316">
        <v>0</v>
      </c>
      <c r="AK6" s="250">
        <f>AVERAGE(AG6:AI6)</f>
        <v>0</v>
      </c>
      <c r="AL6" s="250">
        <f>STDEV(AG6:AI6)</f>
        <v>0</v>
      </c>
      <c r="AM6" s="317">
        <f>AG6*D6</f>
        <v>0</v>
      </c>
      <c r="AN6" s="316">
        <f>AH6*D6</f>
        <v>0</v>
      </c>
      <c r="AO6" s="316">
        <f>AI6*D6</f>
        <v>0</v>
      </c>
      <c r="AP6" s="250">
        <f>AVERAGE(AM6:AO6)</f>
        <v>0</v>
      </c>
      <c r="AQ6" s="251">
        <f>STDEV(AM6:AO6)</f>
        <v>0</v>
      </c>
      <c r="AR6" s="316">
        <v>0</v>
      </c>
      <c r="AS6" s="316">
        <v>0.22392369100133508</v>
      </c>
      <c r="AT6" s="316">
        <v>0.16803728626500569</v>
      </c>
      <c r="AU6" s="316">
        <v>0</v>
      </c>
      <c r="AV6" s="250">
        <f>AVERAGE(AR6:AT6)</f>
        <v>0.13065365908878027</v>
      </c>
      <c r="AW6" s="250">
        <f>STDEV(AR6:AT6)</f>
        <v>0.11654873029575917</v>
      </c>
      <c r="AX6" s="317">
        <f>AR6*D6</f>
        <v>0</v>
      </c>
      <c r="AY6" s="316">
        <f>AS6*D6</f>
        <v>0.22392369100133508</v>
      </c>
      <c r="AZ6" s="316">
        <f>AT6*D6</f>
        <v>0.16803728626500569</v>
      </c>
      <c r="BA6" s="250">
        <f>AVERAGE(AX6:AZ6)</f>
        <v>0.13065365908878027</v>
      </c>
      <c r="BB6" s="251">
        <f>STDEV(AX6:AZ6)</f>
        <v>0.11654873029575917</v>
      </c>
      <c r="BC6" s="155" t="s">
        <v>19</v>
      </c>
      <c r="BD6" s="232">
        <v>24000000</v>
      </c>
      <c r="BE6" s="233">
        <v>38000000</v>
      </c>
      <c r="BF6" s="233">
        <v>17000000</v>
      </c>
      <c r="BG6" s="206">
        <f>AVERAGE(BD6:BF6)</f>
        <v>26333333.333333332</v>
      </c>
      <c r="BH6" s="206">
        <f>STDEV(BD6:BF6)</f>
        <v>10692676.621563628</v>
      </c>
      <c r="BI6" s="232">
        <f>BD6*D6</f>
        <v>24000000</v>
      </c>
      <c r="BJ6" s="233">
        <f>BE6*D6</f>
        <v>38000000</v>
      </c>
      <c r="BK6" s="233">
        <f>BF6*D6</f>
        <v>17000000</v>
      </c>
      <c r="BL6" s="206">
        <f>AVERAGE(BI6:BK6)</f>
        <v>26333333.333333332</v>
      </c>
      <c r="BM6" s="207">
        <f>STDEV(BI6:BK6)</f>
        <v>10692676.621563628</v>
      </c>
      <c r="BN6" s="233">
        <v>80000000</v>
      </c>
      <c r="BO6" s="233">
        <v>54000000</v>
      </c>
      <c r="BP6" s="233">
        <v>74000000</v>
      </c>
      <c r="BQ6" s="206">
        <f>AVERAGE(BN6:BP6)</f>
        <v>69333333.333333328</v>
      </c>
      <c r="BR6" s="206">
        <f>STDEV(BN6:BP6)</f>
        <v>13613718.571108079</v>
      </c>
      <c r="BS6" s="232">
        <f>BN6*D6</f>
        <v>80000000</v>
      </c>
      <c r="BT6" s="233">
        <f>BO6*D6</f>
        <v>54000000</v>
      </c>
      <c r="BU6" s="233">
        <f>BP6*D6</f>
        <v>74000000</v>
      </c>
      <c r="BV6" s="206">
        <f>AVERAGE(BS6:BU6)</f>
        <v>69333333.333333328</v>
      </c>
      <c r="BW6" s="207">
        <f>STDEV(BS6:BU6)</f>
        <v>13613718.571108079</v>
      </c>
      <c r="BX6" s="231">
        <v>0.23076923076923078</v>
      </c>
      <c r="BY6" s="231">
        <v>0.41304347826086957</v>
      </c>
      <c r="BZ6" s="231">
        <v>0.18681318681318682</v>
      </c>
      <c r="CA6" s="202">
        <f>AVERAGE(BX6:BZ6)</f>
        <v>0.27687529861442906</v>
      </c>
      <c r="CB6" s="51">
        <f>STDEV(BX6:BZ6)</f>
        <v>0.11995567227620127</v>
      </c>
      <c r="CC6" s="230">
        <v>0.76923076923076927</v>
      </c>
      <c r="CD6" s="231">
        <v>0.58695652173913049</v>
      </c>
      <c r="CE6" s="231">
        <v>0.81318681318681318</v>
      </c>
      <c r="CF6" s="202">
        <f>AVERAGE(CC6:CE6)</f>
        <v>0.72312470138557094</v>
      </c>
      <c r="CG6" s="51">
        <f>STDEV(CC6:CE6)</f>
        <v>0.11995567227620132</v>
      </c>
      <c r="CH6" s="226">
        <f>C6</f>
        <v>0</v>
      </c>
      <c r="CI6" s="174">
        <f>CH6*$CI$3+$CI$4</f>
        <v>27.106568005827416</v>
      </c>
      <c r="CJ6" s="155">
        <f>CI6/$CI$6</f>
        <v>1</v>
      </c>
      <c r="CK6" s="155">
        <f>100/CJ6</f>
        <v>100</v>
      </c>
      <c r="CL6" s="155">
        <f>CK6/100</f>
        <v>1</v>
      </c>
      <c r="CV6" s="155">
        <v>0</v>
      </c>
      <c r="CW6" s="155">
        <v>0</v>
      </c>
      <c r="CX6" s="155">
        <v>0</v>
      </c>
      <c r="CY6" s="155">
        <v>0</v>
      </c>
      <c r="CZ6" s="155">
        <v>0</v>
      </c>
      <c r="DA6" s="155">
        <v>6.91</v>
      </c>
      <c r="DB6" s="155">
        <v>6.89</v>
      </c>
      <c r="DC6" s="155">
        <v>6.91</v>
      </c>
      <c r="DD6" s="155">
        <v>6.97</v>
      </c>
      <c r="DE6" s="155">
        <v>6.9033333333333333</v>
      </c>
      <c r="DF6" s="155">
        <v>1.1547005383792781E-2</v>
      </c>
      <c r="DG6" s="155">
        <f>CV6/(1+10^(DA6-3.86))</f>
        <v>0</v>
      </c>
      <c r="DH6" s="155">
        <f t="shared" ref="DH6:DI17" si="0">CW6/(1+10^(DB6-3.86))</f>
        <v>0</v>
      </c>
      <c r="DI6" s="155">
        <f t="shared" si="0"/>
        <v>0</v>
      </c>
      <c r="DJ6" s="155">
        <f>AVERAGE(DG6:DI6)</f>
        <v>0</v>
      </c>
      <c r="DK6" s="155">
        <f>STDEV(DG6:DI6)</f>
        <v>0</v>
      </c>
      <c r="DL6" s="155">
        <v>0</v>
      </c>
      <c r="DM6" s="155">
        <v>0.22392369100133508</v>
      </c>
      <c r="DN6" s="155">
        <v>0.16803728626500569</v>
      </c>
      <c r="DO6" s="155">
        <v>0.13065365908878027</v>
      </c>
      <c r="DP6" s="155">
        <v>0.11654873029575917</v>
      </c>
      <c r="DQ6" s="155">
        <f>DL6/(1+10^(DA6-4.76))</f>
        <v>0</v>
      </c>
      <c r="DR6" s="155">
        <f t="shared" ref="DR6:DS17" si="1">DM6/(1+10^(DB6-4.76))</f>
        <v>1.6477542828417376E-3</v>
      </c>
      <c r="DS6" s="155">
        <f t="shared" si="1"/>
        <v>1.1812502727973173E-3</v>
      </c>
      <c r="DT6" s="155">
        <f>AVERAGE(DQ6:DS6)</f>
        <v>9.4300151854635175E-4</v>
      </c>
      <c r="DU6" s="155">
        <f>STDEV(DQ6:DS6)</f>
        <v>8.4932054951733331E-4</v>
      </c>
    </row>
    <row r="7" spans="1:125" x14ac:dyDescent="0.25">
      <c r="A7" s="155" t="s">
        <v>20</v>
      </c>
      <c r="B7" s="158">
        <v>43013.647222222222</v>
      </c>
      <c r="C7" s="313">
        <f t="shared" ref="C7:C17" si="2">(B7-$B$6)*24</f>
        <v>2.5166666666627862</v>
      </c>
      <c r="D7" s="173">
        <f t="shared" ref="D7:D17" si="3">CL7</f>
        <v>0.99474150393563088</v>
      </c>
      <c r="E7" s="169">
        <v>0.11</v>
      </c>
      <c r="F7" s="170">
        <v>0.11</v>
      </c>
      <c r="G7" s="170">
        <v>0.11</v>
      </c>
      <c r="H7" s="170">
        <v>1E-3</v>
      </c>
      <c r="I7" s="31">
        <f t="shared" ref="I7:I17" si="4">AVERAGE(E7:G7)</f>
        <v>0.11</v>
      </c>
      <c r="J7" s="31">
        <f t="shared" ref="J7:J17" si="5">STDEV(E7:G7)</f>
        <v>0</v>
      </c>
      <c r="K7" s="169">
        <f t="shared" ref="K7:K17" si="6">E7*D7</f>
        <v>0.10942156543291939</v>
      </c>
      <c r="L7" s="170">
        <f t="shared" ref="L7:L17" si="7">F7*D7</f>
        <v>0.10942156543291939</v>
      </c>
      <c r="M7" s="170">
        <f t="shared" ref="M7:M17" si="8">G7*D7</f>
        <v>0.10942156543291939</v>
      </c>
      <c r="N7" s="31">
        <f t="shared" ref="N7:N17" si="9">AVERAGE(K7:M7)</f>
        <v>0.10942156543291941</v>
      </c>
      <c r="O7" s="32">
        <f t="shared" ref="O7:O17" si="10">STDEV(K7:M7)</f>
        <v>1.6996749443881478E-17</v>
      </c>
      <c r="P7" s="172">
        <v>6.8</v>
      </c>
      <c r="Q7" s="172">
        <v>6.81</v>
      </c>
      <c r="R7" s="172">
        <v>6.8</v>
      </c>
      <c r="S7" s="172">
        <v>6.95</v>
      </c>
      <c r="T7" s="35">
        <f t="shared" ref="T7:T17" si="11">AVERAGE(P7:R7)</f>
        <v>6.8033333333333337</v>
      </c>
      <c r="U7" s="36">
        <f t="shared" ref="U7:U17" si="12">STDEV(P7:R7)</f>
        <v>5.7735026918961348E-3</v>
      </c>
      <c r="V7" s="171">
        <v>26.528041408839009</v>
      </c>
      <c r="W7" s="172">
        <v>27.350093794296857</v>
      </c>
      <c r="X7" s="172">
        <v>27.197390099868642</v>
      </c>
      <c r="Y7" s="172">
        <v>27.783846128336318</v>
      </c>
      <c r="Z7" s="35">
        <f t="shared" ref="Z7:Z17" si="13">AVERAGE(V7:X7)</f>
        <v>27.025175101001505</v>
      </c>
      <c r="AA7" s="35">
        <f t="shared" ref="AA7:AA17" si="14">STDEV(V7:X7)</f>
        <v>0.43724825383909904</v>
      </c>
      <c r="AB7" s="171">
        <f t="shared" ref="AB7:AB17" si="15">V7*D7</f>
        <v>26.388543807495207</v>
      </c>
      <c r="AC7" s="172">
        <f t="shared" ref="AC7:AC17" si="16">W7*D7</f>
        <v>27.206273433719421</v>
      </c>
      <c r="AD7" s="172">
        <f t="shared" ref="AD7:AD17" si="17">X7*D7</f>
        <v>27.054372731067371</v>
      </c>
      <c r="AE7" s="35">
        <f t="shared" ref="AE7:AE17" si="18">AVERAGE(AB7:AD7)</f>
        <v>26.883063324094</v>
      </c>
      <c r="AF7" s="36">
        <f t="shared" ref="AF7:AF17" si="19">STDEV(AB7:AD7)</f>
        <v>0.43494898561713446</v>
      </c>
      <c r="AG7" s="172">
        <v>0.14341618099404974</v>
      </c>
      <c r="AH7" s="172">
        <v>0.1484401086980574</v>
      </c>
      <c r="AI7" s="172">
        <v>0.19858755640592829</v>
      </c>
      <c r="AJ7" s="172">
        <v>0</v>
      </c>
      <c r="AK7" s="35">
        <f t="shared" ref="AK7:AK17" si="20">AVERAGE(AG7:AI7)</f>
        <v>0.16348128203267848</v>
      </c>
      <c r="AL7" s="35">
        <f t="shared" ref="AL7:AL17" si="21">STDEV(AG7:AI7)</f>
        <v>3.0506521231880718E-2</v>
      </c>
      <c r="AM7" s="171">
        <f t="shared" ref="AM7:AM17" si="22">AG7*D7</f>
        <v>0.14266202757072569</v>
      </c>
      <c r="AN7" s="172">
        <f t="shared" ref="AN7:AN17" si="23">AH7*D7</f>
        <v>0.14765953697067413</v>
      </c>
      <c r="AO7" s="172">
        <f t="shared" ref="AO7:AO17" si="24">AI7*D7</f>
        <v>0.19754328452213504</v>
      </c>
      <c r="AP7" s="35">
        <f t="shared" ref="AP7:AP17" si="25">AVERAGE(AM7:AO7)</f>
        <v>0.16262161635451161</v>
      </c>
      <c r="AQ7" s="36">
        <f t="shared" ref="AQ7:AQ17" si="26">STDEV(AM7:AO7)</f>
        <v>3.0346102810045496E-2</v>
      </c>
      <c r="AR7" s="172">
        <v>0.3425917675791183</v>
      </c>
      <c r="AS7" s="172">
        <v>0.30262799929599354</v>
      </c>
      <c r="AT7" s="172">
        <v>0.31472771240553776</v>
      </c>
      <c r="AU7" s="172">
        <v>0</v>
      </c>
      <c r="AV7" s="35">
        <f t="shared" ref="AV7:AV17" si="27">AVERAGE(AR7:AT7)</f>
        <v>0.31998249309354987</v>
      </c>
      <c r="AW7" s="35">
        <f t="shared" ref="AW7:AW17" si="28">STDEV(AR7:AT7)</f>
        <v>2.0493541272951114E-2</v>
      </c>
      <c r="AX7" s="171">
        <f t="shared" ref="AX7:AX17" si="29">AR7*D7</f>
        <v>0.34079025011761827</v>
      </c>
      <c r="AY7" s="172">
        <f t="shared" ref="AY7:AY17" si="30">AS7*D7</f>
        <v>0.30103663115272766</v>
      </c>
      <c r="AZ7" s="172">
        <f t="shared" ref="AZ7:AZ17" si="31">AT7*D7</f>
        <v>0.31307271796850533</v>
      </c>
      <c r="BA7" s="35">
        <f t="shared" ref="BA7:BA17" si="32">AVERAGE(AX7:AZ7)</f>
        <v>0.31829986641295044</v>
      </c>
      <c r="BB7" s="36">
        <f t="shared" ref="BB7:BB17" si="33">STDEV(AX7:AZ7)</f>
        <v>2.0385776066822327E-2</v>
      </c>
      <c r="BC7" s="155" t="s">
        <v>20</v>
      </c>
      <c r="BD7" s="166"/>
      <c r="BE7" s="167"/>
      <c r="BF7" s="167"/>
      <c r="BG7" s="135"/>
      <c r="BH7" s="135"/>
      <c r="BI7" s="166"/>
      <c r="BJ7" s="167"/>
      <c r="BK7" s="167"/>
      <c r="BL7" s="135"/>
      <c r="BM7" s="136"/>
      <c r="BN7" s="167"/>
      <c r="BO7" s="167"/>
      <c r="BP7" s="167"/>
      <c r="BQ7" s="135"/>
      <c r="BR7" s="135"/>
      <c r="BS7" s="166"/>
      <c r="BT7" s="167"/>
      <c r="BU7" s="167"/>
      <c r="BV7" s="135"/>
      <c r="BW7" s="136"/>
      <c r="BX7" s="163"/>
      <c r="BY7" s="163"/>
      <c r="BZ7" s="163"/>
      <c r="CA7" s="25"/>
      <c r="CB7" s="26"/>
      <c r="CC7" s="162"/>
      <c r="CD7" s="163"/>
      <c r="CE7" s="163"/>
      <c r="CF7" s="25"/>
      <c r="CG7" s="26"/>
      <c r="CH7" s="226">
        <f t="shared" ref="CH7:CH17" si="34">C7</f>
        <v>2.5166666666627862</v>
      </c>
      <c r="CI7" s="174">
        <f t="shared" ref="CI7:CI17" si="35">CH7*$CI$3+$CI$4</f>
        <v>27.249861294197562</v>
      </c>
      <c r="CJ7" s="174">
        <f t="shared" ref="CJ7:CJ17" si="36">CI7/$CI$6</f>
        <v>1.0052862940206719</v>
      </c>
      <c r="CK7" s="174">
        <f t="shared" ref="CK7:CK17" si="37">100/CJ7</f>
        <v>99.474150393563093</v>
      </c>
      <c r="CL7" s="174">
        <f t="shared" ref="CL7:CL17" si="38">CK7/100</f>
        <v>0.99474150393563088</v>
      </c>
      <c r="CV7" s="155">
        <v>0.14266202757072569</v>
      </c>
      <c r="CW7" s="155">
        <v>0.14765953697067413</v>
      </c>
      <c r="CX7" s="155">
        <v>0.19754328452213504</v>
      </c>
      <c r="CY7" s="155">
        <v>0.16262161635451161</v>
      </c>
      <c r="CZ7" s="155">
        <v>3.0346102810045496E-2</v>
      </c>
      <c r="DA7" s="155">
        <v>6.8</v>
      </c>
      <c r="DB7" s="155">
        <v>6.81</v>
      </c>
      <c r="DC7" s="155">
        <v>6.8</v>
      </c>
      <c r="DD7" s="155">
        <v>6.95</v>
      </c>
      <c r="DE7" s="155">
        <v>6.8033333333333337</v>
      </c>
      <c r="DF7" s="155">
        <v>5.7735026918961348E-3</v>
      </c>
      <c r="DG7" s="155">
        <f t="shared" ref="DG7:DG17" si="39">CV7/(1+10^(DA7-3.86))</f>
        <v>1.6361007410631824E-4</v>
      </c>
      <c r="DH7" s="155">
        <f t="shared" si="0"/>
        <v>1.6549104143227071E-4</v>
      </c>
      <c r="DI7" s="155">
        <f t="shared" si="0"/>
        <v>2.2654992341146368E-4</v>
      </c>
      <c r="DJ7" s="155">
        <f t="shared" ref="DJ7:DJ17" si="40">AVERAGE(DG7:DI7)</f>
        <v>1.8521701298335086E-4</v>
      </c>
      <c r="DK7" s="155">
        <f t="shared" ref="DK7:DK17" si="41">STDEV(DG7:DI7)</f>
        <v>3.580770340114153E-5</v>
      </c>
      <c r="DL7" s="155">
        <v>0.34079025011761827</v>
      </c>
      <c r="DM7" s="155">
        <v>0.30103663115272766</v>
      </c>
      <c r="DN7" s="155">
        <v>0.31307271796850533</v>
      </c>
      <c r="DO7" s="155">
        <v>0.31829986641295044</v>
      </c>
      <c r="DP7" s="155">
        <v>2.0385776066822327E-2</v>
      </c>
      <c r="DQ7" s="155">
        <f t="shared" ref="DQ7:DQ17" si="42">DL7/(1+10^(DA7-4.76))</f>
        <v>3.0799545016386171E-3</v>
      </c>
      <c r="DR7" s="155">
        <f t="shared" si="1"/>
        <v>2.6592908446740463E-3</v>
      </c>
      <c r="DS7" s="155">
        <f t="shared" si="1"/>
        <v>2.8294522120704446E-3</v>
      </c>
      <c r="DT7" s="155">
        <f t="shared" ref="DT7:DT17" si="43">AVERAGE(DQ7:DS7)</f>
        <v>2.8562325194610356E-3</v>
      </c>
      <c r="DU7" s="155">
        <f t="shared" ref="DU7:DU17" si="44">STDEV(DQ7:DS7)</f>
        <v>2.116066320337159E-4</v>
      </c>
    </row>
    <row r="8" spans="1:125" x14ac:dyDescent="0.25">
      <c r="A8" s="155" t="s">
        <v>22</v>
      </c>
      <c r="B8" s="158">
        <v>43013.760416666664</v>
      </c>
      <c r="C8" s="313">
        <f t="shared" si="2"/>
        <v>5.2333333332790062</v>
      </c>
      <c r="D8" s="173">
        <f t="shared" si="3"/>
        <v>0.98912683447020033</v>
      </c>
      <c r="E8" s="169">
        <v>0.16900000000000001</v>
      </c>
      <c r="F8" s="170">
        <v>0.16700000000000001</v>
      </c>
      <c r="G8" s="170">
        <v>0.159</v>
      </c>
      <c r="H8" s="170">
        <v>0</v>
      </c>
      <c r="I8" s="31">
        <f t="shared" si="4"/>
        <v>0.16500000000000001</v>
      </c>
      <c r="J8" s="31">
        <f t="shared" si="5"/>
        <v>5.2915026221291859E-3</v>
      </c>
      <c r="K8" s="169">
        <f t="shared" si="6"/>
        <v>0.16716243502546388</v>
      </c>
      <c r="L8" s="170">
        <f t="shared" si="7"/>
        <v>0.16518418135652346</v>
      </c>
      <c r="M8" s="170">
        <f t="shared" si="8"/>
        <v>0.15727116668076185</v>
      </c>
      <c r="N8" s="31">
        <f t="shared" si="9"/>
        <v>0.16320592768758307</v>
      </c>
      <c r="O8" s="32">
        <f t="shared" si="10"/>
        <v>5.233967238217411E-3</v>
      </c>
      <c r="P8" s="172">
        <v>6.64</v>
      </c>
      <c r="Q8" s="172">
        <v>6.6</v>
      </c>
      <c r="R8" s="172">
        <v>6.61</v>
      </c>
      <c r="S8" s="172">
        <v>6.95</v>
      </c>
      <c r="T8" s="35">
        <f t="shared" si="11"/>
        <v>6.6166666666666663</v>
      </c>
      <c r="U8" s="36">
        <f t="shared" si="12"/>
        <v>2.081665999466124E-2</v>
      </c>
      <c r="V8" s="171">
        <v>26.889048606724643</v>
      </c>
      <c r="W8" s="172">
        <v>26.908444038629554</v>
      </c>
      <c r="X8" s="172">
        <v>26.66807094601424</v>
      </c>
      <c r="Y8" s="172">
        <v>27.773226006724613</v>
      </c>
      <c r="Z8" s="35">
        <f t="shared" si="13"/>
        <v>26.821854530456147</v>
      </c>
      <c r="AA8" s="35">
        <f t="shared" si="14"/>
        <v>0.13353310011957753</v>
      </c>
      <c r="AB8" s="171">
        <f t="shared" si="15"/>
        <v>26.596679530284895</v>
      </c>
      <c r="AC8" s="172">
        <f t="shared" si="16"/>
        <v>26.615864072448183</v>
      </c>
      <c r="AD8" s="172">
        <f t="shared" si="17"/>
        <v>26.378104596257785</v>
      </c>
      <c r="AE8" s="35">
        <f t="shared" si="18"/>
        <v>26.530216066330286</v>
      </c>
      <c r="AF8" s="36">
        <f t="shared" si="19"/>
        <v>0.13208117261826965</v>
      </c>
      <c r="AG8" s="172">
        <v>0.29939118153417982</v>
      </c>
      <c r="AH8" s="172">
        <v>0.35689704417272977</v>
      </c>
      <c r="AI8" s="172">
        <v>0.41068267116630786</v>
      </c>
      <c r="AJ8" s="172">
        <v>0</v>
      </c>
      <c r="AK8" s="35">
        <f t="shared" si="20"/>
        <v>0.3556569656244058</v>
      </c>
      <c r="AL8" s="35">
        <f t="shared" si="21"/>
        <v>5.565610714233471E-2</v>
      </c>
      <c r="AM8" s="171">
        <f t="shared" si="22"/>
        <v>0.29613585165919637</v>
      </c>
      <c r="AN8" s="172">
        <f t="shared" si="23"/>
        <v>0.35301644353434347</v>
      </c>
      <c r="AO8" s="172">
        <f t="shared" si="24"/>
        <v>0.4062172505024963</v>
      </c>
      <c r="AP8" s="35">
        <f t="shared" si="25"/>
        <v>0.3517898485653454</v>
      </c>
      <c r="AQ8" s="36">
        <f t="shared" si="26"/>
        <v>5.5050949076631779E-2</v>
      </c>
      <c r="AR8" s="172">
        <v>0.46604061614088854</v>
      </c>
      <c r="AS8" s="172">
        <v>0.55029551655533204</v>
      </c>
      <c r="AT8" s="172">
        <v>0.51879203394619966</v>
      </c>
      <c r="AU8" s="172">
        <v>0</v>
      </c>
      <c r="AV8" s="35">
        <f t="shared" si="27"/>
        <v>0.51170938888080675</v>
      </c>
      <c r="AW8" s="35">
        <f t="shared" si="28"/>
        <v>4.2571644985878794E-2</v>
      </c>
      <c r="AX8" s="171">
        <f t="shared" si="29"/>
        <v>0.46097327937797883</v>
      </c>
      <c r="AY8" s="172">
        <f t="shared" si="30"/>
        <v>0.54431206231351925</v>
      </c>
      <c r="AZ8" s="172">
        <f t="shared" si="31"/>
        <v>0.51315112228556115</v>
      </c>
      <c r="BA8" s="35">
        <f t="shared" si="32"/>
        <v>0.50614548799235304</v>
      </c>
      <c r="BB8" s="36">
        <f t="shared" si="33"/>
        <v>4.2108756443071445E-2</v>
      </c>
      <c r="BC8" s="155" t="s">
        <v>22</v>
      </c>
      <c r="BD8" s="166">
        <v>77000000</v>
      </c>
      <c r="BE8" s="167">
        <v>71000000</v>
      </c>
      <c r="BF8" s="167">
        <v>49000000</v>
      </c>
      <c r="BG8" s="135">
        <f t="shared" ref="BG8:BG16" si="45">AVERAGE(BD8:BF8)</f>
        <v>65666666.666666664</v>
      </c>
      <c r="BH8" s="135">
        <f t="shared" ref="BH8:BH16" si="46">STDEV(BD8:BF8)</f>
        <v>14742229.591663975</v>
      </c>
      <c r="BI8" s="166">
        <f t="shared" ref="BI8:BI16" si="47">BD8*D8</f>
        <v>76162766.254205421</v>
      </c>
      <c r="BJ8" s="167">
        <f t="shared" ref="BJ8:BJ16" si="48">BE8*D8</f>
        <v>70228005.24738422</v>
      </c>
      <c r="BK8" s="167">
        <f t="shared" ref="BK8:BK16" si="49">BF8*D8</f>
        <v>48467214.889039814</v>
      </c>
      <c r="BL8" s="135">
        <f t="shared" ref="BL8:BL16" si="50">AVERAGE(BI8:BK8)</f>
        <v>64952662.130209826</v>
      </c>
      <c r="BM8" s="136">
        <f t="shared" ref="BM8:BM16" si="51">STDEV(BI8:BK8)</f>
        <v>14581934.889035508</v>
      </c>
      <c r="BN8" s="167">
        <v>189000000</v>
      </c>
      <c r="BO8" s="167">
        <v>193000000</v>
      </c>
      <c r="BP8" s="167">
        <v>201000000</v>
      </c>
      <c r="BQ8" s="135">
        <f t="shared" ref="BQ8:BQ16" si="52">AVERAGE(BN8:BP8)</f>
        <v>194333333.33333334</v>
      </c>
      <c r="BR8" s="135">
        <f t="shared" ref="BR8:BR16" si="53">STDEV(BN8:BP8)</f>
        <v>6110100.9266077867</v>
      </c>
      <c r="BS8" s="166">
        <f t="shared" ref="BS8:BS16" si="54">BN8*D8</f>
        <v>186944971.71486786</v>
      </c>
      <c r="BT8" s="167">
        <f t="shared" ref="BT8:BT16" si="55">BO8*D8</f>
        <v>190901479.05274865</v>
      </c>
      <c r="BU8" s="167">
        <f t="shared" ref="BU8:BU16" si="56">BP8*D8</f>
        <v>198814493.72851026</v>
      </c>
      <c r="BV8" s="135">
        <f t="shared" ref="BV8:BV16" si="57">AVERAGE(BS8:BU8)</f>
        <v>192220314.83204225</v>
      </c>
      <c r="BW8" s="136">
        <f t="shared" ref="BW8:BW16" si="58">STDEV(BS8:BU8)</f>
        <v>6043664.7878289968</v>
      </c>
      <c r="BX8" s="163">
        <v>0.28947368421052633</v>
      </c>
      <c r="BY8" s="163">
        <v>0.26893939393939392</v>
      </c>
      <c r="BZ8" s="163">
        <v>0.19600000000000001</v>
      </c>
      <c r="CA8" s="25">
        <f t="shared" ref="CA8" si="59">AVERAGE(BX8:BZ8)</f>
        <v>0.25147102604997346</v>
      </c>
      <c r="CB8" s="26">
        <f t="shared" ref="CB8" si="60">STDEV(BX8:BZ8)</f>
        <v>4.9124233505596672E-2</v>
      </c>
      <c r="CC8" s="162">
        <v>0.71052631578947367</v>
      </c>
      <c r="CD8" s="163">
        <v>0.73106060606060608</v>
      </c>
      <c r="CE8" s="163">
        <v>0.80400000000000005</v>
      </c>
      <c r="CF8" s="25">
        <f t="shared" ref="CF8" si="61">AVERAGE(CC8:CE8)</f>
        <v>0.74852897395002671</v>
      </c>
      <c r="CG8" s="26">
        <f t="shared" ref="CG8" si="62">STDEV(CC8:CE8)</f>
        <v>4.9124233505596866E-2</v>
      </c>
      <c r="CH8" s="226">
        <f t="shared" si="34"/>
        <v>5.2333333332790062</v>
      </c>
      <c r="CI8" s="174">
        <f t="shared" si="35"/>
        <v>27.404542128660715</v>
      </c>
      <c r="CJ8" s="174">
        <f t="shared" si="36"/>
        <v>1.0109926908773268</v>
      </c>
      <c r="CK8" s="174">
        <f t="shared" si="37"/>
        <v>98.912683447020029</v>
      </c>
      <c r="CL8" s="174">
        <f t="shared" si="38"/>
        <v>0.98912683447020033</v>
      </c>
      <c r="CV8" s="155">
        <v>0.29613585165919637</v>
      </c>
      <c r="CW8" s="155">
        <v>0.35301644353434347</v>
      </c>
      <c r="CX8" s="155">
        <v>0.4062172505024963</v>
      </c>
      <c r="CY8" s="155">
        <v>0.3517898485653454</v>
      </c>
      <c r="CZ8" s="155">
        <v>5.5050949076631779E-2</v>
      </c>
      <c r="DA8" s="155">
        <v>6.64</v>
      </c>
      <c r="DB8" s="155">
        <v>6.6</v>
      </c>
      <c r="DC8" s="155">
        <v>6.61</v>
      </c>
      <c r="DD8" s="155">
        <v>6.95</v>
      </c>
      <c r="DE8" s="155">
        <v>6.6166666666666663</v>
      </c>
      <c r="DF8" s="155">
        <v>2.081665999466124E-2</v>
      </c>
      <c r="DG8" s="155">
        <f t="shared" si="39"/>
        <v>4.9064890773305159E-4</v>
      </c>
      <c r="DH8" s="155">
        <f t="shared" si="0"/>
        <v>6.4121750136509747E-4</v>
      </c>
      <c r="DI8" s="155">
        <f t="shared" si="0"/>
        <v>7.2108548110728042E-4</v>
      </c>
      <c r="DJ8" s="155">
        <f t="shared" si="40"/>
        <v>6.1765063006847653E-4</v>
      </c>
      <c r="DK8" s="155">
        <f t="shared" si="41"/>
        <v>1.1701197226842948E-4</v>
      </c>
      <c r="DL8" s="155">
        <v>0.46097327937797883</v>
      </c>
      <c r="DM8" s="155">
        <v>0.54431206231351925</v>
      </c>
      <c r="DN8" s="155">
        <v>0.51315112228556115</v>
      </c>
      <c r="DO8" s="155">
        <v>0.50614548799235304</v>
      </c>
      <c r="DP8" s="155">
        <v>4.2108756443071445E-2</v>
      </c>
      <c r="DQ8" s="155">
        <f t="shared" si="42"/>
        <v>5.9977456323842817E-3</v>
      </c>
      <c r="DR8" s="155">
        <f t="shared" si="1"/>
        <v>7.7556004916800514E-3</v>
      </c>
      <c r="DS8" s="155">
        <f t="shared" si="1"/>
        <v>7.1474912653153484E-3</v>
      </c>
      <c r="DT8" s="155">
        <f t="shared" si="43"/>
        <v>6.9669457964598933E-3</v>
      </c>
      <c r="DU8" s="155">
        <f t="shared" si="44"/>
        <v>8.9272668064229734E-4</v>
      </c>
    </row>
    <row r="9" spans="1:125" x14ac:dyDescent="0.25">
      <c r="A9" s="155" t="s">
        <v>23</v>
      </c>
      <c r="B9" s="158">
        <v>43013.896527777775</v>
      </c>
      <c r="C9" s="318">
        <f t="shared" si="2"/>
        <v>8.4999999999417923</v>
      </c>
      <c r="D9" s="174">
        <f t="shared" si="3"/>
        <v>0.98245881626077192</v>
      </c>
      <c r="E9" s="160">
        <v>0.19400000000000001</v>
      </c>
      <c r="F9" s="161">
        <v>0.19500000000000001</v>
      </c>
      <c r="G9" s="161">
        <v>0.184</v>
      </c>
      <c r="H9" s="161">
        <v>2E-3</v>
      </c>
      <c r="I9" s="21">
        <f t="shared" si="4"/>
        <v>0.19099999999999998</v>
      </c>
      <c r="J9" s="21">
        <f t="shared" si="5"/>
        <v>6.0827625302982248E-3</v>
      </c>
      <c r="K9" s="160">
        <f t="shared" si="6"/>
        <v>0.19059701035458976</v>
      </c>
      <c r="L9" s="161">
        <f t="shared" si="7"/>
        <v>0.19157946917085053</v>
      </c>
      <c r="M9" s="161">
        <f t="shared" si="8"/>
        <v>0.18077242219198203</v>
      </c>
      <c r="N9" s="21">
        <f t="shared" si="9"/>
        <v>0.18764963390580744</v>
      </c>
      <c r="O9" s="22">
        <f t="shared" si="10"/>
        <v>5.9760636751121721E-3</v>
      </c>
      <c r="P9" s="163">
        <v>6.5</v>
      </c>
      <c r="Q9" s="163">
        <v>6.47</v>
      </c>
      <c r="R9" s="163">
        <v>6.48</v>
      </c>
      <c r="S9" s="163">
        <v>6.93</v>
      </c>
      <c r="T9" s="25">
        <f t="shared" si="11"/>
        <v>6.4833333333333334</v>
      </c>
      <c r="U9" s="26">
        <f t="shared" si="12"/>
        <v>1.5275252316519529E-2</v>
      </c>
      <c r="V9" s="162">
        <v>26.564511410052965</v>
      </c>
      <c r="W9" s="163">
        <v>26.476787190934512</v>
      </c>
      <c r="X9" s="163">
        <v>25.773904986834211</v>
      </c>
      <c r="Y9" s="163">
        <v>27.905846164026507</v>
      </c>
      <c r="Z9" s="25">
        <f t="shared" si="13"/>
        <v>26.271734529273896</v>
      </c>
      <c r="AA9" s="25">
        <f t="shared" si="14"/>
        <v>0.43335848283986039</v>
      </c>
      <c r="AB9" s="162">
        <f t="shared" si="15"/>
        <v>26.098538434466406</v>
      </c>
      <c r="AC9" s="163">
        <f t="shared" si="16"/>
        <v>26.01235300199389</v>
      </c>
      <c r="AD9" s="163">
        <f t="shared" si="17"/>
        <v>25.321800183782745</v>
      </c>
      <c r="AE9" s="25">
        <f t="shared" si="18"/>
        <v>25.810897206747679</v>
      </c>
      <c r="AF9" s="26">
        <f t="shared" si="19"/>
        <v>0.42575686206741331</v>
      </c>
      <c r="AG9" s="163">
        <v>0.65377683933544728</v>
      </c>
      <c r="AH9" s="163">
        <v>0.78437037298968904</v>
      </c>
      <c r="AI9" s="163">
        <v>0.84511514531479914</v>
      </c>
      <c r="AJ9" s="163">
        <v>0</v>
      </c>
      <c r="AK9" s="25">
        <f t="shared" si="20"/>
        <v>0.76108745254664523</v>
      </c>
      <c r="AL9" s="25">
        <f t="shared" si="21"/>
        <v>9.7770944671868823E-2</v>
      </c>
      <c r="AM9" s="162">
        <f t="shared" si="22"/>
        <v>0.64230881967221243</v>
      </c>
      <c r="AN9" s="163">
        <f t="shared" si="23"/>
        <v>0.77061158815747</v>
      </c>
      <c r="AO9" s="163">
        <f t="shared" si="24"/>
        <v>0.83029082527002784</v>
      </c>
      <c r="AP9" s="25">
        <f t="shared" si="25"/>
        <v>0.74773707769990339</v>
      </c>
      <c r="AQ9" s="26">
        <f t="shared" si="26"/>
        <v>9.6055926567022859E-2</v>
      </c>
      <c r="AR9" s="163">
        <v>0.53439587542749045</v>
      </c>
      <c r="AS9" s="163">
        <v>0.52880110993822727</v>
      </c>
      <c r="AT9" s="163">
        <v>0.4581672769543127</v>
      </c>
      <c r="AU9" s="163">
        <v>0</v>
      </c>
      <c r="AV9" s="25">
        <f t="shared" si="27"/>
        <v>0.50712142077334343</v>
      </c>
      <c r="AW9" s="25">
        <f t="shared" si="28"/>
        <v>4.2487721732410229E-2</v>
      </c>
      <c r="AX9" s="162">
        <f t="shared" si="29"/>
        <v>0.52502193918713125</v>
      </c>
      <c r="AY9" s="163">
        <f t="shared" si="30"/>
        <v>0.51952531250729306</v>
      </c>
      <c r="AZ9" s="163">
        <f t="shared" si="31"/>
        <v>0.45013048056595528</v>
      </c>
      <c r="BA9" s="25">
        <f t="shared" si="32"/>
        <v>0.4982259107534599</v>
      </c>
      <c r="BB9" s="26">
        <f t="shared" si="33"/>
        <v>4.1742436798840848E-2</v>
      </c>
      <c r="BC9" s="155" t="s">
        <v>23</v>
      </c>
      <c r="BD9" s="166"/>
      <c r="BE9" s="167"/>
      <c r="BF9" s="167"/>
      <c r="BG9" s="135"/>
      <c r="BH9" s="135"/>
      <c r="BI9" s="166"/>
      <c r="BJ9" s="167"/>
      <c r="BK9" s="167"/>
      <c r="BL9" s="135"/>
      <c r="BM9" s="136"/>
      <c r="BN9" s="167"/>
      <c r="BO9" s="167"/>
      <c r="BP9" s="167"/>
      <c r="BQ9" s="135"/>
      <c r="BR9" s="135"/>
      <c r="BS9" s="166"/>
      <c r="BT9" s="167"/>
      <c r="BU9" s="167"/>
      <c r="BV9" s="135"/>
      <c r="BW9" s="136"/>
      <c r="BX9" s="163"/>
      <c r="BY9" s="163"/>
      <c r="BZ9" s="163"/>
      <c r="CA9" s="25"/>
      <c r="CB9" s="26"/>
      <c r="CC9" s="162"/>
      <c r="CD9" s="163"/>
      <c r="CE9" s="163"/>
      <c r="CF9" s="25"/>
      <c r="CG9" s="26"/>
      <c r="CH9" s="226">
        <f t="shared" si="34"/>
        <v>8.4999999999417923</v>
      </c>
      <c r="CI9" s="174">
        <f t="shared" si="35"/>
        <v>27.590538714889579</v>
      </c>
      <c r="CJ9" s="174">
        <f t="shared" si="36"/>
        <v>1.017854370533301</v>
      </c>
      <c r="CK9" s="174">
        <f t="shared" si="37"/>
        <v>98.245881626077193</v>
      </c>
      <c r="CL9" s="174">
        <f t="shared" si="38"/>
        <v>0.98245881626077192</v>
      </c>
      <c r="CV9" s="155">
        <v>0.64230881967221243</v>
      </c>
      <c r="CW9" s="155">
        <v>0.77061158815747</v>
      </c>
      <c r="CX9" s="155">
        <v>0.83029082527002784</v>
      </c>
      <c r="CY9" s="155">
        <v>0.74773707769990339</v>
      </c>
      <c r="CZ9" s="155">
        <v>9.6055926567022859E-2</v>
      </c>
      <c r="DA9" s="155">
        <v>6.5</v>
      </c>
      <c r="DB9" s="155">
        <v>6.47</v>
      </c>
      <c r="DC9" s="155">
        <v>6.48</v>
      </c>
      <c r="DD9" s="155">
        <v>6.93</v>
      </c>
      <c r="DE9" s="155">
        <v>6.4833333333333334</v>
      </c>
      <c r="DF9" s="155">
        <v>1.5275252316519529E-2</v>
      </c>
      <c r="DG9" s="155">
        <f t="shared" si="39"/>
        <v>1.4680813180713169E-3</v>
      </c>
      <c r="DH9" s="155">
        <f t="shared" si="0"/>
        <v>1.8869951122544373E-3</v>
      </c>
      <c r="DI9" s="155">
        <f t="shared" si="0"/>
        <v>1.9869625727891331E-3</v>
      </c>
      <c r="DJ9" s="155">
        <f t="shared" si="40"/>
        <v>1.7806796677049626E-3</v>
      </c>
      <c r="DK9" s="155">
        <f t="shared" si="41"/>
        <v>2.7529378750109523E-4</v>
      </c>
      <c r="DL9" s="155">
        <v>0.52502193918713125</v>
      </c>
      <c r="DM9" s="155">
        <v>0.51952531250729306</v>
      </c>
      <c r="DN9" s="155">
        <v>0.45013048056595528</v>
      </c>
      <c r="DO9" s="155">
        <v>0.4982259107534599</v>
      </c>
      <c r="DP9" s="155">
        <v>4.1742436798840848E-2</v>
      </c>
      <c r="DQ9" s="155">
        <f t="shared" si="42"/>
        <v>9.3830846631004598E-3</v>
      </c>
      <c r="DR9" s="155">
        <f t="shared" si="1"/>
        <v>9.936195871674337E-3</v>
      </c>
      <c r="DS9" s="155">
        <f t="shared" si="1"/>
        <v>8.4166829003419069E-3</v>
      </c>
      <c r="DT9" s="155">
        <f t="shared" si="43"/>
        <v>9.2453211450389001E-3</v>
      </c>
      <c r="DU9" s="155">
        <f t="shared" si="44"/>
        <v>7.6906697217693639E-4</v>
      </c>
    </row>
    <row r="10" spans="1:125" x14ac:dyDescent="0.25">
      <c r="A10" s="155" t="s">
        <v>24</v>
      </c>
      <c r="B10" s="158">
        <v>43014.023611111108</v>
      </c>
      <c r="C10" s="318">
        <f t="shared" si="2"/>
        <v>11.549999999930151</v>
      </c>
      <c r="D10" s="174">
        <f t="shared" si="3"/>
        <v>0.97631371278073031</v>
      </c>
      <c r="E10" s="160">
        <v>0.20899999999999999</v>
      </c>
      <c r="F10" s="161">
        <v>0.20899999999999999</v>
      </c>
      <c r="G10" s="161">
        <v>0.19900000000000001</v>
      </c>
      <c r="H10" s="161">
        <v>0</v>
      </c>
      <c r="I10" s="21">
        <f t="shared" si="4"/>
        <v>0.20566666666666666</v>
      </c>
      <c r="J10" s="21">
        <f t="shared" si="5"/>
        <v>5.7735026918962467E-3</v>
      </c>
      <c r="K10" s="160">
        <f t="shared" si="6"/>
        <v>0.20404956597117263</v>
      </c>
      <c r="L10" s="161">
        <f t="shared" si="7"/>
        <v>0.20404956597117263</v>
      </c>
      <c r="M10" s="161">
        <f t="shared" si="8"/>
        <v>0.19428642884336533</v>
      </c>
      <c r="N10" s="21">
        <f t="shared" si="9"/>
        <v>0.20079518692857021</v>
      </c>
      <c r="O10" s="22">
        <f t="shared" si="10"/>
        <v>5.6367498488747734E-3</v>
      </c>
      <c r="P10" s="163">
        <v>6.38</v>
      </c>
      <c r="Q10" s="163">
        <v>6.34</v>
      </c>
      <c r="R10" s="163">
        <v>6.39</v>
      </c>
      <c r="S10" s="163">
        <v>6.91</v>
      </c>
      <c r="T10" s="25">
        <f t="shared" si="11"/>
        <v>6.37</v>
      </c>
      <c r="U10" s="26">
        <f t="shared" si="12"/>
        <v>2.6457513110645845E-2</v>
      </c>
      <c r="V10" s="162"/>
      <c r="W10" s="163"/>
      <c r="X10" s="163"/>
      <c r="Y10" s="163"/>
      <c r="Z10" s="25"/>
      <c r="AA10" s="25"/>
      <c r="AB10" s="162"/>
      <c r="AC10" s="163"/>
      <c r="AD10" s="163"/>
      <c r="AE10" s="25"/>
      <c r="AF10" s="26"/>
      <c r="AG10" s="163"/>
      <c r="AH10" s="163"/>
      <c r="AI10" s="163"/>
      <c r="AJ10" s="163"/>
      <c r="AK10" s="25"/>
      <c r="AL10" s="25"/>
      <c r="AM10" s="162"/>
      <c r="AN10" s="163"/>
      <c r="AO10" s="163"/>
      <c r="AP10" s="25"/>
      <c r="AQ10" s="26"/>
      <c r="AR10" s="163"/>
      <c r="AS10" s="163"/>
      <c r="AT10" s="163"/>
      <c r="AU10" s="163"/>
      <c r="AV10" s="25"/>
      <c r="AW10" s="25"/>
      <c r="AX10" s="162"/>
      <c r="AY10" s="163"/>
      <c r="AZ10" s="163"/>
      <c r="BA10" s="25"/>
      <c r="BB10" s="26"/>
      <c r="BC10" s="155" t="s">
        <v>24</v>
      </c>
      <c r="BD10" s="166">
        <v>55000000</v>
      </c>
      <c r="BE10" s="167">
        <v>13000000</v>
      </c>
      <c r="BF10" s="167">
        <v>103000000</v>
      </c>
      <c r="BG10" s="135">
        <f t="shared" si="45"/>
        <v>57000000</v>
      </c>
      <c r="BH10" s="135">
        <f t="shared" si="46"/>
        <v>45033320.996790811</v>
      </c>
      <c r="BI10" s="166">
        <f t="shared" si="47"/>
        <v>53697254.202940166</v>
      </c>
      <c r="BJ10" s="167">
        <f t="shared" si="48"/>
        <v>12692078.266149495</v>
      </c>
      <c r="BK10" s="167">
        <f t="shared" si="49"/>
        <v>100560312.41641523</v>
      </c>
      <c r="BL10" s="135">
        <f t="shared" si="50"/>
        <v>55649881.628501631</v>
      </c>
      <c r="BM10" s="136">
        <f t="shared" si="51"/>
        <v>43966648.821223252</v>
      </c>
      <c r="BN10" s="167">
        <v>275000000</v>
      </c>
      <c r="BO10" s="167">
        <v>267000000</v>
      </c>
      <c r="BP10" s="167">
        <v>277000000</v>
      </c>
      <c r="BQ10" s="135">
        <f t="shared" si="52"/>
        <v>273000000</v>
      </c>
      <c r="BR10" s="135">
        <f t="shared" si="53"/>
        <v>5291502.6221291814</v>
      </c>
      <c r="BS10" s="166">
        <f t="shared" si="54"/>
        <v>268486271.01470083</v>
      </c>
      <c r="BT10" s="167">
        <f t="shared" si="55"/>
        <v>260675761.312455</v>
      </c>
      <c r="BU10" s="167">
        <f t="shared" si="56"/>
        <v>270438898.44026232</v>
      </c>
      <c r="BV10" s="135">
        <f t="shared" si="57"/>
        <v>266533643.58913937</v>
      </c>
      <c r="BW10" s="136">
        <f t="shared" si="58"/>
        <v>5166166.5711999144</v>
      </c>
      <c r="BX10" s="163">
        <v>0.16666666666666666</v>
      </c>
      <c r="BY10" s="163">
        <v>4.642857142857143E-2</v>
      </c>
      <c r="BZ10" s="163">
        <v>0.27105263157894738</v>
      </c>
      <c r="CA10" s="25">
        <f t="shared" ref="CA10" si="63">AVERAGE(BX10:BZ10)</f>
        <v>0.16138262322472849</v>
      </c>
      <c r="CB10" s="26">
        <f t="shared" ref="CB10" si="64">STDEV(BX10:BZ10)</f>
        <v>0.11240521756543222</v>
      </c>
      <c r="CC10" s="162">
        <v>0.83333333333333337</v>
      </c>
      <c r="CD10" s="163">
        <v>0.95357142857142863</v>
      </c>
      <c r="CE10" s="163">
        <v>0.72894736842105268</v>
      </c>
      <c r="CF10" s="25">
        <f t="shared" ref="CF10" si="65">AVERAGE(CC10:CE10)</f>
        <v>0.83861737677527159</v>
      </c>
      <c r="CG10" s="26">
        <f t="shared" ref="CG10" si="66">STDEV(CC10:CE10)</f>
        <v>0.11240521756543098</v>
      </c>
      <c r="CH10" s="226">
        <f t="shared" si="34"/>
        <v>11.549999999930151</v>
      </c>
      <c r="CI10" s="174">
        <f t="shared" si="35"/>
        <v>27.764198792847708</v>
      </c>
      <c r="CJ10" s="174">
        <f t="shared" si="36"/>
        <v>1.0242609387835049</v>
      </c>
      <c r="CK10" s="174">
        <f t="shared" si="37"/>
        <v>97.631371278073033</v>
      </c>
      <c r="CL10" s="174">
        <f t="shared" si="38"/>
        <v>0.97631371278073031</v>
      </c>
      <c r="DA10" s="155">
        <v>6.38</v>
      </c>
      <c r="DB10" s="155">
        <v>6.34</v>
      </c>
      <c r="DC10" s="155">
        <v>6.39</v>
      </c>
      <c r="DD10" s="155">
        <v>6.91</v>
      </c>
      <c r="DE10" s="155">
        <v>6.37</v>
      </c>
      <c r="DF10" s="155">
        <v>2.6457513110645845E-2</v>
      </c>
    </row>
    <row r="11" spans="1:125" x14ac:dyDescent="0.25">
      <c r="A11" s="155" t="s">
        <v>40</v>
      </c>
      <c r="B11" s="158">
        <v>43014.270138888889</v>
      </c>
      <c r="C11" s="318">
        <f t="shared" si="2"/>
        <v>17.466666666674428</v>
      </c>
      <c r="D11" s="174">
        <f t="shared" si="3"/>
        <v>0.96460946176769458</v>
      </c>
      <c r="E11" s="160">
        <v>0.23699999999999999</v>
      </c>
      <c r="F11" s="161">
        <v>0.23799999999999999</v>
      </c>
      <c r="G11" s="161">
        <v>0.22500000000000001</v>
      </c>
      <c r="H11" s="161">
        <v>2E-3</v>
      </c>
      <c r="I11" s="21">
        <f t="shared" si="4"/>
        <v>0.23333333333333331</v>
      </c>
      <c r="J11" s="21">
        <f t="shared" si="5"/>
        <v>7.2341781380702262E-3</v>
      </c>
      <c r="K11" s="160">
        <f t="shared" si="6"/>
        <v>0.2286124424389436</v>
      </c>
      <c r="L11" s="161">
        <f t="shared" si="7"/>
        <v>0.22957705190071129</v>
      </c>
      <c r="M11" s="161">
        <f t="shared" si="8"/>
        <v>0.21703712889773127</v>
      </c>
      <c r="N11" s="21">
        <f t="shared" si="9"/>
        <v>0.22507554107912872</v>
      </c>
      <c r="O11" s="22">
        <f t="shared" si="10"/>
        <v>6.978156680095546E-3</v>
      </c>
      <c r="P11" s="163">
        <v>6.2</v>
      </c>
      <c r="Q11" s="163">
        <v>6.09</v>
      </c>
      <c r="R11" s="163">
        <v>6.15</v>
      </c>
      <c r="S11" s="163">
        <v>6.9</v>
      </c>
      <c r="T11" s="25">
        <f t="shared" si="11"/>
        <v>6.1466666666666656</v>
      </c>
      <c r="U11" s="26">
        <f t="shared" si="12"/>
        <v>5.507570547286119E-2</v>
      </c>
      <c r="V11" s="162">
        <v>25.533393271994761</v>
      </c>
      <c r="W11" s="163">
        <v>25.718585510963763</v>
      </c>
      <c r="X11" s="163">
        <v>25.705902942819783</v>
      </c>
      <c r="Y11" s="163">
        <v>27.26473426788932</v>
      </c>
      <c r="Z11" s="25">
        <f t="shared" si="13"/>
        <v>25.652627241926101</v>
      </c>
      <c r="AA11" s="25">
        <f t="shared" si="14"/>
        <v>0.10345417619831818</v>
      </c>
      <c r="AB11" s="162">
        <f t="shared" si="15"/>
        <v>24.629752741201742</v>
      </c>
      <c r="AC11" s="163">
        <f t="shared" si="16"/>
        <v>24.808390927157184</v>
      </c>
      <c r="AD11" s="163">
        <f t="shared" si="17"/>
        <v>24.796157201925986</v>
      </c>
      <c r="AE11" s="25">
        <f t="shared" si="18"/>
        <v>24.744766956761637</v>
      </c>
      <c r="AF11" s="26">
        <f t="shared" si="19"/>
        <v>9.97928772202792E-2</v>
      </c>
      <c r="AG11" s="163">
        <v>1.98384147708511</v>
      </c>
      <c r="AH11" s="163">
        <v>2.1883731838786313</v>
      </c>
      <c r="AI11" s="163">
        <v>2.1434219019612906</v>
      </c>
      <c r="AJ11" s="163">
        <v>0</v>
      </c>
      <c r="AK11" s="25">
        <f t="shared" si="20"/>
        <v>2.1052121876416772</v>
      </c>
      <c r="AL11" s="25">
        <f t="shared" si="21"/>
        <v>0.10748623852502041</v>
      </c>
      <c r="AM11" s="162">
        <f t="shared" si="22"/>
        <v>1.9136322594434962</v>
      </c>
      <c r="AN11" s="163">
        <f t="shared" si="23"/>
        <v>2.1109254790480225</v>
      </c>
      <c r="AO11" s="163">
        <f t="shared" si="24"/>
        <v>2.0675650471919687</v>
      </c>
      <c r="AP11" s="25">
        <f t="shared" si="25"/>
        <v>2.0307075952278288</v>
      </c>
      <c r="AQ11" s="26">
        <f t="shared" si="26"/>
        <v>0.10368224269105389</v>
      </c>
      <c r="AR11" s="163">
        <v>0.14445696604740221</v>
      </c>
      <c r="AS11" s="163">
        <v>0.18857738687954737</v>
      </c>
      <c r="AT11" s="163">
        <v>0</v>
      </c>
      <c r="AU11" s="163">
        <v>0</v>
      </c>
      <c r="AV11" s="25">
        <f t="shared" si="27"/>
        <v>0.11101145097564986</v>
      </c>
      <c r="AW11" s="25">
        <f t="shared" si="28"/>
        <v>9.8637262580582252E-2</v>
      </c>
      <c r="AX11" s="162">
        <f t="shared" si="29"/>
        <v>0.13934455626757877</v>
      </c>
      <c r="AY11" s="163">
        <f t="shared" si="30"/>
        <v>0.18190353165943848</v>
      </c>
      <c r="AZ11" s="163">
        <f t="shared" si="31"/>
        <v>0</v>
      </c>
      <c r="BA11" s="25">
        <f t="shared" si="32"/>
        <v>0.10708269597567242</v>
      </c>
      <c r="BB11" s="26">
        <f t="shared" si="33"/>
        <v>9.5146436768094214E-2</v>
      </c>
      <c r="BC11" s="155" t="s">
        <v>40</v>
      </c>
      <c r="BD11" s="166"/>
      <c r="BE11" s="167"/>
      <c r="BF11" s="167"/>
      <c r="BG11" s="135"/>
      <c r="BH11" s="135"/>
      <c r="BI11" s="166"/>
      <c r="BJ11" s="167"/>
      <c r="BK11" s="167"/>
      <c r="BL11" s="135"/>
      <c r="BM11" s="136"/>
      <c r="BN11" s="167"/>
      <c r="BO11" s="167"/>
      <c r="BP11" s="167"/>
      <c r="BQ11" s="135"/>
      <c r="BR11" s="135"/>
      <c r="BS11" s="166"/>
      <c r="BT11" s="167"/>
      <c r="BU11" s="167"/>
      <c r="BV11" s="135"/>
      <c r="BW11" s="136"/>
      <c r="BX11" s="163"/>
      <c r="BY11" s="163"/>
      <c r="BZ11" s="163"/>
      <c r="CA11" s="25"/>
      <c r="CB11" s="26"/>
      <c r="CC11" s="162"/>
      <c r="CD11" s="163"/>
      <c r="CE11" s="163"/>
      <c r="CF11" s="25"/>
      <c r="CG11" s="26"/>
      <c r="CH11" s="226">
        <f t="shared" si="34"/>
        <v>17.466666666674428</v>
      </c>
      <c r="CI11" s="174">
        <f t="shared" si="35"/>
        <v>28.101080364848684</v>
      </c>
      <c r="CJ11" s="174">
        <f t="shared" si="36"/>
        <v>1.0366889810177173</v>
      </c>
      <c r="CK11" s="174">
        <f t="shared" si="37"/>
        <v>96.460946176769454</v>
      </c>
      <c r="CL11" s="174">
        <f t="shared" si="38"/>
        <v>0.96460946176769458</v>
      </c>
      <c r="CV11" s="155">
        <v>1.9136322594434962</v>
      </c>
      <c r="CW11" s="155">
        <v>2.1109254790480225</v>
      </c>
      <c r="CX11" s="155">
        <v>2.0675650471919687</v>
      </c>
      <c r="CY11" s="155">
        <v>2.0307075952278288</v>
      </c>
      <c r="CZ11" s="155">
        <v>0.10368224269105389</v>
      </c>
      <c r="DA11" s="155">
        <v>6.2</v>
      </c>
      <c r="DB11" s="155">
        <v>6.09</v>
      </c>
      <c r="DC11" s="155">
        <v>6.15</v>
      </c>
      <c r="DD11" s="155">
        <v>6.9</v>
      </c>
      <c r="DE11" s="155">
        <v>6.1466666666666656</v>
      </c>
      <c r="DF11" s="155">
        <v>5.507570547286119E-2</v>
      </c>
      <c r="DG11" s="155">
        <f t="shared" si="39"/>
        <v>8.7071875247532252E-3</v>
      </c>
      <c r="DH11" s="155">
        <f t="shared" si="0"/>
        <v>1.2357285660075334E-2</v>
      </c>
      <c r="DI11" s="155">
        <f t="shared" si="0"/>
        <v>1.0549637698046158E-2</v>
      </c>
      <c r="DJ11" s="155">
        <f t="shared" si="40"/>
        <v>1.0538036960958239E-2</v>
      </c>
      <c r="DK11" s="155">
        <f t="shared" si="41"/>
        <v>1.8250767195370776E-3</v>
      </c>
      <c r="DL11" s="155">
        <v>0.13934455626757877</v>
      </c>
      <c r="DM11" s="155">
        <v>0.18190353165943848</v>
      </c>
      <c r="DN11" s="155">
        <v>0</v>
      </c>
      <c r="DO11" s="155">
        <v>0.10708269597567242</v>
      </c>
      <c r="DP11" s="155">
        <v>9.5146436768094214E-2</v>
      </c>
      <c r="DQ11" s="155">
        <f t="shared" si="42"/>
        <v>4.8820389236716739E-3</v>
      </c>
      <c r="DR11" s="155">
        <f t="shared" si="1"/>
        <v>8.1280881616675373E-3</v>
      </c>
      <c r="DS11" s="155">
        <f t="shared" si="1"/>
        <v>0</v>
      </c>
      <c r="DT11" s="155">
        <f t="shared" si="43"/>
        <v>4.3367090284464034E-3</v>
      </c>
      <c r="DU11" s="155">
        <f t="shared" si="44"/>
        <v>4.0913925272368819E-3</v>
      </c>
    </row>
    <row r="12" spans="1:125" x14ac:dyDescent="0.25">
      <c r="A12" s="155" t="s">
        <v>46</v>
      </c>
      <c r="B12" s="158">
        <v>43014.477083333331</v>
      </c>
      <c r="C12" s="318">
        <f t="shared" si="2"/>
        <v>22.433333333290648</v>
      </c>
      <c r="D12" s="174">
        <f t="shared" si="3"/>
        <v>0.95499898224310142</v>
      </c>
      <c r="E12" s="160">
        <v>0.251</v>
      </c>
      <c r="F12" s="161">
        <v>0.252</v>
      </c>
      <c r="G12" s="161">
        <v>0.23699999999999999</v>
      </c>
      <c r="H12" s="161">
        <v>-1E-3</v>
      </c>
      <c r="I12" s="21">
        <f t="shared" si="4"/>
        <v>0.24666666666666667</v>
      </c>
      <c r="J12" s="21">
        <f t="shared" si="5"/>
        <v>8.3864970836060905E-3</v>
      </c>
      <c r="K12" s="160">
        <f t="shared" si="6"/>
        <v>0.23970474454301846</v>
      </c>
      <c r="L12" s="161">
        <f t="shared" si="7"/>
        <v>0.24065974352526157</v>
      </c>
      <c r="M12" s="161">
        <f t="shared" si="8"/>
        <v>0.22633475879161502</v>
      </c>
      <c r="N12" s="21">
        <f t="shared" si="9"/>
        <v>0.23556641561996502</v>
      </c>
      <c r="O12" s="22">
        <f t="shared" si="10"/>
        <v>8.0090961794285591E-3</v>
      </c>
      <c r="P12" s="163">
        <v>6</v>
      </c>
      <c r="Q12" s="163">
        <v>5.81</v>
      </c>
      <c r="R12" s="163">
        <v>5.94</v>
      </c>
      <c r="S12" s="163">
        <v>6.86</v>
      </c>
      <c r="T12" s="25">
        <f t="shared" si="11"/>
        <v>5.916666666666667</v>
      </c>
      <c r="U12" s="26">
        <f t="shared" si="12"/>
        <v>9.7125348562223365E-2</v>
      </c>
      <c r="V12" s="162"/>
      <c r="W12" s="163"/>
      <c r="X12" s="163"/>
      <c r="Y12" s="163"/>
      <c r="Z12" s="25"/>
      <c r="AA12" s="25"/>
      <c r="AB12" s="162"/>
      <c r="AC12" s="163"/>
      <c r="AD12" s="163"/>
      <c r="AE12" s="25"/>
      <c r="AF12" s="26"/>
      <c r="AG12" s="163"/>
      <c r="AH12" s="163"/>
      <c r="AI12" s="163"/>
      <c r="AJ12" s="163"/>
      <c r="AK12" s="25"/>
      <c r="AL12" s="25"/>
      <c r="AM12" s="162"/>
      <c r="AN12" s="163"/>
      <c r="AO12" s="163"/>
      <c r="AP12" s="25"/>
      <c r="AQ12" s="26"/>
      <c r="AR12" s="163"/>
      <c r="AS12" s="163"/>
      <c r="AT12" s="163"/>
      <c r="AU12" s="163"/>
      <c r="AV12" s="25"/>
      <c r="AW12" s="25"/>
      <c r="AX12" s="162"/>
      <c r="AY12" s="163"/>
      <c r="AZ12" s="163"/>
      <c r="BA12" s="25"/>
      <c r="BB12" s="26"/>
      <c r="BC12" s="155" t="s">
        <v>46</v>
      </c>
      <c r="BD12" s="166">
        <v>120000000</v>
      </c>
      <c r="BE12" s="167">
        <v>-40000000</v>
      </c>
      <c r="BF12" s="167">
        <v>0</v>
      </c>
      <c r="BG12" s="135">
        <f t="shared" si="45"/>
        <v>26666666.666666668</v>
      </c>
      <c r="BH12" s="135">
        <f t="shared" si="46"/>
        <v>83266639.97864531</v>
      </c>
      <c r="BI12" s="166">
        <f t="shared" si="47"/>
        <v>114599877.86917217</v>
      </c>
      <c r="BJ12" s="167">
        <f t="shared" si="48"/>
        <v>-38199959.289724059</v>
      </c>
      <c r="BK12" s="167">
        <f t="shared" si="49"/>
        <v>0</v>
      </c>
      <c r="BL12" s="135">
        <f t="shared" si="50"/>
        <v>25466639.526482701</v>
      </c>
      <c r="BM12" s="136">
        <f t="shared" si="51"/>
        <v>79519556.434409007</v>
      </c>
      <c r="BN12" s="167">
        <v>290000000</v>
      </c>
      <c r="BO12" s="167">
        <v>490000000</v>
      </c>
      <c r="BP12" s="167">
        <v>390000000</v>
      </c>
      <c r="BQ12" s="135">
        <f t="shared" si="52"/>
        <v>390000000</v>
      </c>
      <c r="BR12" s="135">
        <f t="shared" si="53"/>
        <v>100000000</v>
      </c>
      <c r="BS12" s="166">
        <f t="shared" si="54"/>
        <v>276949704.85049939</v>
      </c>
      <c r="BT12" s="167">
        <f t="shared" si="55"/>
        <v>467949501.29911971</v>
      </c>
      <c r="BU12" s="167">
        <f t="shared" si="56"/>
        <v>372449603.07480955</v>
      </c>
      <c r="BV12" s="135">
        <f t="shared" si="57"/>
        <v>372449603.07480955</v>
      </c>
      <c r="BW12" s="136">
        <f t="shared" si="58"/>
        <v>95499898.22431016</v>
      </c>
      <c r="BX12" s="163">
        <v>0.29268292682926828</v>
      </c>
      <c r="BY12" s="163">
        <v>-8.8888888888888892E-2</v>
      </c>
      <c r="BZ12" s="163">
        <v>0</v>
      </c>
      <c r="CA12" s="25">
        <f>AVERAGE(BX12:BZ12)</f>
        <v>6.7931345980126456E-2</v>
      </c>
      <c r="CB12" s="26">
        <f t="shared" ref="CB12" si="67">STDEV(BX12:BZ12)</f>
        <v>0.19965035302402187</v>
      </c>
      <c r="CC12" s="162">
        <v>0.70731707317073167</v>
      </c>
      <c r="CD12" s="163">
        <v>1.0888888888888888</v>
      </c>
      <c r="CE12" s="163">
        <v>1</v>
      </c>
      <c r="CF12" s="25">
        <f t="shared" ref="CF12" si="68">AVERAGE(CC12:CE12)</f>
        <v>0.93206865401987349</v>
      </c>
      <c r="CG12" s="26">
        <f t="shared" ref="CG12" si="69">STDEV(CC12:CE12)</f>
        <v>0.19965035302402256</v>
      </c>
      <c r="CH12" s="226">
        <f t="shared" si="34"/>
        <v>22.433333333290648</v>
      </c>
      <c r="CI12" s="174">
        <f t="shared" si="35"/>
        <v>28.383871092887993</v>
      </c>
      <c r="CJ12" s="174">
        <f t="shared" si="36"/>
        <v>1.0471215347802783</v>
      </c>
      <c r="CK12" s="174">
        <f t="shared" si="37"/>
        <v>95.499898224310144</v>
      </c>
      <c r="CL12" s="174">
        <f t="shared" si="38"/>
        <v>0.95499898224310142</v>
      </c>
      <c r="DA12" s="155">
        <v>6</v>
      </c>
      <c r="DB12" s="155">
        <v>5.81</v>
      </c>
      <c r="DC12" s="155">
        <v>5.94</v>
      </c>
      <c r="DD12" s="155">
        <v>6.86</v>
      </c>
      <c r="DE12" s="155">
        <v>5.916666666666667</v>
      </c>
      <c r="DF12" s="155">
        <v>9.7125348562223365E-2</v>
      </c>
    </row>
    <row r="13" spans="1:125" x14ac:dyDescent="0.25">
      <c r="A13" s="155" t="s">
        <v>65</v>
      </c>
      <c r="B13" s="158">
        <v>43014.830555555556</v>
      </c>
      <c r="C13" s="318">
        <f t="shared" si="2"/>
        <v>30.916666666686069</v>
      </c>
      <c r="D13" s="174">
        <f t="shared" si="3"/>
        <v>0.93901924797638803</v>
      </c>
      <c r="E13" s="160">
        <v>0.27300000000000002</v>
      </c>
      <c r="F13" s="161">
        <v>0.27300000000000002</v>
      </c>
      <c r="G13" s="161">
        <v>0.25600000000000001</v>
      </c>
      <c r="H13" s="161">
        <v>1E-3</v>
      </c>
      <c r="I13" s="21">
        <f t="shared" si="4"/>
        <v>0.26733333333333337</v>
      </c>
      <c r="J13" s="21">
        <f t="shared" si="5"/>
        <v>9.8149545762236459E-3</v>
      </c>
      <c r="K13" s="160">
        <f t="shared" si="6"/>
        <v>0.25635225469755396</v>
      </c>
      <c r="L13" s="161">
        <f t="shared" si="7"/>
        <v>0.25635225469755396</v>
      </c>
      <c r="M13" s="161">
        <f t="shared" si="8"/>
        <v>0.24038892748195534</v>
      </c>
      <c r="N13" s="21">
        <f t="shared" si="9"/>
        <v>0.25103114562568773</v>
      </c>
      <c r="O13" s="22">
        <f t="shared" si="10"/>
        <v>9.2164312650879435E-3</v>
      </c>
      <c r="P13" s="163">
        <v>5.6</v>
      </c>
      <c r="Q13" s="163">
        <v>5.54</v>
      </c>
      <c r="R13" s="163">
        <v>5.63</v>
      </c>
      <c r="S13" s="163">
        <v>6.84</v>
      </c>
      <c r="T13" s="25">
        <f t="shared" si="11"/>
        <v>5.59</v>
      </c>
      <c r="U13" s="26">
        <f t="shared" si="12"/>
        <v>4.5825756949558302E-2</v>
      </c>
      <c r="V13" s="162"/>
      <c r="W13" s="163"/>
      <c r="X13" s="163"/>
      <c r="Y13" s="163"/>
      <c r="Z13" s="25"/>
      <c r="AA13" s="25"/>
      <c r="AB13" s="162"/>
      <c r="AC13" s="163"/>
      <c r="AD13" s="163"/>
      <c r="AE13" s="25"/>
      <c r="AF13" s="26"/>
      <c r="AG13" s="163"/>
      <c r="AH13" s="163"/>
      <c r="AI13" s="163"/>
      <c r="AJ13" s="163"/>
      <c r="AK13" s="25"/>
      <c r="AL13" s="25"/>
      <c r="AM13" s="162"/>
      <c r="AN13" s="163"/>
      <c r="AO13" s="163"/>
      <c r="AP13" s="25"/>
      <c r="AQ13" s="26"/>
      <c r="AR13" s="163"/>
      <c r="AS13" s="163"/>
      <c r="AT13" s="163"/>
      <c r="AU13" s="163"/>
      <c r="AV13" s="25"/>
      <c r="AW13" s="25"/>
      <c r="AX13" s="162"/>
      <c r="AY13" s="163"/>
      <c r="AZ13" s="163"/>
      <c r="BA13" s="25"/>
      <c r="BB13" s="26"/>
      <c r="BC13" s="155" t="s">
        <v>65</v>
      </c>
      <c r="BD13" s="166"/>
      <c r="BE13" s="167"/>
      <c r="BF13" s="167"/>
      <c r="BG13" s="135"/>
      <c r="BH13" s="135"/>
      <c r="BI13" s="166"/>
      <c r="BJ13" s="167"/>
      <c r="BK13" s="167"/>
      <c r="BL13" s="135"/>
      <c r="BM13" s="136"/>
      <c r="BN13" s="167"/>
      <c r="BO13" s="167"/>
      <c r="BP13" s="167"/>
      <c r="BQ13" s="135"/>
      <c r="BR13" s="135"/>
      <c r="BS13" s="166"/>
      <c r="BT13" s="167"/>
      <c r="BU13" s="167"/>
      <c r="BV13" s="135"/>
      <c r="BW13" s="136"/>
      <c r="BX13" s="165"/>
      <c r="BY13" s="165"/>
      <c r="BZ13" s="165"/>
      <c r="CA13" s="25"/>
      <c r="CB13" s="26"/>
      <c r="CC13" s="164"/>
      <c r="CD13" s="165"/>
      <c r="CE13" s="165"/>
      <c r="CF13" s="25"/>
      <c r="CG13" s="26"/>
      <c r="CH13" s="226">
        <f t="shared" si="34"/>
        <v>30.916666666686069</v>
      </c>
      <c r="CI13" s="174">
        <f t="shared" si="35"/>
        <v>28.866892839782366</v>
      </c>
      <c r="CJ13" s="174">
        <f t="shared" si="36"/>
        <v>1.0649408967441585</v>
      </c>
      <c r="CK13" s="174">
        <f t="shared" si="37"/>
        <v>93.901924797638799</v>
      </c>
      <c r="CL13" s="174">
        <f t="shared" si="38"/>
        <v>0.93901924797638803</v>
      </c>
      <c r="DA13" s="155">
        <v>5.6</v>
      </c>
      <c r="DB13" s="155">
        <v>5.54</v>
      </c>
      <c r="DC13" s="155">
        <v>5.63</v>
      </c>
      <c r="DD13" s="155">
        <v>6.84</v>
      </c>
      <c r="DE13" s="155">
        <v>5.59</v>
      </c>
      <c r="DF13" s="155">
        <v>4.5825756949558302E-2</v>
      </c>
    </row>
    <row r="14" spans="1:125" x14ac:dyDescent="0.25">
      <c r="A14" s="155" t="s">
        <v>66</v>
      </c>
      <c r="B14" s="158">
        <v>43015.720138888886</v>
      </c>
      <c r="C14" s="318">
        <f t="shared" si="2"/>
        <v>52.266666666604578</v>
      </c>
      <c r="D14" s="174">
        <f t="shared" si="3"/>
        <v>0.9010739115602846</v>
      </c>
      <c r="E14" s="160">
        <f>0.154*2</f>
        <v>0.308</v>
      </c>
      <c r="F14" s="161">
        <f>0.154*2</f>
        <v>0.308</v>
      </c>
      <c r="G14" s="161">
        <v>0.28399999999999997</v>
      </c>
      <c r="H14" s="161">
        <v>2E-3</v>
      </c>
      <c r="I14" s="21">
        <f t="shared" si="4"/>
        <v>0.3</v>
      </c>
      <c r="J14" s="21">
        <f t="shared" si="5"/>
        <v>1.3856406460551031E-2</v>
      </c>
      <c r="K14" s="160">
        <f t="shared" si="6"/>
        <v>0.27753076476056765</v>
      </c>
      <c r="L14" s="161">
        <f t="shared" si="7"/>
        <v>0.27753076476056765</v>
      </c>
      <c r="M14" s="161">
        <f t="shared" si="8"/>
        <v>0.2559049908831208</v>
      </c>
      <c r="N14" s="21">
        <f t="shared" si="9"/>
        <v>0.27032217346808535</v>
      </c>
      <c r="O14" s="22">
        <f t="shared" si="10"/>
        <v>1.2485646369577916E-2</v>
      </c>
      <c r="P14" s="163">
        <v>5.96</v>
      </c>
      <c r="Q14" s="163">
        <v>5.92</v>
      </c>
      <c r="R14" s="163">
        <v>5.99</v>
      </c>
      <c r="S14" s="163">
        <v>6.76</v>
      </c>
      <c r="T14" s="25">
        <f>AVERAGE(P14:R14)</f>
        <v>5.9566666666666661</v>
      </c>
      <c r="U14" s="26">
        <f t="shared" si="12"/>
        <v>3.5118845842842597E-2</v>
      </c>
      <c r="V14" s="162">
        <v>24.12146353181538</v>
      </c>
      <c r="W14" s="163">
        <v>24.471278185873448</v>
      </c>
      <c r="X14" s="163">
        <v>24.333381205110094</v>
      </c>
      <c r="Y14" s="163">
        <v>29.875477744559966</v>
      </c>
      <c r="Z14" s="25">
        <f t="shared" si="13"/>
        <v>24.308707640932976</v>
      </c>
      <c r="AA14" s="25">
        <f t="shared" si="14"/>
        <v>0.17620772294466369</v>
      </c>
      <c r="AB14" s="162">
        <f t="shared" si="15"/>
        <v>21.73522149717164</v>
      </c>
      <c r="AC14" s="163">
        <f t="shared" si="16"/>
        <v>22.050430355824854</v>
      </c>
      <c r="AD14" s="163">
        <f t="shared" si="17"/>
        <v>21.926174983976065</v>
      </c>
      <c r="AE14" s="25">
        <f t="shared" si="18"/>
        <v>21.903942278990854</v>
      </c>
      <c r="AF14" s="26">
        <f t="shared" si="19"/>
        <v>0.15877618216088055</v>
      </c>
      <c r="AG14" s="163">
        <v>1.4159123893634062</v>
      </c>
      <c r="AH14" s="163">
        <v>1.3886990814989315</v>
      </c>
      <c r="AI14" s="163">
        <v>1.4337697232414186</v>
      </c>
      <c r="AJ14" s="163">
        <v>0</v>
      </c>
      <c r="AK14" s="25">
        <f t="shared" si="20"/>
        <v>1.4127937313679189</v>
      </c>
      <c r="AL14" s="25">
        <f t="shared" si="21"/>
        <v>2.2696590218345979E-2</v>
      </c>
      <c r="AM14" s="162">
        <f t="shared" si="22"/>
        <v>1.2758417151103532</v>
      </c>
      <c r="AN14" s="163">
        <f t="shared" si="23"/>
        <v>1.2513205133464167</v>
      </c>
      <c r="AO14" s="163">
        <f t="shared" si="24"/>
        <v>1.2919324927978517</v>
      </c>
      <c r="AP14" s="25">
        <f t="shared" si="25"/>
        <v>1.2730315737515403</v>
      </c>
      <c r="AQ14" s="26">
        <f t="shared" si="26"/>
        <v>2.0451305327125871E-2</v>
      </c>
      <c r="AR14" s="163">
        <v>1.1623566045420106</v>
      </c>
      <c r="AS14" s="163">
        <v>1.2245472215676236</v>
      </c>
      <c r="AT14" s="163">
        <v>1.0554626790273276</v>
      </c>
      <c r="AU14" s="163">
        <v>0.13601587850021196</v>
      </c>
      <c r="AV14" s="25">
        <f t="shared" si="27"/>
        <v>1.1474555017123207</v>
      </c>
      <c r="AW14" s="25">
        <f t="shared" si="28"/>
        <v>8.5521504784884614E-2</v>
      </c>
      <c r="AX14" s="162">
        <f t="shared" si="29"/>
        <v>1.0473692122826004</v>
      </c>
      <c r="AY14" s="163">
        <f t="shared" si="30"/>
        <v>1.1034075548282172</v>
      </c>
      <c r="AZ14" s="163">
        <f t="shared" si="31"/>
        <v>0.95104988469705121</v>
      </c>
      <c r="BA14" s="25">
        <f t="shared" si="32"/>
        <v>1.0339422172692896</v>
      </c>
      <c r="BB14" s="26">
        <f t="shared" si="33"/>
        <v>7.7061196839037616E-2</v>
      </c>
      <c r="BC14" s="155" t="s">
        <v>66</v>
      </c>
      <c r="BD14" s="166">
        <v>150000000</v>
      </c>
      <c r="BE14" s="167">
        <v>-40000000</v>
      </c>
      <c r="BF14" s="167">
        <v>0</v>
      </c>
      <c r="BG14" s="135">
        <f t="shared" si="45"/>
        <v>36666666.666666664</v>
      </c>
      <c r="BH14" s="135">
        <f t="shared" si="46"/>
        <v>100166528.00877813</v>
      </c>
      <c r="BI14" s="166">
        <f t="shared" si="47"/>
        <v>135161086.7340427</v>
      </c>
      <c r="BJ14" s="167">
        <f t="shared" si="48"/>
        <v>-36042956.462411381</v>
      </c>
      <c r="BK14" s="167">
        <f t="shared" si="49"/>
        <v>0</v>
      </c>
      <c r="BL14" s="135">
        <f t="shared" si="50"/>
        <v>33039376.757210445</v>
      </c>
      <c r="BM14" s="136">
        <f t="shared" si="51"/>
        <v>90257445.200282529</v>
      </c>
      <c r="BN14" s="167">
        <v>310000000</v>
      </c>
      <c r="BO14" s="167">
        <v>410000000</v>
      </c>
      <c r="BP14" s="167">
        <v>340000000</v>
      </c>
      <c r="BQ14" s="135">
        <f t="shared" si="52"/>
        <v>353333333.33333331</v>
      </c>
      <c r="BR14" s="135">
        <f t="shared" si="53"/>
        <v>51316014.394468948</v>
      </c>
      <c r="BS14" s="166">
        <f t="shared" si="54"/>
        <v>279332912.5836882</v>
      </c>
      <c r="BT14" s="167">
        <f t="shared" si="55"/>
        <v>369440303.73971671</v>
      </c>
      <c r="BU14" s="167">
        <f t="shared" si="56"/>
        <v>306365129.93049675</v>
      </c>
      <c r="BV14" s="135">
        <f t="shared" si="57"/>
        <v>318379448.75130057</v>
      </c>
      <c r="BW14" s="136">
        <f t="shared" si="58"/>
        <v>46239521.816108093</v>
      </c>
      <c r="BX14" s="174">
        <v>0.32608695652173914</v>
      </c>
      <c r="BY14" s="174">
        <v>-0.10810810810810811</v>
      </c>
      <c r="BZ14" s="174">
        <v>0</v>
      </c>
      <c r="CA14" s="25">
        <f t="shared" ref="CA14:CA16" si="70">AVERAGE(BX14:BZ14)</f>
        <v>7.2659616137877012E-2</v>
      </c>
      <c r="CB14" s="26">
        <f t="shared" ref="CB14:CB16" si="71">STDEV(BX14:BZ14)</f>
        <v>0.22603296971947928</v>
      </c>
      <c r="CC14" s="174">
        <v>0.67391304347826086</v>
      </c>
      <c r="CD14" s="174">
        <v>1.1081081081081081</v>
      </c>
      <c r="CE14" s="174">
        <v>1</v>
      </c>
      <c r="CF14" s="25">
        <f t="shared" ref="CF14:CF16" si="72">AVERAGE(CC14:CE14)</f>
        <v>0.92734038386212303</v>
      </c>
      <c r="CG14" s="26">
        <f t="shared" ref="CG14:CG16" si="73">STDEV(CC14:CE14)</f>
        <v>0.22603296971947956</v>
      </c>
      <c r="CH14" s="226">
        <f t="shared" si="34"/>
        <v>52.266666666604578</v>
      </c>
      <c r="CI14" s="174">
        <f t="shared" si="35"/>
        <v>30.08251338548925</v>
      </c>
      <c r="CJ14" s="174">
        <f t="shared" si="36"/>
        <v>1.1097868744955857</v>
      </c>
      <c r="CK14" s="174">
        <f t="shared" si="37"/>
        <v>90.107391156028456</v>
      </c>
      <c r="CL14" s="174">
        <f t="shared" si="38"/>
        <v>0.9010739115602846</v>
      </c>
      <c r="CV14" s="155">
        <v>1.2758417151103532</v>
      </c>
      <c r="CW14" s="155">
        <v>1.2513205133464167</v>
      </c>
      <c r="CX14" s="155">
        <v>1.2919324927978517</v>
      </c>
      <c r="CY14" s="155">
        <v>1.2730315737515403</v>
      </c>
      <c r="CZ14" s="155">
        <v>2.0451305327125871E-2</v>
      </c>
      <c r="DA14" s="155">
        <v>5.96</v>
      </c>
      <c r="DB14" s="155">
        <v>5.92</v>
      </c>
      <c r="DC14" s="155">
        <v>5.99</v>
      </c>
      <c r="DD14" s="155">
        <v>6.76</v>
      </c>
      <c r="DE14" s="155">
        <v>5.9566666666666661</v>
      </c>
      <c r="DF14" s="155">
        <v>3.5118845842842597E-2</v>
      </c>
      <c r="DG14" s="155">
        <f t="shared" si="39"/>
        <v>1.0054505199847848E-2</v>
      </c>
      <c r="DH14" s="155">
        <f t="shared" si="0"/>
        <v>1.080444329767857E-2</v>
      </c>
      <c r="DI14" s="155">
        <f t="shared" si="0"/>
        <v>9.5067533436529877E-3</v>
      </c>
      <c r="DJ14" s="155">
        <f t="shared" si="40"/>
        <v>1.0121900613726469E-2</v>
      </c>
      <c r="DK14" s="155">
        <f t="shared" si="41"/>
        <v>6.5146481912197851E-4</v>
      </c>
      <c r="DL14" s="155">
        <v>1.0473692122826004</v>
      </c>
      <c r="DM14" s="155">
        <v>1.1034075548282172</v>
      </c>
      <c r="DN14" s="155">
        <v>0.95104988469705121</v>
      </c>
      <c r="DO14" s="155">
        <v>1.0339422172692896</v>
      </c>
      <c r="DP14" s="155">
        <v>7.7061196839037616E-2</v>
      </c>
      <c r="DQ14" s="155">
        <f t="shared" si="42"/>
        <v>6.2162350525775102E-2</v>
      </c>
      <c r="DR14" s="155">
        <f t="shared" si="1"/>
        <v>7.1397641999056488E-2</v>
      </c>
      <c r="DS14" s="155">
        <f t="shared" si="1"/>
        <v>5.2887709815913432E-2</v>
      </c>
      <c r="DT14" s="155">
        <f t="shared" si="43"/>
        <v>6.2149234113581669E-2</v>
      </c>
      <c r="DU14" s="155">
        <f t="shared" si="44"/>
        <v>9.2549730624319881E-3</v>
      </c>
    </row>
    <row r="15" spans="1:125" x14ac:dyDescent="0.25">
      <c r="A15" s="155" t="s">
        <v>142</v>
      </c>
      <c r="B15" s="158">
        <v>43016.654166666667</v>
      </c>
      <c r="C15" s="318">
        <f t="shared" si="2"/>
        <v>74.683333333348855</v>
      </c>
      <c r="D15" s="174">
        <f t="shared" si="3"/>
        <v>0.86439881787354711</v>
      </c>
      <c r="E15" s="160">
        <f>0.171*2</f>
        <v>0.34200000000000003</v>
      </c>
      <c r="F15" s="161">
        <f>0.172*2</f>
        <v>0.34399999999999997</v>
      </c>
      <c r="G15" s="161">
        <f>0.156*2</f>
        <v>0.312</v>
      </c>
      <c r="H15" s="161">
        <v>0</v>
      </c>
      <c r="I15" s="21">
        <f t="shared" si="4"/>
        <v>0.33266666666666667</v>
      </c>
      <c r="J15" s="21">
        <f t="shared" si="5"/>
        <v>1.7925772879665004E-2</v>
      </c>
      <c r="K15" s="160">
        <f t="shared" si="6"/>
        <v>0.29562439571275312</v>
      </c>
      <c r="L15" s="161">
        <f t="shared" si="7"/>
        <v>0.29735319334850019</v>
      </c>
      <c r="M15" s="161">
        <f t="shared" si="8"/>
        <v>0.26969243117654668</v>
      </c>
      <c r="N15" s="21">
        <f t="shared" si="9"/>
        <v>0.28755667341259999</v>
      </c>
      <c r="O15" s="22">
        <f t="shared" si="10"/>
        <v>1.5495016886652127E-2</v>
      </c>
      <c r="P15" s="163">
        <v>6.33</v>
      </c>
      <c r="Q15" s="163">
        <v>6.29</v>
      </c>
      <c r="R15" s="163">
        <v>6.41</v>
      </c>
      <c r="S15" s="163">
        <v>6.66</v>
      </c>
      <c r="T15" s="25">
        <f t="shared" si="11"/>
        <v>6.3433333333333337</v>
      </c>
      <c r="U15" s="26">
        <f t="shared" si="12"/>
        <v>6.1101009266077921E-2</v>
      </c>
      <c r="V15" s="162"/>
      <c r="W15" s="163"/>
      <c r="X15" s="163"/>
      <c r="Y15" s="163"/>
      <c r="Z15" s="25"/>
      <c r="AA15" s="25"/>
      <c r="AB15" s="162"/>
      <c r="AC15" s="163"/>
      <c r="AD15" s="163"/>
      <c r="AE15" s="25"/>
      <c r="AF15" s="26"/>
      <c r="AG15" s="163"/>
      <c r="AH15" s="163"/>
      <c r="AI15" s="163"/>
      <c r="AJ15" s="163"/>
      <c r="AK15" s="25"/>
      <c r="AL15" s="25"/>
      <c r="AM15" s="162"/>
      <c r="AN15" s="163"/>
      <c r="AO15" s="163"/>
      <c r="AP15" s="25"/>
      <c r="AQ15" s="26"/>
      <c r="AR15" s="163"/>
      <c r="AS15" s="163"/>
      <c r="AT15" s="163"/>
      <c r="AU15" s="163"/>
      <c r="AV15" s="25"/>
      <c r="AW15" s="25"/>
      <c r="AX15" s="162"/>
      <c r="AY15" s="163"/>
      <c r="AZ15" s="163"/>
      <c r="BA15" s="25"/>
      <c r="BB15" s="26"/>
      <c r="BC15" s="155" t="s">
        <v>142</v>
      </c>
      <c r="BD15" s="166"/>
      <c r="BE15" s="167"/>
      <c r="BF15" s="167"/>
      <c r="BG15" s="135"/>
      <c r="BH15" s="135"/>
      <c r="BI15" s="166"/>
      <c r="BJ15" s="167"/>
      <c r="BK15" s="167"/>
      <c r="BL15" s="135"/>
      <c r="BM15" s="136"/>
      <c r="BN15" s="167"/>
      <c r="BO15" s="167"/>
      <c r="BP15" s="167"/>
      <c r="BQ15" s="135"/>
      <c r="BR15" s="135"/>
      <c r="BS15" s="166"/>
      <c r="BT15" s="167"/>
      <c r="BU15" s="167"/>
      <c r="BV15" s="135"/>
      <c r="BW15" s="136"/>
      <c r="BX15" s="163"/>
      <c r="BY15" s="163"/>
      <c r="BZ15" s="163"/>
      <c r="CA15" s="25"/>
      <c r="CB15" s="26"/>
      <c r="CC15" s="162"/>
      <c r="CD15" s="163"/>
      <c r="CE15" s="163"/>
      <c r="CF15" s="25"/>
      <c r="CG15" s="26"/>
      <c r="CH15" s="226">
        <f t="shared" si="34"/>
        <v>74.683333333348855</v>
      </c>
      <c r="CI15" s="174">
        <f t="shared" si="35"/>
        <v>31.358867510382041</v>
      </c>
      <c r="CJ15" s="174">
        <f t="shared" si="36"/>
        <v>1.1568734007064434</v>
      </c>
      <c r="CK15" s="174">
        <f t="shared" si="37"/>
        <v>86.439881787354707</v>
      </c>
      <c r="CL15" s="174">
        <f t="shared" si="38"/>
        <v>0.86439881787354711</v>
      </c>
      <c r="DA15" s="155">
        <v>6.33</v>
      </c>
      <c r="DB15" s="155">
        <v>6.29</v>
      </c>
      <c r="DC15" s="155">
        <v>6.41</v>
      </c>
      <c r="DD15" s="155">
        <v>6.66</v>
      </c>
      <c r="DE15" s="155">
        <v>6.3433333333333337</v>
      </c>
      <c r="DF15" s="155">
        <v>6.1101009266077921E-2</v>
      </c>
    </row>
    <row r="16" spans="1:125" x14ac:dyDescent="0.25">
      <c r="A16" s="155" t="s">
        <v>143</v>
      </c>
      <c r="B16" s="158">
        <v>43017.665972222225</v>
      </c>
      <c r="C16" s="318">
        <f t="shared" si="2"/>
        <v>98.966666666732635</v>
      </c>
      <c r="D16" s="174">
        <f t="shared" si="3"/>
        <v>0.82789620317194601</v>
      </c>
      <c r="E16" s="160">
        <f>0.19*2</f>
        <v>0.38</v>
      </c>
      <c r="F16" s="161">
        <f>0.192*2</f>
        <v>0.38400000000000001</v>
      </c>
      <c r="G16" s="161">
        <f>0.172*2</f>
        <v>0.34399999999999997</v>
      </c>
      <c r="H16" s="161">
        <v>0</v>
      </c>
      <c r="I16" s="21">
        <f>AVERAGE(E16:G16)</f>
        <v>0.36933333333333335</v>
      </c>
      <c r="J16" s="21">
        <f t="shared" si="5"/>
        <v>2.2030282189144428E-2</v>
      </c>
      <c r="K16" s="160">
        <f t="shared" si="6"/>
        <v>0.31460055720533947</v>
      </c>
      <c r="L16" s="161">
        <f t="shared" si="7"/>
        <v>0.31791214201802726</v>
      </c>
      <c r="M16" s="161">
        <f t="shared" si="8"/>
        <v>0.28479629389114941</v>
      </c>
      <c r="N16" s="21">
        <f t="shared" si="9"/>
        <v>0.30576966437150538</v>
      </c>
      <c r="O16" s="22">
        <f t="shared" si="10"/>
        <v>1.8238786979199204E-2</v>
      </c>
      <c r="P16" s="163">
        <v>6.46</v>
      </c>
      <c r="Q16" s="163">
        <v>6.44</v>
      </c>
      <c r="R16" s="163">
        <v>6.47</v>
      </c>
      <c r="S16" s="163">
        <v>6.59</v>
      </c>
      <c r="T16" s="25">
        <f t="shared" si="11"/>
        <v>6.456666666666667</v>
      </c>
      <c r="U16" s="26">
        <f t="shared" si="12"/>
        <v>1.5275252316519142E-2</v>
      </c>
      <c r="V16" s="162"/>
      <c r="W16" s="163"/>
      <c r="X16" s="163"/>
      <c r="Y16" s="163"/>
      <c r="Z16" s="25"/>
      <c r="AA16" s="25"/>
      <c r="AB16" s="162"/>
      <c r="AC16" s="163"/>
      <c r="AD16" s="163"/>
      <c r="AE16" s="25"/>
      <c r="AF16" s="26"/>
      <c r="AG16" s="163"/>
      <c r="AH16" s="163"/>
      <c r="AI16" s="163"/>
      <c r="AJ16" s="163"/>
      <c r="AK16" s="25"/>
      <c r="AL16" s="25"/>
      <c r="AM16" s="162"/>
      <c r="AN16" s="163"/>
      <c r="AO16" s="163"/>
      <c r="AP16" s="25"/>
      <c r="AQ16" s="26"/>
      <c r="AR16" s="163"/>
      <c r="AS16" s="163"/>
      <c r="AT16" s="163"/>
      <c r="AU16" s="163"/>
      <c r="AV16" s="25"/>
      <c r="AW16" s="25"/>
      <c r="AX16" s="162"/>
      <c r="AY16" s="163"/>
      <c r="AZ16" s="163"/>
      <c r="BA16" s="25"/>
      <c r="BB16" s="26"/>
      <c r="BC16" s="155" t="s">
        <v>143</v>
      </c>
      <c r="BD16" s="166">
        <v>60000000</v>
      </c>
      <c r="BE16" s="167">
        <v>170000000</v>
      </c>
      <c r="BF16" s="167">
        <v>-90000000</v>
      </c>
      <c r="BG16" s="135">
        <f t="shared" si="45"/>
        <v>46666666.666666664</v>
      </c>
      <c r="BH16" s="135">
        <f t="shared" si="46"/>
        <v>130511813.00301263</v>
      </c>
      <c r="BI16" s="166">
        <f t="shared" si="47"/>
        <v>49673772.190316759</v>
      </c>
      <c r="BJ16" s="167">
        <f t="shared" si="48"/>
        <v>140742354.53923082</v>
      </c>
      <c r="BK16" s="167">
        <f t="shared" si="49"/>
        <v>-74510658.285475135</v>
      </c>
      <c r="BL16" s="135">
        <f t="shared" si="50"/>
        <v>38635156.148024149</v>
      </c>
      <c r="BM16" s="136">
        <f t="shared" si="51"/>
        <v>108050234.45428117</v>
      </c>
      <c r="BN16" s="167">
        <v>450000000</v>
      </c>
      <c r="BO16" s="167">
        <v>360000000</v>
      </c>
      <c r="BP16" s="167">
        <v>480000000</v>
      </c>
      <c r="BQ16" s="135">
        <f t="shared" si="52"/>
        <v>430000000</v>
      </c>
      <c r="BR16" s="135">
        <f t="shared" si="53"/>
        <v>62449979.983983979</v>
      </c>
      <c r="BS16" s="166">
        <f t="shared" si="54"/>
        <v>372553291.42737573</v>
      </c>
      <c r="BT16" s="167">
        <f t="shared" si="55"/>
        <v>298042633.14190054</v>
      </c>
      <c r="BU16" s="167">
        <f t="shared" si="56"/>
        <v>397390177.52253407</v>
      </c>
      <c r="BV16" s="135">
        <f t="shared" si="57"/>
        <v>355995367.36393684</v>
      </c>
      <c r="BW16" s="136">
        <f t="shared" si="58"/>
        <v>51702101.316903859</v>
      </c>
      <c r="BX16" s="174">
        <v>0.11764705882352941</v>
      </c>
      <c r="BY16" s="174">
        <v>0.32075471698113206</v>
      </c>
      <c r="BZ16" s="174">
        <v>-0.23076923076923078</v>
      </c>
      <c r="CA16" s="25">
        <f t="shared" si="70"/>
        <v>6.9210848345143558E-2</v>
      </c>
      <c r="CB16" s="26">
        <f t="shared" si="71"/>
        <v>0.27893407124205194</v>
      </c>
      <c r="CC16" s="174">
        <v>0.88235294117647056</v>
      </c>
      <c r="CD16" s="174">
        <v>0.67924528301886788</v>
      </c>
      <c r="CE16" s="174">
        <v>1.2307692307692308</v>
      </c>
      <c r="CF16" s="25">
        <f t="shared" si="72"/>
        <v>0.93078915165485643</v>
      </c>
      <c r="CG16" s="26">
        <f t="shared" si="73"/>
        <v>0.27893407124205238</v>
      </c>
      <c r="CH16" s="226">
        <f t="shared" si="34"/>
        <v>98.966666666732635</v>
      </c>
      <c r="CI16" s="174">
        <f t="shared" si="35"/>
        <v>32.741505398832757</v>
      </c>
      <c r="CJ16" s="174">
        <f t="shared" si="36"/>
        <v>1.2078808867206625</v>
      </c>
      <c r="CK16" s="174">
        <f t="shared" si="37"/>
        <v>82.789620317194604</v>
      </c>
      <c r="CL16" s="174">
        <f t="shared" si="38"/>
        <v>0.82789620317194601</v>
      </c>
      <c r="DA16" s="155">
        <v>6.46</v>
      </c>
      <c r="DB16" s="155">
        <v>6.44</v>
      </c>
      <c r="DC16" s="155">
        <v>6.47</v>
      </c>
      <c r="DD16" s="155">
        <v>6.59</v>
      </c>
      <c r="DE16" s="155">
        <v>6.456666666666667</v>
      </c>
      <c r="DF16" s="155">
        <v>1.5275252316519142E-2</v>
      </c>
    </row>
    <row r="17" spans="1:125" x14ac:dyDescent="0.25">
      <c r="A17" s="155" t="s">
        <v>144</v>
      </c>
      <c r="B17" s="158">
        <v>43018.838194444441</v>
      </c>
      <c r="C17" s="319">
        <f t="shared" si="2"/>
        <v>127.09999999991851</v>
      </c>
      <c r="D17" s="235">
        <f t="shared" si="3"/>
        <v>0.78928133697451242</v>
      </c>
      <c r="E17" s="177">
        <f>0.212*2</f>
        <v>0.42399999999999999</v>
      </c>
      <c r="F17" s="178">
        <f>0.219*2</f>
        <v>0.438</v>
      </c>
      <c r="G17" s="178">
        <f>0.191*2</f>
        <v>0.38200000000000001</v>
      </c>
      <c r="H17" s="178">
        <v>2E-3</v>
      </c>
      <c r="I17" s="42">
        <f t="shared" si="4"/>
        <v>0.41466666666666668</v>
      </c>
      <c r="J17" s="42">
        <f t="shared" si="5"/>
        <v>2.9143323992525852E-2</v>
      </c>
      <c r="K17" s="177">
        <f t="shared" si="6"/>
        <v>0.33465528687719326</v>
      </c>
      <c r="L17" s="178">
        <f t="shared" si="7"/>
        <v>0.34570522559483646</v>
      </c>
      <c r="M17" s="178">
        <f t="shared" si="8"/>
        <v>0.30150547072426376</v>
      </c>
      <c r="N17" s="42">
        <f t="shared" si="9"/>
        <v>0.32728866106543114</v>
      </c>
      <c r="O17" s="43">
        <f t="shared" si="10"/>
        <v>2.3002281724702197E-2</v>
      </c>
      <c r="P17" s="180">
        <v>6.54</v>
      </c>
      <c r="Q17" s="180">
        <v>6.52</v>
      </c>
      <c r="R17" s="180">
        <v>6.52</v>
      </c>
      <c r="S17" s="180">
        <v>6.54</v>
      </c>
      <c r="T17" s="46">
        <f t="shared" si="11"/>
        <v>6.5266666666666664</v>
      </c>
      <c r="U17" s="47">
        <f t="shared" si="12"/>
        <v>1.1547005383792781E-2</v>
      </c>
      <c r="V17" s="179">
        <v>25.89066898375097</v>
      </c>
      <c r="W17" s="180">
        <v>27.588913402173723</v>
      </c>
      <c r="X17" s="180">
        <v>25.939351584588984</v>
      </c>
      <c r="Y17" s="180">
        <v>34.496585811984936</v>
      </c>
      <c r="Z17" s="46">
        <f t="shared" si="13"/>
        <v>26.472977990171227</v>
      </c>
      <c r="AA17" s="46">
        <f t="shared" si="14"/>
        <v>0.96673490767995773</v>
      </c>
      <c r="AB17" s="179">
        <f t="shared" si="15"/>
        <v>20.435021830659508</v>
      </c>
      <c r="AC17" s="180">
        <f t="shared" si="16"/>
        <v>21.775414455741721</v>
      </c>
      <c r="AD17" s="180">
        <f t="shared" si="17"/>
        <v>20.473446098936328</v>
      </c>
      <c r="AE17" s="46">
        <f t="shared" si="18"/>
        <v>20.894627461779187</v>
      </c>
      <c r="AF17" s="47">
        <f t="shared" si="19"/>
        <v>0.76302582043356937</v>
      </c>
      <c r="AG17" s="180">
        <v>0.24657757809069977</v>
      </c>
      <c r="AH17" s="180">
        <v>0.15722211063247443</v>
      </c>
      <c r="AI17" s="180">
        <v>0.23538805919232864</v>
      </c>
      <c r="AJ17" s="180">
        <v>0</v>
      </c>
      <c r="AK17" s="46">
        <f t="shared" si="20"/>
        <v>0.21306258263850095</v>
      </c>
      <c r="AL17" s="46">
        <f t="shared" si="21"/>
        <v>4.8681824829048238E-2</v>
      </c>
      <c r="AM17" s="179">
        <f t="shared" si="22"/>
        <v>0.19461908050336477</v>
      </c>
      <c r="AN17" s="180">
        <f t="shared" si="23"/>
        <v>0.12409247768195412</v>
      </c>
      <c r="AO17" s="180">
        <f t="shared" si="24"/>
        <v>0.18578740206715683</v>
      </c>
      <c r="AP17" s="46">
        <f t="shared" si="25"/>
        <v>0.16816632008415855</v>
      </c>
      <c r="AQ17" s="47">
        <f t="shared" si="26"/>
        <v>3.8423655787430185E-2</v>
      </c>
      <c r="AR17" s="180">
        <v>0</v>
      </c>
      <c r="AS17" s="180">
        <v>0</v>
      </c>
      <c r="AT17" s="180">
        <v>0</v>
      </c>
      <c r="AU17" s="320">
        <v>0.14533690494146523</v>
      </c>
      <c r="AV17" s="46">
        <f t="shared" si="27"/>
        <v>0</v>
      </c>
      <c r="AW17" s="46">
        <f t="shared" si="28"/>
        <v>0</v>
      </c>
      <c r="AX17" s="179">
        <f t="shared" si="29"/>
        <v>0</v>
      </c>
      <c r="AY17" s="180">
        <f t="shared" si="30"/>
        <v>0</v>
      </c>
      <c r="AZ17" s="180">
        <f t="shared" si="31"/>
        <v>0</v>
      </c>
      <c r="BA17" s="46">
        <f t="shared" si="32"/>
        <v>0</v>
      </c>
      <c r="BB17" s="47">
        <f t="shared" si="33"/>
        <v>0</v>
      </c>
      <c r="BC17" s="182" t="s">
        <v>144</v>
      </c>
      <c r="BD17" s="236"/>
      <c r="BE17" s="237"/>
      <c r="BF17" s="237"/>
      <c r="BG17" s="104"/>
      <c r="BH17" s="104"/>
      <c r="BI17" s="181"/>
      <c r="BJ17" s="182"/>
      <c r="BK17" s="182"/>
      <c r="BL17" s="104"/>
      <c r="BM17" s="213"/>
      <c r="BN17" s="182"/>
      <c r="BO17" s="182"/>
      <c r="BP17" s="182"/>
      <c r="BQ17" s="104"/>
      <c r="BR17" s="221"/>
      <c r="BS17" s="181"/>
      <c r="BT17" s="182"/>
      <c r="BU17" s="182"/>
      <c r="BV17" s="104"/>
      <c r="BW17" s="213"/>
      <c r="BX17" s="182"/>
      <c r="BY17" s="182"/>
      <c r="BZ17" s="182"/>
      <c r="CA17" s="104"/>
      <c r="CB17" s="80"/>
      <c r="CC17" s="181"/>
      <c r="CD17" s="182"/>
      <c r="CE17" s="182"/>
      <c r="CF17" s="104"/>
      <c r="CG17" s="80"/>
      <c r="CH17" s="226">
        <f t="shared" si="34"/>
        <v>127.09999999991851</v>
      </c>
      <c r="CI17" s="174">
        <f t="shared" si="35"/>
        <v>34.343353549613632</v>
      </c>
      <c r="CJ17" s="174">
        <f t="shared" si="36"/>
        <v>1.2669753523290164</v>
      </c>
      <c r="CK17" s="174">
        <f t="shared" si="37"/>
        <v>78.928133697451244</v>
      </c>
      <c r="CL17" s="174">
        <f t="shared" si="38"/>
        <v>0.78928133697451242</v>
      </c>
      <c r="CV17" s="155">
        <v>0.19461908050336477</v>
      </c>
      <c r="CW17" s="155">
        <v>0.12409247768195412</v>
      </c>
      <c r="CX17" s="155">
        <v>0.18578740206715683</v>
      </c>
      <c r="CY17" s="155">
        <v>0.16816632008415855</v>
      </c>
      <c r="CZ17" s="155">
        <v>3.8423655787430185E-2</v>
      </c>
      <c r="DA17" s="155">
        <v>6.54</v>
      </c>
      <c r="DB17" s="155">
        <v>6.52</v>
      </c>
      <c r="DC17" s="155">
        <v>6.52</v>
      </c>
      <c r="DD17" s="155">
        <v>6.54</v>
      </c>
      <c r="DE17" s="155">
        <v>6.5266666666666664</v>
      </c>
      <c r="DF17" s="155">
        <v>1.1547005383792781E-2</v>
      </c>
      <c r="DG17" s="155">
        <f t="shared" si="39"/>
        <v>4.0576912003354425E-4</v>
      </c>
      <c r="DH17" s="155">
        <f t="shared" si="0"/>
        <v>2.7089211312407224E-4</v>
      </c>
      <c r="DI17" s="155">
        <f t="shared" si="0"/>
        <v>4.0557125522784713E-4</v>
      </c>
      <c r="DJ17" s="155">
        <f t="shared" si="40"/>
        <v>3.6074416279515455E-4</v>
      </c>
      <c r="DK17" s="155">
        <f t="shared" si="41"/>
        <v>7.7814220488232826E-5</v>
      </c>
      <c r="DL17" s="155">
        <v>0</v>
      </c>
      <c r="DM17" s="155">
        <v>0</v>
      </c>
      <c r="DN17" s="155">
        <v>0</v>
      </c>
      <c r="DO17" s="155">
        <v>0</v>
      </c>
      <c r="DP17" s="155">
        <v>0</v>
      </c>
      <c r="DQ17" s="155">
        <f t="shared" si="42"/>
        <v>0</v>
      </c>
      <c r="DR17" s="155">
        <f t="shared" si="1"/>
        <v>0</v>
      </c>
      <c r="DS17" s="155">
        <f t="shared" si="1"/>
        <v>0</v>
      </c>
      <c r="DT17" s="155">
        <f t="shared" si="43"/>
        <v>0</v>
      </c>
      <c r="DU17" s="155">
        <f t="shared" si="44"/>
        <v>0</v>
      </c>
    </row>
    <row r="18" spans="1:125" ht="18.75" x14ac:dyDescent="0.35">
      <c r="C18" s="259" t="s">
        <v>117</v>
      </c>
      <c r="D18" s="321"/>
      <c r="E18" s="231">
        <f>LN(LOGEST(E6:E8,$C$6:$C$8))</f>
        <v>0.17937896581294588</v>
      </c>
      <c r="F18" s="231">
        <f t="shared" ref="F18:G18" si="74">LN(LOGEST(F6:F8,$C$6:$C$8))</f>
        <v>0.17707628607751022</v>
      </c>
      <c r="G18" s="231">
        <f t="shared" si="74"/>
        <v>0.17338344199831984</v>
      </c>
      <c r="H18" s="231"/>
      <c r="I18" s="202">
        <f>AVERAGE(E18:G18)</f>
        <v>0.17661289796292534</v>
      </c>
      <c r="J18" s="51">
        <f>STDEV(E18:G18)</f>
        <v>3.0245037380520626E-3</v>
      </c>
      <c r="K18" s="230">
        <f>LN(LOGEST(K6:K8,$C$6:$C$8))</f>
        <v>0.17728998547124583</v>
      </c>
      <c r="L18" s="231">
        <f t="shared" ref="L18:M18" si="75">LN(LOGEST(L6:L8,$C$6:$C$8))</f>
        <v>0.17498730573581001</v>
      </c>
      <c r="M18" s="231">
        <f t="shared" si="75"/>
        <v>0.17129446165661977</v>
      </c>
      <c r="N18" s="202">
        <f>AVERAGE(K18:M18)</f>
        <v>0.17452391762122521</v>
      </c>
      <c r="O18" s="51">
        <f>STDEV(K18:M18)</f>
        <v>3.0245037380520648E-3</v>
      </c>
      <c r="P18" s="321"/>
      <c r="Q18" s="322"/>
      <c r="R18" s="322"/>
      <c r="S18" s="322"/>
      <c r="T18" s="322"/>
      <c r="U18" s="241"/>
      <c r="V18" s="321"/>
      <c r="W18" s="322"/>
      <c r="X18" s="322"/>
      <c r="Y18" s="323"/>
      <c r="Z18" s="322"/>
      <c r="AA18" s="324" t="s">
        <v>87</v>
      </c>
      <c r="AB18" s="230">
        <f>AB6-AB8</f>
        <v>8.4376630509481743E-3</v>
      </c>
      <c r="AC18" s="231">
        <f>AC6-AC8</f>
        <v>0.1107914114599069</v>
      </c>
      <c r="AD18" s="231">
        <f>AD6-AD8</f>
        <v>1.3437759564173746</v>
      </c>
      <c r="AE18" s="202">
        <f>AVERAGE(AB18:AD18)</f>
        <v>0.4876683436427432</v>
      </c>
      <c r="AF18" s="51">
        <f>STDEV(AB18:AD18)</f>
        <v>0.7431751179509104</v>
      </c>
    </row>
    <row r="19" spans="1:125" ht="18" x14ac:dyDescent="0.35">
      <c r="A19" s="52" t="s">
        <v>27</v>
      </c>
      <c r="B19" s="53"/>
      <c r="C19" s="50" t="s">
        <v>28</v>
      </c>
      <c r="D19" s="164"/>
      <c r="E19" s="165"/>
      <c r="F19" s="165"/>
      <c r="G19" s="165"/>
      <c r="H19" s="165"/>
      <c r="I19" s="165"/>
      <c r="J19" s="175"/>
      <c r="K19" s="162">
        <f>K17*0.46</f>
        <v>0.1539414319635089</v>
      </c>
      <c r="L19" s="163">
        <f t="shared" ref="L19:M19" si="76">L17*0.46</f>
        <v>0.15902440377362478</v>
      </c>
      <c r="M19" s="163">
        <f t="shared" si="76"/>
        <v>0.13869251653316134</v>
      </c>
      <c r="N19" s="25">
        <f>AVERAGE(K19:M19)</f>
        <v>0.15055278409009834</v>
      </c>
      <c r="O19" s="26">
        <f>STDEV(K19:M19)</f>
        <v>1.058104959336301E-2</v>
      </c>
      <c r="P19" s="164"/>
      <c r="Q19" s="165"/>
      <c r="R19" s="165"/>
      <c r="S19" s="165"/>
      <c r="T19" s="165"/>
      <c r="U19" s="175"/>
      <c r="V19" s="164"/>
      <c r="W19" s="165"/>
      <c r="X19" s="165"/>
      <c r="Y19" s="127"/>
      <c r="Z19" s="165"/>
      <c r="AA19" s="50" t="s">
        <v>29</v>
      </c>
      <c r="AB19" s="162">
        <f>(K8-K6)*0.46</f>
        <v>4.6534720111713383E-2</v>
      </c>
      <c r="AC19" s="163">
        <f t="shared" ref="AC19:AD19" si="77">(L8-L6)*0.46</f>
        <v>4.5624723424000792E-2</v>
      </c>
      <c r="AD19" s="163">
        <f t="shared" si="77"/>
        <v>4.2904736673150451E-2</v>
      </c>
      <c r="AE19" s="25">
        <f>AVERAGE(AB19:AD19)</f>
        <v>4.5021393402954878E-2</v>
      </c>
      <c r="AF19" s="26">
        <f>STDEV(AB19:AD19)</f>
        <v>1.8887033321254405E-3</v>
      </c>
    </row>
    <row r="20" spans="1:125" ht="18" x14ac:dyDescent="0.35">
      <c r="D20" s="164"/>
      <c r="E20" s="165"/>
      <c r="F20" s="165"/>
      <c r="G20" s="165"/>
      <c r="H20" s="165"/>
      <c r="I20" s="165"/>
      <c r="J20" s="175"/>
      <c r="K20" s="164"/>
      <c r="L20" s="165"/>
      <c r="M20" s="165"/>
      <c r="N20" s="165"/>
      <c r="O20" s="69" t="s">
        <v>34</v>
      </c>
      <c r="P20" s="164"/>
      <c r="Q20" s="165"/>
      <c r="R20" s="165"/>
      <c r="S20" s="165"/>
      <c r="T20" s="165"/>
      <c r="U20" s="175"/>
      <c r="V20" s="164"/>
      <c r="W20" s="165"/>
      <c r="X20" s="165"/>
      <c r="Y20" s="127"/>
      <c r="Z20" s="165"/>
      <c r="AA20" s="50" t="s">
        <v>88</v>
      </c>
      <c r="AB20" s="164"/>
      <c r="AC20" s="165"/>
      <c r="AD20" s="165"/>
      <c r="AE20" s="165"/>
      <c r="AF20" s="175"/>
    </row>
    <row r="21" spans="1:125" ht="18.75" x14ac:dyDescent="0.35">
      <c r="D21" s="181"/>
      <c r="E21" s="182"/>
      <c r="F21" s="182"/>
      <c r="G21" s="182"/>
      <c r="H21" s="182"/>
      <c r="I21" s="182"/>
      <c r="J21" s="183"/>
      <c r="K21" s="181"/>
      <c r="L21" s="182"/>
      <c r="M21" s="182"/>
      <c r="N21" s="182"/>
      <c r="O21" s="219"/>
      <c r="P21" s="181"/>
      <c r="Q21" s="182"/>
      <c r="R21" s="182"/>
      <c r="S21" s="182"/>
      <c r="T21" s="182"/>
      <c r="U21" s="183"/>
      <c r="V21" s="181"/>
      <c r="W21" s="182"/>
      <c r="X21" s="182"/>
      <c r="Y21" s="11"/>
      <c r="Z21" s="182"/>
      <c r="AA21" s="65" t="s">
        <v>118</v>
      </c>
      <c r="AB21" s="181"/>
      <c r="AC21" s="182"/>
      <c r="AD21" s="182"/>
      <c r="AE21" s="182"/>
      <c r="AF21" s="183"/>
    </row>
    <row r="53" spans="1:48" x14ac:dyDescent="0.25">
      <c r="A53" s="145" t="s">
        <v>89</v>
      </c>
    </row>
    <row r="54" spans="1:48" x14ac:dyDescent="0.25">
      <c r="B54" s="155" t="s">
        <v>90</v>
      </c>
      <c r="C54" s="155">
        <v>1</v>
      </c>
      <c r="D54" s="155">
        <v>2</v>
      </c>
      <c r="E54" s="155">
        <v>3</v>
      </c>
      <c r="F54" s="155">
        <v>4</v>
      </c>
      <c r="G54" s="155">
        <v>5</v>
      </c>
      <c r="H54" s="155">
        <v>6</v>
      </c>
      <c r="I54" s="155">
        <v>7</v>
      </c>
      <c r="J54" s="155">
        <v>8</v>
      </c>
      <c r="K54" s="155">
        <v>9</v>
      </c>
      <c r="L54" s="155">
        <v>10</v>
      </c>
      <c r="N54" s="155">
        <v>1</v>
      </c>
      <c r="O54" s="155">
        <v>2</v>
      </c>
      <c r="P54" s="155">
        <v>3</v>
      </c>
      <c r="Q54" s="155">
        <v>4</v>
      </c>
      <c r="R54" s="155">
        <v>5</v>
      </c>
      <c r="S54" s="155">
        <v>6</v>
      </c>
      <c r="T54" s="155">
        <v>7</v>
      </c>
      <c r="U54" s="155">
        <v>8</v>
      </c>
      <c r="V54" s="155">
        <v>9</v>
      </c>
      <c r="W54" s="155">
        <v>10</v>
      </c>
      <c r="X54" s="155" t="s">
        <v>17</v>
      </c>
      <c r="Z54" s="155" t="s">
        <v>90</v>
      </c>
      <c r="AA54" s="155">
        <v>1</v>
      </c>
      <c r="AB54" s="155">
        <v>2</v>
      </c>
      <c r="AC54" s="155">
        <v>3</v>
      </c>
      <c r="AD54" s="155">
        <v>4</v>
      </c>
      <c r="AE54" s="155">
        <v>5</v>
      </c>
      <c r="AF54" s="155">
        <v>6</v>
      </c>
      <c r="AG54" s="155">
        <v>7</v>
      </c>
      <c r="AH54" s="155">
        <v>8</v>
      </c>
      <c r="AI54" s="155">
        <v>9</v>
      </c>
      <c r="AJ54" s="155">
        <v>10</v>
      </c>
      <c r="AL54" s="155">
        <v>1</v>
      </c>
      <c r="AM54" s="155">
        <v>2</v>
      </c>
      <c r="AN54" s="155">
        <v>3</v>
      </c>
      <c r="AO54" s="155">
        <v>4</v>
      </c>
      <c r="AP54" s="155">
        <v>5</v>
      </c>
      <c r="AQ54" s="155">
        <v>6</v>
      </c>
      <c r="AR54" s="155">
        <v>7</v>
      </c>
      <c r="AS54" s="155">
        <v>8</v>
      </c>
      <c r="AT54" s="155">
        <v>9</v>
      </c>
      <c r="AU54" s="155">
        <v>10</v>
      </c>
      <c r="AV54" s="155" t="s">
        <v>17</v>
      </c>
    </row>
    <row r="55" spans="1:48" x14ac:dyDescent="0.25">
      <c r="A55" s="155" t="s">
        <v>92</v>
      </c>
      <c r="B55" s="155">
        <v>5</v>
      </c>
      <c r="C55" s="155">
        <v>8</v>
      </c>
      <c r="D55" s="155">
        <v>6</v>
      </c>
      <c r="E55" s="155">
        <v>6</v>
      </c>
      <c r="F55" s="155">
        <v>11</v>
      </c>
      <c r="G55" s="155">
        <v>8</v>
      </c>
      <c r="H55" s="155">
        <v>8</v>
      </c>
      <c r="I55" s="155">
        <v>8</v>
      </c>
      <c r="J55" s="155">
        <v>6</v>
      </c>
      <c r="K55" s="155">
        <v>9</v>
      </c>
      <c r="L55" s="155">
        <v>10</v>
      </c>
      <c r="N55" s="188">
        <f>(C55/0.01)*10^($B$55)</f>
        <v>80000000</v>
      </c>
      <c r="O55" s="188">
        <f t="shared" ref="O55:W55" si="78">(D55/0.01)*10^($B$55)</f>
        <v>60000000</v>
      </c>
      <c r="P55" s="188">
        <f t="shared" si="78"/>
        <v>60000000</v>
      </c>
      <c r="Q55" s="188">
        <f t="shared" si="78"/>
        <v>110000000</v>
      </c>
      <c r="R55" s="188">
        <f t="shared" si="78"/>
        <v>80000000</v>
      </c>
      <c r="S55" s="188">
        <f t="shared" si="78"/>
        <v>80000000</v>
      </c>
      <c r="T55" s="188">
        <f t="shared" si="78"/>
        <v>80000000</v>
      </c>
      <c r="U55" s="188">
        <f t="shared" si="78"/>
        <v>60000000</v>
      </c>
      <c r="V55" s="188">
        <f t="shared" si="78"/>
        <v>90000000</v>
      </c>
      <c r="W55" s="188">
        <f t="shared" si="78"/>
        <v>100000000</v>
      </c>
      <c r="X55" s="188">
        <f>AVERAGE(N55:W55)</f>
        <v>80000000</v>
      </c>
    </row>
    <row r="56" spans="1:48" x14ac:dyDescent="0.25">
      <c r="A56" s="155" t="s">
        <v>93</v>
      </c>
      <c r="B56" s="155">
        <v>5</v>
      </c>
      <c r="C56" s="155">
        <v>7</v>
      </c>
      <c r="D56" s="155">
        <v>10</v>
      </c>
      <c r="E56" s="155">
        <v>5</v>
      </c>
      <c r="F56" s="155">
        <v>3</v>
      </c>
      <c r="G56" s="155">
        <v>5</v>
      </c>
      <c r="H56" s="155">
        <v>6</v>
      </c>
      <c r="I56" s="155">
        <v>7</v>
      </c>
      <c r="J56" s="155">
        <v>6</v>
      </c>
      <c r="K56" s="155">
        <v>4</v>
      </c>
      <c r="L56" s="155">
        <v>1</v>
      </c>
      <c r="N56" s="188">
        <f>(C56/0.01)*10^($B$56)</f>
        <v>70000000</v>
      </c>
      <c r="O56" s="188">
        <f t="shared" ref="O56:W56" si="79">(D56/0.01)*10^($B$56)</f>
        <v>100000000</v>
      </c>
      <c r="P56" s="188">
        <f t="shared" si="79"/>
        <v>50000000</v>
      </c>
      <c r="Q56" s="188">
        <f t="shared" si="79"/>
        <v>30000000</v>
      </c>
      <c r="R56" s="188">
        <f t="shared" si="79"/>
        <v>50000000</v>
      </c>
      <c r="S56" s="188">
        <f t="shared" si="79"/>
        <v>60000000</v>
      </c>
      <c r="T56" s="188">
        <f t="shared" si="79"/>
        <v>70000000</v>
      </c>
      <c r="U56" s="188">
        <f t="shared" si="79"/>
        <v>60000000</v>
      </c>
      <c r="V56" s="188">
        <f t="shared" si="79"/>
        <v>40000000</v>
      </c>
      <c r="W56" s="188">
        <f t="shared" si="79"/>
        <v>10000000</v>
      </c>
      <c r="X56" s="188">
        <f t="shared" ref="X56:X93" si="80">AVERAGE(N56:W56)</f>
        <v>54000000</v>
      </c>
    </row>
    <row r="57" spans="1:48" x14ac:dyDescent="0.25">
      <c r="A57" s="155" t="s">
        <v>94</v>
      </c>
      <c r="B57" s="155">
        <v>5</v>
      </c>
      <c r="C57" s="155">
        <v>10</v>
      </c>
      <c r="D57" s="155">
        <v>5</v>
      </c>
      <c r="E57" s="155">
        <v>11</v>
      </c>
      <c r="F57" s="155">
        <v>6</v>
      </c>
      <c r="G57" s="155">
        <v>8</v>
      </c>
      <c r="H57" s="155">
        <v>8</v>
      </c>
      <c r="I57" s="155">
        <v>7</v>
      </c>
      <c r="J57" s="155">
        <v>4</v>
      </c>
      <c r="K57" s="155">
        <v>6</v>
      </c>
      <c r="L57" s="155">
        <v>9</v>
      </c>
      <c r="N57" s="188">
        <f>(C57/0.01)*10^($B$57)</f>
        <v>100000000</v>
      </c>
      <c r="O57" s="188">
        <f t="shared" ref="O57:W57" si="81">(D57/0.01)*10^($B$57)</f>
        <v>50000000</v>
      </c>
      <c r="P57" s="188">
        <f t="shared" si="81"/>
        <v>110000000</v>
      </c>
      <c r="Q57" s="188">
        <f t="shared" si="81"/>
        <v>60000000</v>
      </c>
      <c r="R57" s="188">
        <f t="shared" si="81"/>
        <v>80000000</v>
      </c>
      <c r="S57" s="188">
        <f t="shared" si="81"/>
        <v>80000000</v>
      </c>
      <c r="T57" s="188">
        <f t="shared" si="81"/>
        <v>70000000</v>
      </c>
      <c r="U57" s="188">
        <f t="shared" si="81"/>
        <v>40000000</v>
      </c>
      <c r="V57" s="188">
        <f t="shared" si="81"/>
        <v>60000000</v>
      </c>
      <c r="W57" s="188">
        <f t="shared" si="81"/>
        <v>90000000</v>
      </c>
      <c r="X57" s="188">
        <f t="shared" si="80"/>
        <v>74000000</v>
      </c>
    </row>
    <row r="58" spans="1:48" x14ac:dyDescent="0.25">
      <c r="A58" s="155" t="s">
        <v>98</v>
      </c>
      <c r="B58" s="155">
        <v>5</v>
      </c>
      <c r="C58" s="155">
        <v>17</v>
      </c>
      <c r="D58" s="155">
        <v>27</v>
      </c>
      <c r="E58" s="155">
        <v>24</v>
      </c>
      <c r="F58" s="155">
        <v>14</v>
      </c>
      <c r="G58" s="155">
        <v>14</v>
      </c>
      <c r="H58" s="155">
        <v>17</v>
      </c>
      <c r="I58" s="155">
        <v>16</v>
      </c>
      <c r="J58" s="155">
        <v>23</v>
      </c>
      <c r="K58" s="155">
        <v>19</v>
      </c>
      <c r="L58" s="155">
        <v>18</v>
      </c>
      <c r="N58" s="188">
        <f>(C58/0.01)*10^($B$58)</f>
        <v>170000000</v>
      </c>
      <c r="O58" s="188">
        <f t="shared" ref="O58:W58" si="82">(D58/0.01)*10^($B$58)</f>
        <v>270000000</v>
      </c>
      <c r="P58" s="188">
        <f t="shared" si="82"/>
        <v>240000000</v>
      </c>
      <c r="Q58" s="188">
        <f t="shared" si="82"/>
        <v>140000000</v>
      </c>
      <c r="R58" s="188">
        <f t="shared" si="82"/>
        <v>140000000</v>
      </c>
      <c r="S58" s="188">
        <f t="shared" si="82"/>
        <v>170000000</v>
      </c>
      <c r="T58" s="188">
        <f t="shared" si="82"/>
        <v>160000000</v>
      </c>
      <c r="U58" s="188">
        <f t="shared" si="82"/>
        <v>230000000</v>
      </c>
      <c r="V58" s="188">
        <f t="shared" si="82"/>
        <v>190000000</v>
      </c>
      <c r="W58" s="188">
        <f t="shared" si="82"/>
        <v>180000000</v>
      </c>
      <c r="X58" s="188">
        <f t="shared" si="80"/>
        <v>189000000</v>
      </c>
    </row>
    <row r="59" spans="1:48" x14ac:dyDescent="0.25">
      <c r="A59" s="155" t="s">
        <v>99</v>
      </c>
      <c r="B59" s="155">
        <v>5</v>
      </c>
      <c r="C59" s="155">
        <v>14</v>
      </c>
      <c r="D59" s="155">
        <v>16</v>
      </c>
      <c r="E59" s="155">
        <v>22</v>
      </c>
      <c r="F59" s="155">
        <v>22</v>
      </c>
      <c r="G59" s="155">
        <v>23</v>
      </c>
      <c r="H59" s="155">
        <v>18</v>
      </c>
      <c r="I59" s="155">
        <v>20</v>
      </c>
      <c r="J59" s="155">
        <v>25</v>
      </c>
      <c r="K59" s="155">
        <v>10</v>
      </c>
      <c r="L59" s="155">
        <v>23</v>
      </c>
      <c r="N59" s="188">
        <f>(C59/0.01)*10^($B$59)</f>
        <v>140000000</v>
      </c>
      <c r="O59" s="188">
        <f t="shared" ref="O59:W59" si="83">(D59/0.01)*10^($B$59)</f>
        <v>160000000</v>
      </c>
      <c r="P59" s="188">
        <f t="shared" si="83"/>
        <v>220000000</v>
      </c>
      <c r="Q59" s="188">
        <f t="shared" si="83"/>
        <v>220000000</v>
      </c>
      <c r="R59" s="188">
        <f t="shared" si="83"/>
        <v>230000000</v>
      </c>
      <c r="S59" s="188">
        <f t="shared" si="83"/>
        <v>180000000</v>
      </c>
      <c r="T59" s="188">
        <f t="shared" si="83"/>
        <v>200000000</v>
      </c>
      <c r="U59" s="188">
        <f t="shared" si="83"/>
        <v>250000000</v>
      </c>
      <c r="V59" s="188">
        <f t="shared" si="83"/>
        <v>100000000</v>
      </c>
      <c r="W59" s="188">
        <f t="shared" si="83"/>
        <v>230000000</v>
      </c>
      <c r="X59" s="188">
        <f t="shared" si="80"/>
        <v>193000000</v>
      </c>
    </row>
    <row r="60" spans="1:48" x14ac:dyDescent="0.25">
      <c r="A60" s="155" t="s">
        <v>100</v>
      </c>
      <c r="B60" s="155">
        <v>5</v>
      </c>
      <c r="C60" s="155">
        <v>18</v>
      </c>
      <c r="D60" s="155">
        <v>15</v>
      </c>
      <c r="E60" s="155">
        <v>31</v>
      </c>
      <c r="F60" s="155">
        <v>11</v>
      </c>
      <c r="G60" s="155">
        <v>23</v>
      </c>
      <c r="H60" s="155">
        <v>22</v>
      </c>
      <c r="I60" s="155">
        <v>19</v>
      </c>
      <c r="J60" s="155">
        <v>27</v>
      </c>
      <c r="K60" s="155">
        <v>19</v>
      </c>
      <c r="L60" s="155">
        <v>16</v>
      </c>
      <c r="N60" s="188">
        <f>(C60/0.01)*10^($B$60)</f>
        <v>180000000</v>
      </c>
      <c r="O60" s="188">
        <f t="shared" ref="O60:W60" si="84">(D60/0.01)*10^($B$60)</f>
        <v>150000000</v>
      </c>
      <c r="P60" s="188">
        <f t="shared" si="84"/>
        <v>310000000</v>
      </c>
      <c r="Q60" s="188">
        <f t="shared" si="84"/>
        <v>110000000</v>
      </c>
      <c r="R60" s="188">
        <f t="shared" si="84"/>
        <v>230000000</v>
      </c>
      <c r="S60" s="188">
        <f t="shared" si="84"/>
        <v>220000000</v>
      </c>
      <c r="T60" s="188">
        <f t="shared" si="84"/>
        <v>190000000</v>
      </c>
      <c r="U60" s="188">
        <f t="shared" si="84"/>
        <v>270000000</v>
      </c>
      <c r="V60" s="188">
        <f t="shared" si="84"/>
        <v>190000000</v>
      </c>
      <c r="W60" s="188">
        <f t="shared" si="84"/>
        <v>160000000</v>
      </c>
      <c r="X60" s="188">
        <f t="shared" si="80"/>
        <v>201000000</v>
      </c>
    </row>
    <row r="61" spans="1:48" x14ac:dyDescent="0.25">
      <c r="A61" s="155" t="s">
        <v>104</v>
      </c>
      <c r="B61" s="155">
        <v>6</v>
      </c>
      <c r="C61" s="155">
        <v>4</v>
      </c>
      <c r="D61" s="155">
        <v>2</v>
      </c>
      <c r="E61" s="155">
        <v>2</v>
      </c>
      <c r="F61" s="155">
        <v>2</v>
      </c>
      <c r="G61" s="155">
        <v>2</v>
      </c>
      <c r="H61" s="155">
        <v>3</v>
      </c>
      <c r="I61" s="155">
        <v>4</v>
      </c>
      <c r="J61" s="155">
        <v>4</v>
      </c>
      <c r="K61" s="155">
        <v>4</v>
      </c>
      <c r="L61" s="155">
        <v>2</v>
      </c>
      <c r="M61" s="155">
        <f>AVERAGE(C61:L61)</f>
        <v>2.9</v>
      </c>
      <c r="N61" s="188">
        <f>(C61/0.01)*10^($B$61)</f>
        <v>400000000</v>
      </c>
      <c r="O61" s="188">
        <f t="shared" ref="O61:W61" si="85">(D61/0.01)*10^($B$61)</f>
        <v>200000000</v>
      </c>
      <c r="P61" s="188">
        <f t="shared" si="85"/>
        <v>200000000</v>
      </c>
      <c r="Q61" s="188">
        <f t="shared" si="85"/>
        <v>200000000</v>
      </c>
      <c r="R61" s="188">
        <f t="shared" si="85"/>
        <v>200000000</v>
      </c>
      <c r="S61" s="188">
        <f t="shared" si="85"/>
        <v>300000000</v>
      </c>
      <c r="T61" s="188">
        <f t="shared" si="85"/>
        <v>400000000</v>
      </c>
      <c r="U61" s="188">
        <f t="shared" si="85"/>
        <v>400000000</v>
      </c>
      <c r="V61" s="188">
        <f t="shared" si="85"/>
        <v>400000000</v>
      </c>
      <c r="W61" s="188">
        <f t="shared" si="85"/>
        <v>200000000</v>
      </c>
      <c r="X61" s="188">
        <f t="shared" si="80"/>
        <v>290000000</v>
      </c>
      <c r="Z61" s="155">
        <v>5</v>
      </c>
      <c r="AA61" s="155">
        <v>25</v>
      </c>
      <c r="AB61" s="155">
        <v>27</v>
      </c>
      <c r="AC61" s="155">
        <v>26</v>
      </c>
      <c r="AD61" s="155">
        <v>32</v>
      </c>
      <c r="AE61" s="155">
        <v>23</v>
      </c>
      <c r="AF61" s="155">
        <v>29</v>
      </c>
      <c r="AG61" s="155">
        <v>27</v>
      </c>
      <c r="AH61" s="155">
        <v>23</v>
      </c>
      <c r="AI61" s="155">
        <v>33</v>
      </c>
      <c r="AJ61" s="155">
        <v>30</v>
      </c>
      <c r="AK61" s="155">
        <f>AVERAGE(AA61:AJ61)</f>
        <v>27.5</v>
      </c>
      <c r="AL61" s="188">
        <f>(AA61/0.01)*10^($Z$61)</f>
        <v>250000000</v>
      </c>
      <c r="AM61" s="188">
        <f t="shared" ref="AM61:AU61" si="86">(AB61/0.01)*10^($Z$61)</f>
        <v>270000000</v>
      </c>
      <c r="AN61" s="188">
        <f t="shared" si="86"/>
        <v>260000000</v>
      </c>
      <c r="AO61" s="188">
        <f t="shared" si="86"/>
        <v>320000000</v>
      </c>
      <c r="AP61" s="188">
        <f t="shared" si="86"/>
        <v>230000000</v>
      </c>
      <c r="AQ61" s="188">
        <f t="shared" si="86"/>
        <v>290000000</v>
      </c>
      <c r="AR61" s="188">
        <f t="shared" si="86"/>
        <v>270000000</v>
      </c>
      <c r="AS61" s="188">
        <f t="shared" si="86"/>
        <v>230000000</v>
      </c>
      <c r="AT61" s="188">
        <f t="shared" si="86"/>
        <v>330000000</v>
      </c>
      <c r="AU61" s="188">
        <f t="shared" si="86"/>
        <v>300000000</v>
      </c>
      <c r="AV61" s="188">
        <f>AVERAGE(AL61:AU61)</f>
        <v>275000000</v>
      </c>
    </row>
    <row r="62" spans="1:48" x14ac:dyDescent="0.25">
      <c r="A62" s="155" t="s">
        <v>105</v>
      </c>
      <c r="B62" s="155">
        <v>6</v>
      </c>
      <c r="C62" s="155">
        <v>4</v>
      </c>
      <c r="D62" s="155">
        <v>3</v>
      </c>
      <c r="E62" s="155">
        <v>3</v>
      </c>
      <c r="F62" s="155">
        <v>0</v>
      </c>
      <c r="G62" s="155">
        <v>1</v>
      </c>
      <c r="H62" s="155">
        <v>5</v>
      </c>
      <c r="I62" s="155">
        <v>2</v>
      </c>
      <c r="J62" s="155">
        <v>2</v>
      </c>
      <c r="K62" s="155">
        <v>6</v>
      </c>
      <c r="L62" s="155">
        <v>4</v>
      </c>
      <c r="M62" s="155">
        <f t="shared" ref="M62:M66" si="87">AVERAGE(C62:L62)</f>
        <v>3</v>
      </c>
      <c r="N62" s="188">
        <f>(C62/0.01)*10^($B$62)</f>
        <v>400000000</v>
      </c>
      <c r="O62" s="188">
        <f t="shared" ref="O62:W62" si="88">(D62/0.01)*10^($B$62)</f>
        <v>300000000</v>
      </c>
      <c r="P62" s="188">
        <f t="shared" si="88"/>
        <v>300000000</v>
      </c>
      <c r="Q62" s="188">
        <f t="shared" si="88"/>
        <v>0</v>
      </c>
      <c r="R62" s="188">
        <f t="shared" si="88"/>
        <v>100000000</v>
      </c>
      <c r="S62" s="188">
        <f t="shared" si="88"/>
        <v>500000000</v>
      </c>
      <c r="T62" s="188">
        <f t="shared" si="88"/>
        <v>200000000</v>
      </c>
      <c r="U62" s="188">
        <f t="shared" si="88"/>
        <v>200000000</v>
      </c>
      <c r="V62" s="188">
        <f t="shared" si="88"/>
        <v>600000000</v>
      </c>
      <c r="W62" s="188">
        <f t="shared" si="88"/>
        <v>400000000</v>
      </c>
      <c r="X62" s="188">
        <f t="shared" si="80"/>
        <v>300000000</v>
      </c>
      <c r="Z62" s="155">
        <v>5</v>
      </c>
      <c r="AA62" s="155">
        <v>26</v>
      </c>
      <c r="AB62" s="155">
        <v>29</v>
      </c>
      <c r="AC62" s="155">
        <v>28</v>
      </c>
      <c r="AD62" s="155">
        <v>28</v>
      </c>
      <c r="AE62" s="155">
        <v>24</v>
      </c>
      <c r="AF62" s="155">
        <v>22</v>
      </c>
      <c r="AG62" s="155">
        <v>33</v>
      </c>
      <c r="AH62" s="155">
        <v>34</v>
      </c>
      <c r="AI62" s="155">
        <v>21</v>
      </c>
      <c r="AJ62" s="155">
        <v>22</v>
      </c>
      <c r="AK62" s="155">
        <f t="shared" ref="AK62:AK66" si="89">AVERAGE(AA62:AJ62)</f>
        <v>26.7</v>
      </c>
      <c r="AL62" s="188">
        <f>(AA62/0.01)*10^($Z$62)</f>
        <v>260000000</v>
      </c>
      <c r="AM62" s="188">
        <f t="shared" ref="AM62:AU62" si="90">(AB62/0.01)*10^($Z$62)</f>
        <v>290000000</v>
      </c>
      <c r="AN62" s="188">
        <f t="shared" si="90"/>
        <v>280000000</v>
      </c>
      <c r="AO62" s="188">
        <f t="shared" si="90"/>
        <v>280000000</v>
      </c>
      <c r="AP62" s="188">
        <f t="shared" si="90"/>
        <v>240000000</v>
      </c>
      <c r="AQ62" s="188">
        <f t="shared" si="90"/>
        <v>220000000</v>
      </c>
      <c r="AR62" s="188">
        <f t="shared" si="90"/>
        <v>330000000</v>
      </c>
      <c r="AS62" s="188">
        <f t="shared" si="90"/>
        <v>340000000</v>
      </c>
      <c r="AT62" s="188">
        <f t="shared" si="90"/>
        <v>210000000</v>
      </c>
      <c r="AU62" s="188">
        <f t="shared" si="90"/>
        <v>220000000</v>
      </c>
      <c r="AV62" s="188">
        <f t="shared" ref="AV62:AV81" si="91">AVERAGE(AL62:AU62)</f>
        <v>267000000</v>
      </c>
    </row>
    <row r="63" spans="1:48" x14ac:dyDescent="0.25">
      <c r="A63" s="155" t="s">
        <v>106</v>
      </c>
      <c r="B63" s="155">
        <v>6</v>
      </c>
      <c r="C63" s="155">
        <v>2</v>
      </c>
      <c r="D63" s="155">
        <v>2</v>
      </c>
      <c r="E63" s="155">
        <v>1</v>
      </c>
      <c r="F63" s="155">
        <v>2</v>
      </c>
      <c r="G63" s="155">
        <v>6</v>
      </c>
      <c r="H63" s="155">
        <v>3</v>
      </c>
      <c r="I63" s="155">
        <v>1</v>
      </c>
      <c r="J63" s="155">
        <v>4</v>
      </c>
      <c r="K63" s="155">
        <v>4</v>
      </c>
      <c r="L63" s="155">
        <v>1</v>
      </c>
      <c r="M63" s="155">
        <f t="shared" si="87"/>
        <v>2.6</v>
      </c>
      <c r="N63" s="188">
        <f>(C63/0.01)*10^($B$63)</f>
        <v>200000000</v>
      </c>
      <c r="O63" s="188">
        <f t="shared" ref="O63:W63" si="92">(D63/0.01)*10^($B$63)</f>
        <v>200000000</v>
      </c>
      <c r="P63" s="188">
        <f t="shared" si="92"/>
        <v>100000000</v>
      </c>
      <c r="Q63" s="188">
        <f t="shared" si="92"/>
        <v>200000000</v>
      </c>
      <c r="R63" s="188">
        <f t="shared" si="92"/>
        <v>600000000</v>
      </c>
      <c r="S63" s="188">
        <f t="shared" si="92"/>
        <v>300000000</v>
      </c>
      <c r="T63" s="188">
        <f t="shared" si="92"/>
        <v>100000000</v>
      </c>
      <c r="U63" s="188">
        <f t="shared" si="92"/>
        <v>400000000</v>
      </c>
      <c r="V63" s="188">
        <f t="shared" si="92"/>
        <v>400000000</v>
      </c>
      <c r="W63" s="188">
        <f t="shared" si="92"/>
        <v>100000000</v>
      </c>
      <c r="X63" s="188">
        <f t="shared" si="80"/>
        <v>260000000</v>
      </c>
      <c r="Z63" s="155">
        <v>5</v>
      </c>
      <c r="AA63" s="155">
        <v>33</v>
      </c>
      <c r="AB63" s="155">
        <v>9</v>
      </c>
      <c r="AC63" s="155">
        <v>50</v>
      </c>
      <c r="AD63" s="155">
        <v>25</v>
      </c>
      <c r="AE63" s="155">
        <v>33</v>
      </c>
      <c r="AF63" s="155">
        <v>25</v>
      </c>
      <c r="AG63" s="155">
        <v>24</v>
      </c>
      <c r="AH63" s="155">
        <v>27</v>
      </c>
      <c r="AI63" s="155">
        <v>26</v>
      </c>
      <c r="AJ63" s="155">
        <v>25</v>
      </c>
      <c r="AK63" s="155">
        <f t="shared" si="89"/>
        <v>27.7</v>
      </c>
      <c r="AL63" s="188">
        <f>(AA63/0.01)*10^($Z$63)</f>
        <v>330000000</v>
      </c>
      <c r="AM63" s="188">
        <f t="shared" ref="AM63:AU63" si="93">(AB63/0.01)*10^($Z$63)</f>
        <v>90000000</v>
      </c>
      <c r="AN63" s="188">
        <f t="shared" si="93"/>
        <v>500000000</v>
      </c>
      <c r="AO63" s="188">
        <f t="shared" si="93"/>
        <v>250000000</v>
      </c>
      <c r="AP63" s="188">
        <f t="shared" si="93"/>
        <v>330000000</v>
      </c>
      <c r="AQ63" s="188">
        <f t="shared" si="93"/>
        <v>250000000</v>
      </c>
      <c r="AR63" s="188">
        <f t="shared" si="93"/>
        <v>240000000</v>
      </c>
      <c r="AS63" s="188">
        <f t="shared" si="93"/>
        <v>270000000</v>
      </c>
      <c r="AT63" s="188">
        <f t="shared" si="93"/>
        <v>260000000</v>
      </c>
      <c r="AU63" s="188">
        <f t="shared" si="93"/>
        <v>250000000</v>
      </c>
      <c r="AV63" s="188">
        <f t="shared" si="91"/>
        <v>277000000</v>
      </c>
    </row>
    <row r="64" spans="1:48" x14ac:dyDescent="0.25">
      <c r="A64" s="155" t="s">
        <v>110</v>
      </c>
      <c r="B64" s="155">
        <v>6</v>
      </c>
      <c r="C64" s="155">
        <v>1</v>
      </c>
      <c r="D64" s="155">
        <v>3</v>
      </c>
      <c r="E64" s="155">
        <v>4</v>
      </c>
      <c r="F64" s="155">
        <v>4</v>
      </c>
      <c r="G64" s="155">
        <v>1</v>
      </c>
      <c r="H64" s="155">
        <v>3</v>
      </c>
      <c r="I64" s="155">
        <v>5</v>
      </c>
      <c r="J64" s="155">
        <v>5</v>
      </c>
      <c r="K64" s="155">
        <v>0</v>
      </c>
      <c r="L64" s="155">
        <v>3</v>
      </c>
      <c r="M64" s="155">
        <f t="shared" si="87"/>
        <v>2.9</v>
      </c>
      <c r="N64" s="188">
        <f>(C64/0.01)*10^($B$64)</f>
        <v>100000000</v>
      </c>
      <c r="O64" s="188">
        <f t="shared" ref="O64:W64" si="94">(D64/0.01)*10^($B$64)</f>
        <v>300000000</v>
      </c>
      <c r="P64" s="188">
        <f t="shared" si="94"/>
        <v>400000000</v>
      </c>
      <c r="Q64" s="188">
        <f t="shared" si="94"/>
        <v>400000000</v>
      </c>
      <c r="R64" s="188">
        <f t="shared" si="94"/>
        <v>100000000</v>
      </c>
      <c r="S64" s="188">
        <f t="shared" si="94"/>
        <v>300000000</v>
      </c>
      <c r="T64" s="188">
        <f t="shared" si="94"/>
        <v>500000000</v>
      </c>
      <c r="U64" s="188">
        <f t="shared" si="94"/>
        <v>500000000</v>
      </c>
      <c r="V64" s="188">
        <f t="shared" si="94"/>
        <v>0</v>
      </c>
      <c r="W64" s="188">
        <f t="shared" si="94"/>
        <v>300000000</v>
      </c>
      <c r="X64" s="188">
        <f t="shared" si="80"/>
        <v>290000000</v>
      </c>
      <c r="Z64" s="155">
        <v>5</v>
      </c>
      <c r="AA64" s="155">
        <v>34</v>
      </c>
      <c r="AB64" s="155">
        <v>33</v>
      </c>
      <c r="AC64" s="155">
        <v>33</v>
      </c>
      <c r="AD64" s="155">
        <v>34</v>
      </c>
      <c r="AE64" s="155">
        <v>31</v>
      </c>
      <c r="AF64" s="155">
        <v>29</v>
      </c>
      <c r="AG64" s="155">
        <v>27</v>
      </c>
      <c r="AH64" s="155">
        <v>32</v>
      </c>
      <c r="AI64" s="155">
        <v>25</v>
      </c>
      <c r="AJ64" s="155">
        <v>25</v>
      </c>
      <c r="AK64" s="155">
        <f t="shared" si="89"/>
        <v>30.3</v>
      </c>
      <c r="AL64" s="188">
        <f>(AA64/0.01)*10^($Z$64)</f>
        <v>340000000</v>
      </c>
      <c r="AM64" s="188">
        <f t="shared" ref="AM64:AU64" si="95">(AB64/0.01)*10^($Z$64)</f>
        <v>330000000</v>
      </c>
      <c r="AN64" s="188">
        <f t="shared" si="95"/>
        <v>330000000</v>
      </c>
      <c r="AO64" s="188">
        <f t="shared" si="95"/>
        <v>340000000</v>
      </c>
      <c r="AP64" s="188">
        <f t="shared" si="95"/>
        <v>310000000</v>
      </c>
      <c r="AQ64" s="188">
        <f t="shared" si="95"/>
        <v>290000000</v>
      </c>
      <c r="AR64" s="188">
        <f t="shared" si="95"/>
        <v>270000000</v>
      </c>
      <c r="AS64" s="188">
        <f t="shared" si="95"/>
        <v>320000000</v>
      </c>
      <c r="AT64" s="188">
        <f t="shared" si="95"/>
        <v>250000000</v>
      </c>
      <c r="AU64" s="188">
        <f t="shared" si="95"/>
        <v>250000000</v>
      </c>
      <c r="AV64" s="188">
        <f t="shared" si="91"/>
        <v>303000000</v>
      </c>
    </row>
    <row r="65" spans="1:48" x14ac:dyDescent="0.25">
      <c r="A65" s="155" t="s">
        <v>111</v>
      </c>
      <c r="B65" s="155">
        <v>6</v>
      </c>
      <c r="C65" s="155">
        <v>6</v>
      </c>
      <c r="D65" s="155">
        <v>2</v>
      </c>
      <c r="E65" s="155">
        <v>7</v>
      </c>
      <c r="F65" s="155">
        <v>5</v>
      </c>
      <c r="G65" s="155">
        <v>1</v>
      </c>
      <c r="H65" s="155">
        <v>8</v>
      </c>
      <c r="I65" s="155">
        <v>8</v>
      </c>
      <c r="J65" s="155">
        <v>5</v>
      </c>
      <c r="K65" s="155">
        <v>5</v>
      </c>
      <c r="L65" s="155">
        <v>2</v>
      </c>
      <c r="M65" s="155">
        <f t="shared" si="87"/>
        <v>4.9000000000000004</v>
      </c>
      <c r="N65" s="188">
        <f>(C65/0.01)*10^($B$65)</f>
        <v>600000000</v>
      </c>
      <c r="O65" s="188">
        <f t="shared" ref="O65:W65" si="96">(D65/0.01)*10^($B$65)</f>
        <v>200000000</v>
      </c>
      <c r="P65" s="188">
        <f t="shared" si="96"/>
        <v>700000000</v>
      </c>
      <c r="Q65" s="188">
        <f t="shared" si="96"/>
        <v>500000000</v>
      </c>
      <c r="R65" s="188">
        <f t="shared" si="96"/>
        <v>100000000</v>
      </c>
      <c r="S65" s="188">
        <f t="shared" si="96"/>
        <v>800000000</v>
      </c>
      <c r="T65" s="188">
        <f t="shared" si="96"/>
        <v>800000000</v>
      </c>
      <c r="U65" s="188">
        <f t="shared" si="96"/>
        <v>500000000</v>
      </c>
      <c r="V65" s="188">
        <f t="shared" si="96"/>
        <v>500000000</v>
      </c>
      <c r="W65" s="188">
        <f t="shared" si="96"/>
        <v>200000000</v>
      </c>
      <c r="X65" s="188">
        <f t="shared" si="80"/>
        <v>490000000</v>
      </c>
      <c r="Z65" s="155">
        <v>5</v>
      </c>
      <c r="AA65" s="155">
        <v>27</v>
      </c>
      <c r="AB65" s="155">
        <v>37</v>
      </c>
      <c r="AC65" s="155">
        <v>28</v>
      </c>
      <c r="AD65" s="155">
        <v>30</v>
      </c>
      <c r="AE65" s="155">
        <v>32</v>
      </c>
      <c r="AF65" s="155">
        <v>30</v>
      </c>
      <c r="AG65" s="155">
        <v>29</v>
      </c>
      <c r="AH65" s="155">
        <v>29</v>
      </c>
      <c r="AI65" s="155">
        <v>38</v>
      </c>
      <c r="AJ65" s="155">
        <v>28</v>
      </c>
      <c r="AK65" s="155">
        <f t="shared" si="89"/>
        <v>30.8</v>
      </c>
      <c r="AL65" s="188">
        <f>(AA65/0.01)*10^($Z$65)</f>
        <v>270000000</v>
      </c>
      <c r="AM65" s="188">
        <f t="shared" ref="AM65:AU65" si="97">(AB65/0.01)*10^($Z$65)</f>
        <v>370000000</v>
      </c>
      <c r="AN65" s="188">
        <f t="shared" si="97"/>
        <v>280000000</v>
      </c>
      <c r="AO65" s="188">
        <f t="shared" si="97"/>
        <v>300000000</v>
      </c>
      <c r="AP65" s="188">
        <f t="shared" si="97"/>
        <v>320000000</v>
      </c>
      <c r="AQ65" s="188">
        <f t="shared" si="97"/>
        <v>300000000</v>
      </c>
      <c r="AR65" s="188">
        <f t="shared" si="97"/>
        <v>290000000</v>
      </c>
      <c r="AS65" s="188">
        <f t="shared" si="97"/>
        <v>290000000</v>
      </c>
      <c r="AT65" s="188">
        <f t="shared" si="97"/>
        <v>380000000</v>
      </c>
      <c r="AU65" s="188">
        <f t="shared" si="97"/>
        <v>280000000</v>
      </c>
      <c r="AV65" s="188">
        <f t="shared" si="91"/>
        <v>308000000</v>
      </c>
    </row>
    <row r="66" spans="1:48" x14ac:dyDescent="0.25">
      <c r="A66" s="155" t="s">
        <v>112</v>
      </c>
      <c r="B66" s="155">
        <v>6</v>
      </c>
      <c r="C66" s="155">
        <v>4</v>
      </c>
      <c r="D66" s="155">
        <v>6</v>
      </c>
      <c r="E66" s="155">
        <v>1</v>
      </c>
      <c r="F66" s="155">
        <v>3</v>
      </c>
      <c r="G66" s="155">
        <v>4</v>
      </c>
      <c r="H66" s="155">
        <v>3</v>
      </c>
      <c r="I66" s="155">
        <v>4</v>
      </c>
      <c r="J66" s="155">
        <v>6</v>
      </c>
      <c r="K66" s="155">
        <v>3</v>
      </c>
      <c r="L66" s="155">
        <v>5</v>
      </c>
      <c r="M66" s="155">
        <f t="shared" si="87"/>
        <v>3.9</v>
      </c>
      <c r="N66" s="188">
        <f>(C66/0.01)*10^($B$66)</f>
        <v>400000000</v>
      </c>
      <c r="O66" s="188">
        <f t="shared" ref="O66:W66" si="98">(D66/0.01)*10^($B$66)</f>
        <v>600000000</v>
      </c>
      <c r="P66" s="188">
        <f t="shared" si="98"/>
        <v>100000000</v>
      </c>
      <c r="Q66" s="188">
        <f t="shared" si="98"/>
        <v>300000000</v>
      </c>
      <c r="R66" s="188">
        <f t="shared" si="98"/>
        <v>400000000</v>
      </c>
      <c r="S66" s="188">
        <f t="shared" si="98"/>
        <v>300000000</v>
      </c>
      <c r="T66" s="188">
        <f t="shared" si="98"/>
        <v>400000000</v>
      </c>
      <c r="U66" s="188">
        <f t="shared" si="98"/>
        <v>600000000</v>
      </c>
      <c r="V66" s="188">
        <f t="shared" si="98"/>
        <v>300000000</v>
      </c>
      <c r="W66" s="188">
        <f t="shared" si="98"/>
        <v>500000000</v>
      </c>
      <c r="X66" s="188">
        <f t="shared" si="80"/>
        <v>390000000</v>
      </c>
      <c r="Z66" s="155">
        <v>5</v>
      </c>
      <c r="AA66" s="155">
        <v>30</v>
      </c>
      <c r="AB66" s="155">
        <v>29</v>
      </c>
      <c r="AC66" s="155">
        <v>25</v>
      </c>
      <c r="AD66" s="155">
        <v>35</v>
      </c>
      <c r="AE66" s="155">
        <v>31</v>
      </c>
      <c r="AF66" s="155">
        <v>29</v>
      </c>
      <c r="AG66" s="155">
        <v>29</v>
      </c>
      <c r="AH66" s="155">
        <v>32</v>
      </c>
      <c r="AI66" s="155">
        <v>35</v>
      </c>
      <c r="AJ66" s="155">
        <v>28</v>
      </c>
      <c r="AK66" s="155">
        <f t="shared" si="89"/>
        <v>30.3</v>
      </c>
      <c r="AL66" s="188">
        <f>(AA66/0.01)*10^($Z$66)</f>
        <v>300000000</v>
      </c>
      <c r="AM66" s="188">
        <f t="shared" ref="AM66:AU66" si="99">(AB66/0.01)*10^($Z$66)</f>
        <v>290000000</v>
      </c>
      <c r="AN66" s="188">
        <f t="shared" si="99"/>
        <v>250000000</v>
      </c>
      <c r="AO66" s="188">
        <f t="shared" si="99"/>
        <v>350000000</v>
      </c>
      <c r="AP66" s="188">
        <f t="shared" si="99"/>
        <v>310000000</v>
      </c>
      <c r="AQ66" s="188">
        <f t="shared" si="99"/>
        <v>290000000</v>
      </c>
      <c r="AR66" s="188">
        <f t="shared" si="99"/>
        <v>290000000</v>
      </c>
      <c r="AS66" s="188">
        <f t="shared" si="99"/>
        <v>320000000</v>
      </c>
      <c r="AT66" s="188">
        <f t="shared" si="99"/>
        <v>350000000</v>
      </c>
      <c r="AU66" s="188">
        <f t="shared" si="99"/>
        <v>280000000</v>
      </c>
      <c r="AV66" s="188">
        <f t="shared" si="91"/>
        <v>303000000</v>
      </c>
    </row>
    <row r="67" spans="1:48" x14ac:dyDescent="0.25">
      <c r="A67" s="155" t="s">
        <v>151</v>
      </c>
      <c r="B67" s="155">
        <v>6</v>
      </c>
      <c r="C67" s="155">
        <v>3</v>
      </c>
      <c r="D67" s="155">
        <v>5</v>
      </c>
      <c r="E67" s="155">
        <v>2</v>
      </c>
      <c r="F67" s="155">
        <v>5</v>
      </c>
      <c r="G67" s="155">
        <v>3</v>
      </c>
      <c r="H67" s="155">
        <v>2</v>
      </c>
      <c r="I67" s="155">
        <v>4</v>
      </c>
      <c r="J67" s="155">
        <v>3</v>
      </c>
      <c r="K67" s="155">
        <v>2</v>
      </c>
      <c r="L67" s="155">
        <v>2</v>
      </c>
      <c r="N67" s="188">
        <f>(C67/0.01)*10^($B$67)</f>
        <v>300000000</v>
      </c>
      <c r="O67" s="188">
        <f t="shared" ref="O67:W67" si="100">(D67/0.01)*10^($B$67)</f>
        <v>500000000</v>
      </c>
      <c r="P67" s="188">
        <f t="shared" si="100"/>
        <v>200000000</v>
      </c>
      <c r="Q67" s="188">
        <f t="shared" si="100"/>
        <v>500000000</v>
      </c>
      <c r="R67" s="188">
        <f t="shared" si="100"/>
        <v>300000000</v>
      </c>
      <c r="S67" s="188">
        <f t="shared" si="100"/>
        <v>200000000</v>
      </c>
      <c r="T67" s="188">
        <f t="shared" si="100"/>
        <v>400000000</v>
      </c>
      <c r="U67" s="188">
        <f t="shared" si="100"/>
        <v>300000000</v>
      </c>
      <c r="V67" s="188">
        <f t="shared" si="100"/>
        <v>200000000</v>
      </c>
      <c r="W67" s="188">
        <f t="shared" si="100"/>
        <v>200000000</v>
      </c>
      <c r="X67" s="188">
        <f t="shared" si="80"/>
        <v>310000000</v>
      </c>
    </row>
    <row r="68" spans="1:48" x14ac:dyDescent="0.25">
      <c r="A68" s="155" t="s">
        <v>152</v>
      </c>
      <c r="B68" s="155">
        <v>6</v>
      </c>
      <c r="C68" s="155">
        <v>5</v>
      </c>
      <c r="D68" s="155">
        <v>4</v>
      </c>
      <c r="E68" s="155">
        <v>0</v>
      </c>
      <c r="F68" s="155">
        <v>6</v>
      </c>
      <c r="G68" s="155">
        <v>8</v>
      </c>
      <c r="H68" s="155">
        <v>2</v>
      </c>
      <c r="I68" s="155">
        <v>2</v>
      </c>
      <c r="J68" s="155">
        <v>4</v>
      </c>
      <c r="K68" s="155">
        <v>6</v>
      </c>
      <c r="L68" s="155">
        <v>4</v>
      </c>
      <c r="N68" s="188">
        <f>(C68/0.01)*10^($B$68)</f>
        <v>500000000</v>
      </c>
      <c r="O68" s="188">
        <f t="shared" ref="O68:W68" si="101">(D68/0.01)*10^($B$68)</f>
        <v>400000000</v>
      </c>
      <c r="P68" s="188">
        <f t="shared" si="101"/>
        <v>0</v>
      </c>
      <c r="Q68" s="188">
        <f t="shared" si="101"/>
        <v>600000000</v>
      </c>
      <c r="R68" s="188">
        <f t="shared" si="101"/>
        <v>800000000</v>
      </c>
      <c r="S68" s="188">
        <f t="shared" si="101"/>
        <v>200000000</v>
      </c>
      <c r="T68" s="188">
        <f t="shared" si="101"/>
        <v>200000000</v>
      </c>
      <c r="U68" s="188">
        <f t="shared" si="101"/>
        <v>400000000</v>
      </c>
      <c r="V68" s="188">
        <f t="shared" si="101"/>
        <v>600000000</v>
      </c>
      <c r="W68" s="188">
        <f t="shared" si="101"/>
        <v>400000000</v>
      </c>
      <c r="X68" s="188">
        <f t="shared" si="80"/>
        <v>410000000</v>
      </c>
    </row>
    <row r="69" spans="1:48" x14ac:dyDescent="0.25">
      <c r="A69" s="155" t="s">
        <v>153</v>
      </c>
      <c r="B69" s="155">
        <v>6</v>
      </c>
      <c r="C69" s="155">
        <v>6</v>
      </c>
      <c r="D69" s="155">
        <v>4</v>
      </c>
      <c r="E69" s="155">
        <v>3</v>
      </c>
      <c r="F69" s="155">
        <v>4</v>
      </c>
      <c r="G69" s="155">
        <v>6</v>
      </c>
      <c r="H69" s="155">
        <v>4</v>
      </c>
      <c r="I69" s="155">
        <v>3</v>
      </c>
      <c r="J69" s="155">
        <v>2</v>
      </c>
      <c r="K69" s="155">
        <v>1</v>
      </c>
      <c r="L69" s="155">
        <v>1</v>
      </c>
      <c r="N69" s="188">
        <f>(C69/0.01)*10^($B$69)</f>
        <v>600000000</v>
      </c>
      <c r="O69" s="188">
        <f t="shared" ref="O69:W69" si="102">(D69/0.01)*10^($B$69)</f>
        <v>400000000</v>
      </c>
      <c r="P69" s="188">
        <f t="shared" si="102"/>
        <v>300000000</v>
      </c>
      <c r="Q69" s="188">
        <f t="shared" si="102"/>
        <v>400000000</v>
      </c>
      <c r="R69" s="188">
        <f t="shared" si="102"/>
        <v>600000000</v>
      </c>
      <c r="S69" s="188">
        <f t="shared" si="102"/>
        <v>400000000</v>
      </c>
      <c r="T69" s="188">
        <f t="shared" si="102"/>
        <v>300000000</v>
      </c>
      <c r="U69" s="188">
        <f t="shared" si="102"/>
        <v>200000000</v>
      </c>
      <c r="V69" s="188">
        <f t="shared" si="102"/>
        <v>100000000</v>
      </c>
      <c r="W69" s="188">
        <f t="shared" si="102"/>
        <v>100000000</v>
      </c>
      <c r="X69" s="188">
        <f t="shared" si="80"/>
        <v>340000000</v>
      </c>
    </row>
    <row r="70" spans="1:48" x14ac:dyDescent="0.25">
      <c r="A70" s="155" t="s">
        <v>154</v>
      </c>
      <c r="B70" s="155">
        <v>6</v>
      </c>
      <c r="C70" s="155">
        <v>3</v>
      </c>
      <c r="D70" s="155">
        <v>6</v>
      </c>
      <c r="E70" s="155">
        <v>3</v>
      </c>
      <c r="F70" s="155">
        <v>0</v>
      </c>
      <c r="G70" s="155">
        <v>6</v>
      </c>
      <c r="H70" s="155">
        <v>6</v>
      </c>
      <c r="I70" s="155">
        <v>5</v>
      </c>
      <c r="J70" s="155">
        <v>7</v>
      </c>
      <c r="K70" s="155">
        <v>3</v>
      </c>
      <c r="L70" s="155">
        <v>6</v>
      </c>
      <c r="N70" s="188">
        <f>(C70/0.01)*10^($B$70)</f>
        <v>300000000</v>
      </c>
      <c r="O70" s="188">
        <f t="shared" ref="O70:W70" si="103">(D70/0.01)*10^($B$70)</f>
        <v>600000000</v>
      </c>
      <c r="P70" s="188">
        <f t="shared" si="103"/>
        <v>300000000</v>
      </c>
      <c r="Q70" s="188">
        <f t="shared" si="103"/>
        <v>0</v>
      </c>
      <c r="R70" s="188">
        <f t="shared" si="103"/>
        <v>600000000</v>
      </c>
      <c r="S70" s="188">
        <f t="shared" si="103"/>
        <v>600000000</v>
      </c>
      <c r="T70" s="188">
        <f t="shared" si="103"/>
        <v>500000000</v>
      </c>
      <c r="U70" s="188">
        <f t="shared" si="103"/>
        <v>700000000</v>
      </c>
      <c r="V70" s="188">
        <f t="shared" si="103"/>
        <v>300000000</v>
      </c>
      <c r="W70" s="188">
        <f t="shared" si="103"/>
        <v>600000000</v>
      </c>
      <c r="X70" s="188">
        <f t="shared" si="80"/>
        <v>450000000</v>
      </c>
    </row>
    <row r="71" spans="1:48" x14ac:dyDescent="0.25">
      <c r="A71" s="155" t="s">
        <v>155</v>
      </c>
      <c r="B71" s="155">
        <v>6</v>
      </c>
      <c r="C71" s="155">
        <v>6</v>
      </c>
      <c r="D71" s="155">
        <v>3</v>
      </c>
      <c r="E71" s="155">
        <v>4</v>
      </c>
      <c r="F71" s="155">
        <v>2</v>
      </c>
      <c r="G71" s="155">
        <v>4</v>
      </c>
      <c r="H71" s="155">
        <v>4</v>
      </c>
      <c r="I71" s="155">
        <v>2</v>
      </c>
      <c r="J71" s="155">
        <v>2</v>
      </c>
      <c r="K71" s="155">
        <v>5</v>
      </c>
      <c r="L71" s="155">
        <v>4</v>
      </c>
      <c r="N71" s="188">
        <f>(C71/0.01)*10^($B$71)</f>
        <v>600000000</v>
      </c>
      <c r="O71" s="188">
        <f t="shared" ref="O71:W71" si="104">(D71/0.01)*10^($B$71)</f>
        <v>300000000</v>
      </c>
      <c r="P71" s="188">
        <f t="shared" si="104"/>
        <v>400000000</v>
      </c>
      <c r="Q71" s="188">
        <f t="shared" si="104"/>
        <v>200000000</v>
      </c>
      <c r="R71" s="188">
        <f t="shared" si="104"/>
        <v>400000000</v>
      </c>
      <c r="S71" s="188">
        <f t="shared" si="104"/>
        <v>400000000</v>
      </c>
      <c r="T71" s="188">
        <f t="shared" si="104"/>
        <v>200000000</v>
      </c>
      <c r="U71" s="188">
        <f t="shared" si="104"/>
        <v>200000000</v>
      </c>
      <c r="V71" s="188">
        <f t="shared" si="104"/>
        <v>500000000</v>
      </c>
      <c r="W71" s="188">
        <f t="shared" si="104"/>
        <v>400000000</v>
      </c>
      <c r="X71" s="188">
        <f t="shared" si="80"/>
        <v>360000000</v>
      </c>
    </row>
    <row r="72" spans="1:48" x14ac:dyDescent="0.25">
      <c r="A72" s="155" t="s">
        <v>156</v>
      </c>
      <c r="B72" s="155">
        <v>6</v>
      </c>
      <c r="C72" s="155">
        <v>2</v>
      </c>
      <c r="D72" s="155">
        <v>5</v>
      </c>
      <c r="E72" s="155">
        <v>5</v>
      </c>
      <c r="F72" s="155">
        <v>6</v>
      </c>
      <c r="G72" s="155">
        <v>7</v>
      </c>
      <c r="H72" s="155">
        <v>3</v>
      </c>
      <c r="I72" s="155">
        <v>3</v>
      </c>
      <c r="J72" s="155">
        <v>7</v>
      </c>
      <c r="K72" s="155">
        <v>6</v>
      </c>
      <c r="L72" s="155">
        <v>4</v>
      </c>
      <c r="N72" s="188">
        <f>(C72/0.01)*10^($B$72)</f>
        <v>200000000</v>
      </c>
      <c r="O72" s="188">
        <f t="shared" ref="O72:W72" si="105">(D72/0.01)*10^($B$72)</f>
        <v>500000000</v>
      </c>
      <c r="P72" s="188">
        <f t="shared" si="105"/>
        <v>500000000</v>
      </c>
      <c r="Q72" s="188">
        <f t="shared" si="105"/>
        <v>600000000</v>
      </c>
      <c r="R72" s="188">
        <f t="shared" si="105"/>
        <v>700000000</v>
      </c>
      <c r="S72" s="188">
        <f t="shared" si="105"/>
        <v>300000000</v>
      </c>
      <c r="T72" s="188">
        <f t="shared" si="105"/>
        <v>300000000</v>
      </c>
      <c r="U72" s="188">
        <f t="shared" si="105"/>
        <v>700000000</v>
      </c>
      <c r="V72" s="188">
        <f t="shared" si="105"/>
        <v>600000000</v>
      </c>
      <c r="W72" s="188">
        <f t="shared" si="105"/>
        <v>400000000</v>
      </c>
      <c r="X72" s="188">
        <f t="shared" si="80"/>
        <v>480000000</v>
      </c>
    </row>
    <row r="73" spans="1:48" x14ac:dyDescent="0.25"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</row>
    <row r="74" spans="1:48" x14ac:dyDescent="0.25">
      <c r="A74" s="145" t="s">
        <v>113</v>
      </c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</row>
    <row r="75" spans="1:48" x14ac:dyDescent="0.25">
      <c r="B75" s="155" t="s">
        <v>90</v>
      </c>
      <c r="C75" s="155">
        <v>1</v>
      </c>
      <c r="D75" s="155">
        <v>2</v>
      </c>
      <c r="E75" s="155">
        <v>3</v>
      </c>
      <c r="F75" s="155">
        <v>4</v>
      </c>
      <c r="G75" s="155">
        <v>5</v>
      </c>
      <c r="H75" s="155">
        <v>6</v>
      </c>
      <c r="I75" s="155">
        <v>7</v>
      </c>
      <c r="J75" s="155">
        <v>8</v>
      </c>
      <c r="K75" s="155">
        <v>9</v>
      </c>
      <c r="L75" s="155">
        <v>10</v>
      </c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Z75" s="155" t="s">
        <v>90</v>
      </c>
      <c r="AA75" s="155">
        <v>1</v>
      </c>
      <c r="AB75" s="155">
        <v>2</v>
      </c>
      <c r="AC75" s="155">
        <v>3</v>
      </c>
      <c r="AD75" s="155">
        <v>4</v>
      </c>
      <c r="AE75" s="155">
        <v>5</v>
      </c>
      <c r="AF75" s="155">
        <v>6</v>
      </c>
      <c r="AG75" s="155">
        <v>7</v>
      </c>
      <c r="AH75" s="155">
        <v>8</v>
      </c>
      <c r="AI75" s="155">
        <v>9</v>
      </c>
      <c r="AJ75" s="155">
        <v>10</v>
      </c>
    </row>
    <row r="76" spans="1:48" x14ac:dyDescent="0.25">
      <c r="A76" s="155" t="s">
        <v>92</v>
      </c>
      <c r="B76" s="155">
        <v>5</v>
      </c>
      <c r="C76" s="155">
        <v>16</v>
      </c>
      <c r="D76" s="155">
        <v>7</v>
      </c>
      <c r="E76" s="155">
        <v>8</v>
      </c>
      <c r="F76" s="155">
        <v>16</v>
      </c>
      <c r="G76" s="155">
        <v>10</v>
      </c>
      <c r="H76" s="155">
        <v>10</v>
      </c>
      <c r="I76" s="155">
        <v>15</v>
      </c>
      <c r="J76" s="155">
        <v>8</v>
      </c>
      <c r="K76" s="155">
        <v>7</v>
      </c>
      <c r="L76" s="155">
        <v>7</v>
      </c>
      <c r="N76" s="188">
        <f>(C76/0.01)*10^($B$76)</f>
        <v>160000000</v>
      </c>
      <c r="O76" s="188">
        <f t="shared" ref="O76:W76" si="106">(D76/0.01)*10^($B$76)</f>
        <v>70000000</v>
      </c>
      <c r="P76" s="188">
        <f t="shared" si="106"/>
        <v>80000000</v>
      </c>
      <c r="Q76" s="188">
        <f t="shared" si="106"/>
        <v>160000000</v>
      </c>
      <c r="R76" s="188">
        <f t="shared" si="106"/>
        <v>100000000</v>
      </c>
      <c r="S76" s="188">
        <f t="shared" si="106"/>
        <v>100000000</v>
      </c>
      <c r="T76" s="188">
        <f t="shared" si="106"/>
        <v>150000000</v>
      </c>
      <c r="U76" s="188">
        <f t="shared" si="106"/>
        <v>80000000</v>
      </c>
      <c r="V76" s="188">
        <f t="shared" si="106"/>
        <v>70000000</v>
      </c>
      <c r="W76" s="188">
        <f t="shared" si="106"/>
        <v>70000000</v>
      </c>
      <c r="X76" s="188">
        <f t="shared" si="80"/>
        <v>104000000</v>
      </c>
    </row>
    <row r="77" spans="1:48" x14ac:dyDescent="0.25">
      <c r="A77" s="155" t="s">
        <v>93</v>
      </c>
      <c r="B77" s="155">
        <v>5</v>
      </c>
      <c r="C77" s="155">
        <v>5</v>
      </c>
      <c r="D77" s="155">
        <v>13</v>
      </c>
      <c r="E77" s="155">
        <v>11</v>
      </c>
      <c r="F77" s="155">
        <v>9</v>
      </c>
      <c r="G77" s="155">
        <v>6</v>
      </c>
      <c r="H77" s="155">
        <v>10</v>
      </c>
      <c r="I77" s="155">
        <v>8</v>
      </c>
      <c r="J77" s="155">
        <v>9</v>
      </c>
      <c r="K77" s="155">
        <v>10</v>
      </c>
      <c r="L77" s="155">
        <v>11</v>
      </c>
      <c r="N77" s="188">
        <f>(C77/0.01)*10^($B$77)</f>
        <v>50000000</v>
      </c>
      <c r="O77" s="188">
        <f t="shared" ref="O77:W77" si="107">(D77/0.01)*10^($B$77)</f>
        <v>130000000</v>
      </c>
      <c r="P77" s="188">
        <f t="shared" si="107"/>
        <v>110000000</v>
      </c>
      <c r="Q77" s="188">
        <f t="shared" si="107"/>
        <v>90000000</v>
      </c>
      <c r="R77" s="188">
        <f t="shared" si="107"/>
        <v>60000000</v>
      </c>
      <c r="S77" s="188">
        <f t="shared" si="107"/>
        <v>100000000</v>
      </c>
      <c r="T77" s="188">
        <f t="shared" si="107"/>
        <v>80000000</v>
      </c>
      <c r="U77" s="188">
        <f t="shared" si="107"/>
        <v>90000000</v>
      </c>
      <c r="V77" s="188">
        <f t="shared" si="107"/>
        <v>100000000</v>
      </c>
      <c r="W77" s="188">
        <f t="shared" si="107"/>
        <v>110000000</v>
      </c>
      <c r="X77" s="188">
        <f t="shared" si="80"/>
        <v>92000000</v>
      </c>
    </row>
    <row r="78" spans="1:48" x14ac:dyDescent="0.25">
      <c r="A78" s="155" t="s">
        <v>94</v>
      </c>
      <c r="B78" s="155">
        <v>5</v>
      </c>
      <c r="C78" s="155">
        <v>11</v>
      </c>
      <c r="D78" s="155">
        <v>6</v>
      </c>
      <c r="E78" s="155">
        <v>7</v>
      </c>
      <c r="F78" s="155">
        <v>9</v>
      </c>
      <c r="G78" s="155">
        <v>13</v>
      </c>
      <c r="H78" s="155">
        <v>9</v>
      </c>
      <c r="I78" s="155">
        <v>6</v>
      </c>
      <c r="J78" s="155">
        <v>8</v>
      </c>
      <c r="K78" s="155">
        <v>11</v>
      </c>
      <c r="L78" s="155">
        <v>11</v>
      </c>
      <c r="N78" s="188">
        <f>(C78/0.01)*10^($B$78)</f>
        <v>110000000</v>
      </c>
      <c r="O78" s="188">
        <f t="shared" ref="O78:W78" si="108">(D78/0.01)*10^($B$78)</f>
        <v>60000000</v>
      </c>
      <c r="P78" s="188">
        <f t="shared" si="108"/>
        <v>70000000</v>
      </c>
      <c r="Q78" s="188">
        <f t="shared" si="108"/>
        <v>90000000</v>
      </c>
      <c r="R78" s="188">
        <f t="shared" si="108"/>
        <v>130000000</v>
      </c>
      <c r="S78" s="188">
        <f t="shared" si="108"/>
        <v>90000000</v>
      </c>
      <c r="T78" s="188">
        <f t="shared" si="108"/>
        <v>60000000</v>
      </c>
      <c r="U78" s="188">
        <f t="shared" si="108"/>
        <v>80000000</v>
      </c>
      <c r="V78" s="188">
        <f t="shared" si="108"/>
        <v>110000000</v>
      </c>
      <c r="W78" s="188">
        <f t="shared" si="108"/>
        <v>110000000</v>
      </c>
      <c r="X78" s="188">
        <f t="shared" si="80"/>
        <v>91000000</v>
      </c>
    </row>
    <row r="79" spans="1:48" x14ac:dyDescent="0.25">
      <c r="A79" s="155" t="s">
        <v>98</v>
      </c>
      <c r="B79" s="155">
        <v>6</v>
      </c>
      <c r="C79" s="155">
        <v>1</v>
      </c>
      <c r="D79" s="155">
        <v>1</v>
      </c>
      <c r="E79" s="155">
        <v>0</v>
      </c>
      <c r="F79" s="155">
        <v>4</v>
      </c>
      <c r="G79" s="155">
        <v>4</v>
      </c>
      <c r="H79" s="155">
        <v>8</v>
      </c>
      <c r="I79" s="155">
        <v>4</v>
      </c>
      <c r="J79" s="155">
        <v>3</v>
      </c>
      <c r="K79" s="155">
        <v>2</v>
      </c>
      <c r="L79" s="155">
        <v>3</v>
      </c>
      <c r="M79" s="155">
        <f>AVERAGE(C79:L79)</f>
        <v>3</v>
      </c>
      <c r="N79" s="188">
        <f>(C79/0.01)*10^($B$79)</f>
        <v>100000000</v>
      </c>
      <c r="O79" s="188">
        <f t="shared" ref="O79:W79" si="109">(D79/0.01)*10^($B$79)</f>
        <v>100000000</v>
      </c>
      <c r="P79" s="188">
        <f t="shared" si="109"/>
        <v>0</v>
      </c>
      <c r="Q79" s="188">
        <f t="shared" si="109"/>
        <v>400000000</v>
      </c>
      <c r="R79" s="188">
        <f t="shared" si="109"/>
        <v>400000000</v>
      </c>
      <c r="S79" s="188">
        <f t="shared" si="109"/>
        <v>800000000</v>
      </c>
      <c r="T79" s="188">
        <f t="shared" si="109"/>
        <v>400000000</v>
      </c>
      <c r="U79" s="188">
        <f t="shared" si="109"/>
        <v>300000000</v>
      </c>
      <c r="V79" s="188">
        <f t="shared" si="109"/>
        <v>200000000</v>
      </c>
      <c r="W79" s="188">
        <f t="shared" si="109"/>
        <v>300000000</v>
      </c>
      <c r="X79" s="188">
        <f t="shared" si="80"/>
        <v>300000000</v>
      </c>
      <c r="Z79" s="155">
        <v>5</v>
      </c>
      <c r="AA79" s="155">
        <v>29</v>
      </c>
      <c r="AB79" s="155">
        <v>29</v>
      </c>
      <c r="AC79" s="155">
        <v>29</v>
      </c>
      <c r="AD79" s="155">
        <v>22</v>
      </c>
      <c r="AE79" s="155">
        <v>23</v>
      </c>
      <c r="AF79" s="155">
        <v>28</v>
      </c>
      <c r="AG79" s="155">
        <v>30</v>
      </c>
      <c r="AH79" s="155">
        <v>20</v>
      </c>
      <c r="AI79" s="155">
        <v>27</v>
      </c>
      <c r="AJ79" s="155">
        <v>29</v>
      </c>
      <c r="AK79" s="155">
        <f>AVERAGE(AA79:AJ79)</f>
        <v>26.6</v>
      </c>
      <c r="AL79" s="155">
        <f>(AA79/0.01)*10^($Z$79)</f>
        <v>290000000</v>
      </c>
      <c r="AM79" s="155">
        <f t="shared" ref="AM79:AU79" si="110">(AB79/0.01)*10^($Z$79)</f>
        <v>290000000</v>
      </c>
      <c r="AN79" s="155">
        <f t="shared" si="110"/>
        <v>290000000</v>
      </c>
      <c r="AO79" s="155">
        <f t="shared" si="110"/>
        <v>220000000</v>
      </c>
      <c r="AP79" s="155">
        <f t="shared" si="110"/>
        <v>230000000</v>
      </c>
      <c r="AQ79" s="155">
        <f t="shared" si="110"/>
        <v>280000000</v>
      </c>
      <c r="AR79" s="155">
        <f t="shared" si="110"/>
        <v>300000000</v>
      </c>
      <c r="AS79" s="155">
        <f t="shared" si="110"/>
        <v>200000000</v>
      </c>
      <c r="AT79" s="155">
        <f t="shared" si="110"/>
        <v>270000000</v>
      </c>
      <c r="AU79" s="155">
        <f t="shared" si="110"/>
        <v>290000000</v>
      </c>
      <c r="AV79" s="155">
        <f t="shared" si="91"/>
        <v>266000000</v>
      </c>
    </row>
    <row r="80" spans="1:48" x14ac:dyDescent="0.25">
      <c r="A80" s="155" t="s">
        <v>99</v>
      </c>
      <c r="B80" s="155">
        <v>6</v>
      </c>
      <c r="C80" s="155">
        <v>5</v>
      </c>
      <c r="D80" s="155">
        <v>1</v>
      </c>
      <c r="E80" s="155">
        <v>2</v>
      </c>
      <c r="F80" s="155">
        <v>2</v>
      </c>
      <c r="G80" s="155">
        <v>0</v>
      </c>
      <c r="H80" s="155">
        <v>1</v>
      </c>
      <c r="I80" s="155">
        <v>3</v>
      </c>
      <c r="J80" s="155">
        <v>5</v>
      </c>
      <c r="K80" s="155">
        <v>1</v>
      </c>
      <c r="L80" s="155">
        <v>4</v>
      </c>
      <c r="M80" s="155">
        <f t="shared" ref="M80:M93" si="111">AVERAGE(C80:L80)</f>
        <v>2.4</v>
      </c>
      <c r="N80" s="188">
        <f>(C80/0.01)*10^($B$80)</f>
        <v>500000000</v>
      </c>
      <c r="O80" s="188">
        <f t="shared" ref="O80:W80" si="112">(D80/0.01)*10^($B$80)</f>
        <v>100000000</v>
      </c>
      <c r="P80" s="188">
        <f t="shared" si="112"/>
        <v>200000000</v>
      </c>
      <c r="Q80" s="188">
        <f t="shared" si="112"/>
        <v>200000000</v>
      </c>
      <c r="R80" s="188">
        <f t="shared" si="112"/>
        <v>0</v>
      </c>
      <c r="S80" s="188">
        <f t="shared" si="112"/>
        <v>100000000</v>
      </c>
      <c r="T80" s="188">
        <f t="shared" si="112"/>
        <v>300000000</v>
      </c>
      <c r="U80" s="188">
        <f t="shared" si="112"/>
        <v>500000000</v>
      </c>
      <c r="V80" s="188">
        <f t="shared" si="112"/>
        <v>100000000</v>
      </c>
      <c r="W80" s="188">
        <f t="shared" si="112"/>
        <v>400000000</v>
      </c>
      <c r="X80" s="188">
        <f t="shared" si="80"/>
        <v>240000000</v>
      </c>
      <c r="Z80" s="155">
        <v>5</v>
      </c>
      <c r="AA80" s="155">
        <v>33</v>
      </c>
      <c r="AB80" s="155">
        <v>25</v>
      </c>
      <c r="AC80" s="155">
        <v>23</v>
      </c>
      <c r="AD80" s="155">
        <v>24</v>
      </c>
      <c r="AE80" s="155">
        <v>21</v>
      </c>
      <c r="AF80" s="155">
        <v>30</v>
      </c>
      <c r="AG80" s="155">
        <v>27</v>
      </c>
      <c r="AH80" s="155">
        <v>28</v>
      </c>
      <c r="AI80" s="155">
        <v>27</v>
      </c>
      <c r="AJ80" s="155">
        <v>26</v>
      </c>
      <c r="AK80" s="155">
        <f t="shared" ref="AK80:AK81" si="113">AVERAGE(AA80:AJ80)</f>
        <v>26.4</v>
      </c>
      <c r="AL80" s="155">
        <f>(AA80/0.01)*10^($Z$80)</f>
        <v>330000000</v>
      </c>
      <c r="AM80" s="155">
        <f t="shared" ref="AM80:AU80" si="114">(AB80/0.01)*10^($Z$80)</f>
        <v>250000000</v>
      </c>
      <c r="AN80" s="155">
        <f t="shared" si="114"/>
        <v>230000000</v>
      </c>
      <c r="AO80" s="155">
        <f t="shared" si="114"/>
        <v>240000000</v>
      </c>
      <c r="AP80" s="155">
        <f t="shared" si="114"/>
        <v>210000000</v>
      </c>
      <c r="AQ80" s="155">
        <f t="shared" si="114"/>
        <v>300000000</v>
      </c>
      <c r="AR80" s="155">
        <f t="shared" si="114"/>
        <v>270000000</v>
      </c>
      <c r="AS80" s="155">
        <f t="shared" si="114"/>
        <v>280000000</v>
      </c>
      <c r="AT80" s="155">
        <f t="shared" si="114"/>
        <v>270000000</v>
      </c>
      <c r="AU80" s="155">
        <f t="shared" si="114"/>
        <v>260000000</v>
      </c>
      <c r="AV80" s="155">
        <f t="shared" si="91"/>
        <v>264000000</v>
      </c>
    </row>
    <row r="81" spans="1:48" x14ac:dyDescent="0.25">
      <c r="A81" s="155" t="s">
        <v>100</v>
      </c>
      <c r="B81" s="155">
        <v>6</v>
      </c>
      <c r="C81" s="155">
        <v>0</v>
      </c>
      <c r="D81" s="155">
        <v>3</v>
      </c>
      <c r="E81" s="155">
        <v>3</v>
      </c>
      <c r="F81" s="155">
        <v>1</v>
      </c>
      <c r="G81" s="155">
        <v>3</v>
      </c>
      <c r="H81" s="155">
        <v>6</v>
      </c>
      <c r="I81" s="155">
        <v>0</v>
      </c>
      <c r="J81" s="155">
        <v>1</v>
      </c>
      <c r="K81" s="155">
        <v>0</v>
      </c>
      <c r="L81" s="155">
        <v>7</v>
      </c>
      <c r="M81" s="155">
        <f t="shared" si="111"/>
        <v>2.4</v>
      </c>
      <c r="N81" s="188">
        <f>(C81/0.01)*10^($B$81)</f>
        <v>0</v>
      </c>
      <c r="O81" s="188">
        <f t="shared" ref="O81:W81" si="115">(D81/0.01)*10^($B$81)</f>
        <v>300000000</v>
      </c>
      <c r="P81" s="188">
        <f t="shared" si="115"/>
        <v>300000000</v>
      </c>
      <c r="Q81" s="188">
        <f t="shared" si="115"/>
        <v>100000000</v>
      </c>
      <c r="R81" s="188">
        <f t="shared" si="115"/>
        <v>300000000</v>
      </c>
      <c r="S81" s="188">
        <f t="shared" si="115"/>
        <v>600000000</v>
      </c>
      <c r="T81" s="188">
        <f t="shared" si="115"/>
        <v>0</v>
      </c>
      <c r="U81" s="188">
        <f t="shared" si="115"/>
        <v>100000000</v>
      </c>
      <c r="V81" s="188">
        <f t="shared" si="115"/>
        <v>0</v>
      </c>
      <c r="W81" s="188">
        <f t="shared" si="115"/>
        <v>700000000</v>
      </c>
      <c r="X81" s="188">
        <f t="shared" si="80"/>
        <v>240000000</v>
      </c>
      <c r="Z81" s="155">
        <v>5</v>
      </c>
      <c r="AA81" s="155">
        <v>21</v>
      </c>
      <c r="AB81" s="155">
        <v>26</v>
      </c>
      <c r="AC81" s="155">
        <v>20</v>
      </c>
      <c r="AD81" s="155">
        <v>32</v>
      </c>
      <c r="AE81" s="155">
        <v>22</v>
      </c>
      <c r="AF81" s="155">
        <v>15</v>
      </c>
      <c r="AG81" s="155">
        <v>26</v>
      </c>
      <c r="AH81" s="155">
        <v>33</v>
      </c>
      <c r="AI81" s="155">
        <v>29</v>
      </c>
      <c r="AJ81" s="155">
        <v>26</v>
      </c>
      <c r="AK81" s="155">
        <f t="shared" si="113"/>
        <v>25</v>
      </c>
      <c r="AL81" s="155">
        <f>(AA81/0.01)*10^($Z$81)</f>
        <v>210000000</v>
      </c>
      <c r="AM81" s="155">
        <f t="shared" ref="AM81:AU81" si="116">(AB81/0.01)*10^($Z$81)</f>
        <v>260000000</v>
      </c>
      <c r="AN81" s="155">
        <f t="shared" si="116"/>
        <v>200000000</v>
      </c>
      <c r="AO81" s="155">
        <f t="shared" si="116"/>
        <v>320000000</v>
      </c>
      <c r="AP81" s="155">
        <f t="shared" si="116"/>
        <v>220000000</v>
      </c>
      <c r="AQ81" s="155">
        <f t="shared" si="116"/>
        <v>150000000</v>
      </c>
      <c r="AR81" s="155">
        <f t="shared" si="116"/>
        <v>260000000</v>
      </c>
      <c r="AS81" s="155">
        <f t="shared" si="116"/>
        <v>330000000</v>
      </c>
      <c r="AT81" s="155">
        <f t="shared" si="116"/>
        <v>290000000</v>
      </c>
      <c r="AU81" s="155">
        <f t="shared" si="116"/>
        <v>260000000</v>
      </c>
      <c r="AV81" s="155">
        <f t="shared" si="91"/>
        <v>250000000</v>
      </c>
    </row>
    <row r="82" spans="1:48" x14ac:dyDescent="0.25">
      <c r="A82" s="155" t="s">
        <v>104</v>
      </c>
      <c r="B82" s="155">
        <v>6</v>
      </c>
      <c r="C82" s="155">
        <v>7</v>
      </c>
      <c r="D82" s="155">
        <v>3</v>
      </c>
      <c r="E82" s="155">
        <v>2</v>
      </c>
      <c r="F82" s="155">
        <v>2</v>
      </c>
      <c r="G82" s="155">
        <v>8</v>
      </c>
      <c r="H82" s="155">
        <v>5</v>
      </c>
      <c r="I82" s="155">
        <v>2</v>
      </c>
      <c r="J82" s="155">
        <v>0</v>
      </c>
      <c r="K82" s="155">
        <v>3</v>
      </c>
      <c r="L82" s="155">
        <v>1</v>
      </c>
      <c r="M82" s="155">
        <f t="shared" si="111"/>
        <v>3.3</v>
      </c>
      <c r="N82" s="188">
        <f>(C82/0.01)*10^($B$82)</f>
        <v>700000000</v>
      </c>
      <c r="O82" s="188">
        <f t="shared" ref="O82:W82" si="117">(D82/0.01)*10^($B$82)</f>
        <v>300000000</v>
      </c>
      <c r="P82" s="188">
        <f t="shared" si="117"/>
        <v>200000000</v>
      </c>
      <c r="Q82" s="188">
        <f t="shared" si="117"/>
        <v>200000000</v>
      </c>
      <c r="R82" s="188">
        <f t="shared" si="117"/>
        <v>800000000</v>
      </c>
      <c r="S82" s="188">
        <f t="shared" si="117"/>
        <v>500000000</v>
      </c>
      <c r="T82" s="188">
        <f t="shared" si="117"/>
        <v>200000000</v>
      </c>
      <c r="U82" s="188">
        <f t="shared" si="117"/>
        <v>0</v>
      </c>
      <c r="V82" s="188">
        <f t="shared" si="117"/>
        <v>300000000</v>
      </c>
      <c r="W82" s="188">
        <f t="shared" si="117"/>
        <v>100000000</v>
      </c>
      <c r="X82" s="188">
        <f t="shared" si="80"/>
        <v>330000000</v>
      </c>
    </row>
    <row r="83" spans="1:48" x14ac:dyDescent="0.25">
      <c r="A83" s="155" t="s">
        <v>105</v>
      </c>
      <c r="B83" s="155">
        <v>6</v>
      </c>
      <c r="C83" s="155">
        <v>2</v>
      </c>
      <c r="D83" s="155">
        <v>2</v>
      </c>
      <c r="E83" s="155">
        <v>2</v>
      </c>
      <c r="F83" s="155">
        <v>4</v>
      </c>
      <c r="G83" s="155">
        <v>3</v>
      </c>
      <c r="H83" s="155">
        <v>5</v>
      </c>
      <c r="I83" s="155">
        <v>3</v>
      </c>
      <c r="J83" s="155">
        <v>1</v>
      </c>
      <c r="K83" s="155">
        <v>1</v>
      </c>
      <c r="L83" s="155">
        <v>5</v>
      </c>
      <c r="M83" s="155">
        <f t="shared" si="111"/>
        <v>2.8</v>
      </c>
      <c r="N83" s="188">
        <f>(C83/0.01)*10^($B$83)</f>
        <v>200000000</v>
      </c>
      <c r="O83" s="188">
        <f t="shared" ref="O83:W83" si="118">(D83/0.01)*10^($B$83)</f>
        <v>200000000</v>
      </c>
      <c r="P83" s="188">
        <f t="shared" si="118"/>
        <v>200000000</v>
      </c>
      <c r="Q83" s="188">
        <f t="shared" si="118"/>
        <v>400000000</v>
      </c>
      <c r="R83" s="188">
        <f t="shared" si="118"/>
        <v>300000000</v>
      </c>
      <c r="S83" s="188">
        <f t="shared" si="118"/>
        <v>500000000</v>
      </c>
      <c r="T83" s="188">
        <f t="shared" si="118"/>
        <v>300000000</v>
      </c>
      <c r="U83" s="188">
        <f t="shared" si="118"/>
        <v>100000000</v>
      </c>
      <c r="V83" s="188">
        <f t="shared" si="118"/>
        <v>100000000</v>
      </c>
      <c r="W83" s="188">
        <f t="shared" si="118"/>
        <v>500000000</v>
      </c>
      <c r="X83" s="188">
        <f t="shared" si="80"/>
        <v>280000000</v>
      </c>
    </row>
    <row r="84" spans="1:48" x14ac:dyDescent="0.25">
      <c r="A84" s="155" t="s">
        <v>106</v>
      </c>
      <c r="B84" s="155">
        <v>6</v>
      </c>
      <c r="C84" s="155">
        <v>5</v>
      </c>
      <c r="D84" s="155">
        <v>5</v>
      </c>
      <c r="E84" s="155">
        <v>2</v>
      </c>
      <c r="F84" s="155">
        <v>2</v>
      </c>
      <c r="G84" s="155">
        <v>3</v>
      </c>
      <c r="H84" s="155">
        <v>2</v>
      </c>
      <c r="I84" s="155">
        <v>5</v>
      </c>
      <c r="J84" s="155">
        <v>10</v>
      </c>
      <c r="K84" s="155">
        <v>1</v>
      </c>
      <c r="L84" s="155">
        <v>3</v>
      </c>
      <c r="M84" s="155">
        <f t="shared" si="111"/>
        <v>3.8</v>
      </c>
      <c r="N84" s="188">
        <f>(C84/0.01)*10^($B$84)</f>
        <v>500000000</v>
      </c>
      <c r="O84" s="188">
        <f t="shared" ref="O84:W84" si="119">(D84/0.01)*10^($B$84)</f>
        <v>500000000</v>
      </c>
      <c r="P84" s="188">
        <f t="shared" si="119"/>
        <v>200000000</v>
      </c>
      <c r="Q84" s="188">
        <f t="shared" si="119"/>
        <v>200000000</v>
      </c>
      <c r="R84" s="188">
        <f t="shared" si="119"/>
        <v>300000000</v>
      </c>
      <c r="S84" s="188">
        <f t="shared" si="119"/>
        <v>200000000</v>
      </c>
      <c r="T84" s="188">
        <f t="shared" si="119"/>
        <v>500000000</v>
      </c>
      <c r="U84" s="188">
        <f t="shared" si="119"/>
        <v>1000000000</v>
      </c>
      <c r="V84" s="188">
        <f t="shared" si="119"/>
        <v>100000000</v>
      </c>
      <c r="W84" s="188">
        <f t="shared" si="119"/>
        <v>300000000</v>
      </c>
      <c r="X84" s="188">
        <f t="shared" si="80"/>
        <v>380000000</v>
      </c>
    </row>
    <row r="85" spans="1:48" x14ac:dyDescent="0.25">
      <c r="A85" s="155" t="s">
        <v>110</v>
      </c>
      <c r="B85" s="155">
        <v>6</v>
      </c>
      <c r="C85" s="155">
        <v>6</v>
      </c>
      <c r="D85" s="155">
        <v>4</v>
      </c>
      <c r="E85" s="155">
        <v>3</v>
      </c>
      <c r="F85" s="155">
        <v>2</v>
      </c>
      <c r="G85" s="155">
        <v>3</v>
      </c>
      <c r="H85" s="155">
        <v>3</v>
      </c>
      <c r="I85" s="155">
        <v>5</v>
      </c>
      <c r="J85" s="155">
        <v>6</v>
      </c>
      <c r="K85" s="155">
        <v>5</v>
      </c>
      <c r="L85" s="155">
        <v>4</v>
      </c>
      <c r="M85" s="155">
        <f t="shared" si="111"/>
        <v>4.0999999999999996</v>
      </c>
      <c r="N85" s="188">
        <f>(C85/0.01)*10^($B$85)</f>
        <v>600000000</v>
      </c>
      <c r="O85" s="188">
        <f t="shared" ref="O85:W85" si="120">(D85/0.01)*10^($B$85)</f>
        <v>400000000</v>
      </c>
      <c r="P85" s="188">
        <f t="shared" si="120"/>
        <v>300000000</v>
      </c>
      <c r="Q85" s="188">
        <f t="shared" si="120"/>
        <v>200000000</v>
      </c>
      <c r="R85" s="188">
        <f t="shared" si="120"/>
        <v>300000000</v>
      </c>
      <c r="S85" s="188">
        <f t="shared" si="120"/>
        <v>300000000</v>
      </c>
      <c r="T85" s="188">
        <f t="shared" si="120"/>
        <v>500000000</v>
      </c>
      <c r="U85" s="188">
        <f t="shared" si="120"/>
        <v>600000000</v>
      </c>
      <c r="V85" s="188">
        <f t="shared" si="120"/>
        <v>500000000</v>
      </c>
      <c r="W85" s="188">
        <f t="shared" si="120"/>
        <v>400000000</v>
      </c>
      <c r="X85" s="188">
        <f t="shared" si="80"/>
        <v>410000000</v>
      </c>
    </row>
    <row r="86" spans="1:48" x14ac:dyDescent="0.25">
      <c r="A86" s="155" t="s">
        <v>111</v>
      </c>
      <c r="B86" s="155">
        <v>6</v>
      </c>
      <c r="C86" s="155">
        <v>4</v>
      </c>
      <c r="D86" s="155">
        <v>6</v>
      </c>
      <c r="E86" s="155">
        <v>4</v>
      </c>
      <c r="F86" s="155">
        <v>1</v>
      </c>
      <c r="G86" s="155">
        <v>7</v>
      </c>
      <c r="H86" s="155">
        <v>7</v>
      </c>
      <c r="I86" s="155">
        <v>2</v>
      </c>
      <c r="J86" s="155">
        <v>3</v>
      </c>
      <c r="K86" s="155">
        <v>5</v>
      </c>
      <c r="L86" s="155">
        <v>6</v>
      </c>
      <c r="M86" s="155">
        <f t="shared" si="111"/>
        <v>4.5</v>
      </c>
      <c r="N86" s="188">
        <f>(C86/0.01)*10^($B$86)</f>
        <v>400000000</v>
      </c>
      <c r="O86" s="188">
        <f t="shared" ref="O86:W86" si="121">(D86/0.01)*10^($B$86)</f>
        <v>600000000</v>
      </c>
      <c r="P86" s="188">
        <f t="shared" si="121"/>
        <v>400000000</v>
      </c>
      <c r="Q86" s="188">
        <f t="shared" si="121"/>
        <v>100000000</v>
      </c>
      <c r="R86" s="188">
        <f t="shared" si="121"/>
        <v>700000000</v>
      </c>
      <c r="S86" s="188">
        <f t="shared" si="121"/>
        <v>700000000</v>
      </c>
      <c r="T86" s="188">
        <f t="shared" si="121"/>
        <v>200000000</v>
      </c>
      <c r="U86" s="188">
        <f t="shared" si="121"/>
        <v>300000000</v>
      </c>
      <c r="V86" s="188">
        <f t="shared" si="121"/>
        <v>500000000</v>
      </c>
      <c r="W86" s="188">
        <f t="shared" si="121"/>
        <v>600000000</v>
      </c>
      <c r="X86" s="188">
        <f t="shared" si="80"/>
        <v>450000000</v>
      </c>
    </row>
    <row r="87" spans="1:48" x14ac:dyDescent="0.25">
      <c r="A87" s="155" t="s">
        <v>112</v>
      </c>
      <c r="B87" s="155">
        <v>6</v>
      </c>
      <c r="C87" s="155">
        <v>5</v>
      </c>
      <c r="D87" s="155">
        <v>8</v>
      </c>
      <c r="E87" s="155">
        <v>4</v>
      </c>
      <c r="F87" s="155">
        <v>2</v>
      </c>
      <c r="G87" s="155">
        <v>3</v>
      </c>
      <c r="H87" s="155">
        <v>3</v>
      </c>
      <c r="I87" s="155">
        <v>5</v>
      </c>
      <c r="J87" s="155">
        <v>2</v>
      </c>
      <c r="K87" s="155">
        <v>1</v>
      </c>
      <c r="L87" s="155">
        <v>6</v>
      </c>
      <c r="M87" s="155">
        <f t="shared" si="111"/>
        <v>3.9</v>
      </c>
      <c r="N87" s="188">
        <f>(C87/0.01)*10^($B$87)</f>
        <v>500000000</v>
      </c>
      <c r="O87" s="188">
        <f t="shared" ref="O87:W87" si="122">(D87/0.01)*10^($B$87)</f>
        <v>800000000</v>
      </c>
      <c r="P87" s="188">
        <f t="shared" si="122"/>
        <v>400000000</v>
      </c>
      <c r="Q87" s="188">
        <f t="shared" si="122"/>
        <v>200000000</v>
      </c>
      <c r="R87" s="188">
        <f t="shared" si="122"/>
        <v>300000000</v>
      </c>
      <c r="S87" s="188">
        <f t="shared" si="122"/>
        <v>300000000</v>
      </c>
      <c r="T87" s="188">
        <f t="shared" si="122"/>
        <v>500000000</v>
      </c>
      <c r="U87" s="188">
        <f t="shared" si="122"/>
        <v>200000000</v>
      </c>
      <c r="V87" s="188">
        <f t="shared" si="122"/>
        <v>100000000</v>
      </c>
      <c r="W87" s="188">
        <f t="shared" si="122"/>
        <v>600000000</v>
      </c>
      <c r="X87" s="188">
        <f t="shared" si="80"/>
        <v>390000000</v>
      </c>
    </row>
    <row r="88" spans="1:48" x14ac:dyDescent="0.25">
      <c r="A88" s="155" t="s">
        <v>151</v>
      </c>
      <c r="B88" s="155">
        <v>6</v>
      </c>
      <c r="C88" s="155">
        <v>6</v>
      </c>
      <c r="D88" s="155">
        <v>3</v>
      </c>
      <c r="E88" s="155">
        <v>3</v>
      </c>
      <c r="F88" s="155">
        <v>7</v>
      </c>
      <c r="G88" s="155">
        <v>7</v>
      </c>
      <c r="H88" s="155">
        <v>3</v>
      </c>
      <c r="I88" s="155">
        <v>7</v>
      </c>
      <c r="J88" s="155">
        <v>5</v>
      </c>
      <c r="K88" s="155">
        <v>3</v>
      </c>
      <c r="L88" s="155">
        <v>2</v>
      </c>
      <c r="M88" s="155">
        <f t="shared" si="111"/>
        <v>4.5999999999999996</v>
      </c>
      <c r="N88" s="188">
        <f>(C88/0.01)*10^($B$88)</f>
        <v>600000000</v>
      </c>
      <c r="O88" s="188">
        <f t="shared" ref="O88:W88" si="123">(D88/0.01)*10^($B$88)</f>
        <v>300000000</v>
      </c>
      <c r="P88" s="188">
        <f t="shared" si="123"/>
        <v>300000000</v>
      </c>
      <c r="Q88" s="188">
        <f t="shared" si="123"/>
        <v>700000000</v>
      </c>
      <c r="R88" s="188">
        <f t="shared" si="123"/>
        <v>700000000</v>
      </c>
      <c r="S88" s="188">
        <f t="shared" si="123"/>
        <v>300000000</v>
      </c>
      <c r="T88" s="188">
        <f t="shared" si="123"/>
        <v>700000000</v>
      </c>
      <c r="U88" s="188">
        <f t="shared" si="123"/>
        <v>500000000</v>
      </c>
      <c r="V88" s="188">
        <f t="shared" si="123"/>
        <v>300000000</v>
      </c>
      <c r="W88" s="188">
        <f t="shared" si="123"/>
        <v>200000000</v>
      </c>
      <c r="X88" s="188">
        <f t="shared" si="80"/>
        <v>460000000</v>
      </c>
    </row>
    <row r="89" spans="1:48" x14ac:dyDescent="0.25">
      <c r="A89" s="155" t="s">
        <v>152</v>
      </c>
      <c r="B89" s="155">
        <v>6</v>
      </c>
      <c r="C89" s="155">
        <v>4</v>
      </c>
      <c r="D89" s="155">
        <v>4</v>
      </c>
      <c r="E89" s="155">
        <v>4</v>
      </c>
      <c r="F89" s="155">
        <v>4</v>
      </c>
      <c r="G89" s="155">
        <v>6</v>
      </c>
      <c r="H89" s="155">
        <v>2</v>
      </c>
      <c r="I89" s="155">
        <v>4</v>
      </c>
      <c r="J89" s="155">
        <v>5</v>
      </c>
      <c r="K89" s="155">
        <v>3</v>
      </c>
      <c r="L89" s="155">
        <v>1</v>
      </c>
      <c r="M89" s="155">
        <f t="shared" si="111"/>
        <v>3.7</v>
      </c>
      <c r="N89" s="188">
        <f>(C89/0.01)*10^($B$89)</f>
        <v>400000000</v>
      </c>
      <c r="O89" s="188">
        <f t="shared" ref="O89:W89" si="124">(D89/0.01)*10^($B$89)</f>
        <v>400000000</v>
      </c>
      <c r="P89" s="188">
        <f t="shared" si="124"/>
        <v>400000000</v>
      </c>
      <c r="Q89" s="188">
        <f t="shared" si="124"/>
        <v>400000000</v>
      </c>
      <c r="R89" s="188">
        <f t="shared" si="124"/>
        <v>600000000</v>
      </c>
      <c r="S89" s="188">
        <f t="shared" si="124"/>
        <v>200000000</v>
      </c>
      <c r="T89" s="188">
        <f t="shared" si="124"/>
        <v>400000000</v>
      </c>
      <c r="U89" s="188">
        <f t="shared" si="124"/>
        <v>500000000</v>
      </c>
      <c r="V89" s="188">
        <f t="shared" si="124"/>
        <v>300000000</v>
      </c>
      <c r="W89" s="188">
        <f t="shared" si="124"/>
        <v>100000000</v>
      </c>
      <c r="X89" s="188">
        <f t="shared" si="80"/>
        <v>370000000</v>
      </c>
    </row>
    <row r="90" spans="1:48" x14ac:dyDescent="0.25">
      <c r="A90" s="155" t="s">
        <v>153</v>
      </c>
      <c r="B90" s="155">
        <v>6</v>
      </c>
      <c r="C90" s="155">
        <v>4</v>
      </c>
      <c r="D90" s="155">
        <v>4</v>
      </c>
      <c r="E90" s="155">
        <v>2</v>
      </c>
      <c r="F90" s="155">
        <v>1</v>
      </c>
      <c r="G90" s="155">
        <v>3</v>
      </c>
      <c r="H90" s="155">
        <v>2</v>
      </c>
      <c r="I90" s="155">
        <v>4</v>
      </c>
      <c r="J90" s="155">
        <v>3</v>
      </c>
      <c r="K90" s="155">
        <v>8</v>
      </c>
      <c r="L90" s="155">
        <v>3</v>
      </c>
      <c r="M90" s="155">
        <f t="shared" si="111"/>
        <v>3.4</v>
      </c>
      <c r="N90" s="188">
        <f>(C90/0.01)*10^($B$90)</f>
        <v>400000000</v>
      </c>
      <c r="O90" s="188">
        <f t="shared" ref="O90:W90" si="125">(D90/0.01)*10^($B$90)</f>
        <v>400000000</v>
      </c>
      <c r="P90" s="188">
        <f t="shared" si="125"/>
        <v>200000000</v>
      </c>
      <c r="Q90" s="188">
        <f t="shared" si="125"/>
        <v>100000000</v>
      </c>
      <c r="R90" s="188">
        <f t="shared" si="125"/>
        <v>300000000</v>
      </c>
      <c r="S90" s="188">
        <f t="shared" si="125"/>
        <v>200000000</v>
      </c>
      <c r="T90" s="188">
        <f t="shared" si="125"/>
        <v>400000000</v>
      </c>
      <c r="U90" s="188">
        <f t="shared" si="125"/>
        <v>300000000</v>
      </c>
      <c r="V90" s="188">
        <f t="shared" si="125"/>
        <v>800000000</v>
      </c>
      <c r="W90" s="188">
        <f t="shared" si="125"/>
        <v>300000000</v>
      </c>
      <c r="X90" s="188">
        <f t="shared" si="80"/>
        <v>340000000</v>
      </c>
    </row>
    <row r="91" spans="1:48" x14ac:dyDescent="0.25">
      <c r="A91" s="155" t="s">
        <v>154</v>
      </c>
      <c r="B91" s="155">
        <v>6</v>
      </c>
      <c r="C91" s="155">
        <v>4</v>
      </c>
      <c r="D91" s="155">
        <v>6</v>
      </c>
      <c r="E91" s="155">
        <v>4</v>
      </c>
      <c r="F91" s="155">
        <v>5</v>
      </c>
      <c r="G91" s="155">
        <v>4</v>
      </c>
      <c r="H91" s="155">
        <v>8</v>
      </c>
      <c r="I91" s="155">
        <v>8</v>
      </c>
      <c r="J91" s="155">
        <v>8</v>
      </c>
      <c r="K91" s="155">
        <v>2</v>
      </c>
      <c r="L91" s="155">
        <v>2</v>
      </c>
      <c r="M91" s="155">
        <f t="shared" si="111"/>
        <v>5.0999999999999996</v>
      </c>
      <c r="N91" s="188">
        <f>(C91/0.01)*10^($B$91)</f>
        <v>400000000</v>
      </c>
      <c r="O91" s="188">
        <f t="shared" ref="O91:W91" si="126">(D91/0.01)*10^($B$91)</f>
        <v>600000000</v>
      </c>
      <c r="P91" s="188">
        <f t="shared" si="126"/>
        <v>400000000</v>
      </c>
      <c r="Q91" s="188">
        <f t="shared" si="126"/>
        <v>500000000</v>
      </c>
      <c r="R91" s="188">
        <f t="shared" si="126"/>
        <v>400000000</v>
      </c>
      <c r="S91" s="188">
        <f t="shared" si="126"/>
        <v>800000000</v>
      </c>
      <c r="T91" s="188">
        <f t="shared" si="126"/>
        <v>800000000</v>
      </c>
      <c r="U91" s="188">
        <f t="shared" si="126"/>
        <v>800000000</v>
      </c>
      <c r="V91" s="188">
        <f t="shared" si="126"/>
        <v>200000000</v>
      </c>
      <c r="W91" s="188">
        <f t="shared" si="126"/>
        <v>200000000</v>
      </c>
      <c r="X91" s="188">
        <f t="shared" si="80"/>
        <v>510000000</v>
      </c>
    </row>
    <row r="92" spans="1:48" x14ac:dyDescent="0.25">
      <c r="A92" s="155" t="s">
        <v>155</v>
      </c>
      <c r="B92" s="155">
        <v>6</v>
      </c>
      <c r="C92" s="155">
        <v>5</v>
      </c>
      <c r="D92" s="155">
        <v>8</v>
      </c>
      <c r="E92" s="155">
        <v>1</v>
      </c>
      <c r="F92" s="155">
        <v>4</v>
      </c>
      <c r="G92" s="155">
        <v>8</v>
      </c>
      <c r="H92" s="155">
        <v>6</v>
      </c>
      <c r="I92" s="155">
        <v>4</v>
      </c>
      <c r="J92" s="155">
        <v>4</v>
      </c>
      <c r="K92" s="155">
        <v>5</v>
      </c>
      <c r="L92" s="155">
        <v>8</v>
      </c>
      <c r="M92" s="155">
        <f>AVERAGE(C92:L92)</f>
        <v>5.3</v>
      </c>
      <c r="N92" s="188">
        <f>(C92/0.01)*10^($B$92)</f>
        <v>500000000</v>
      </c>
      <c r="O92" s="188">
        <f t="shared" ref="O92:W92" si="127">(D92/0.01)*10^($B$92)</f>
        <v>800000000</v>
      </c>
      <c r="P92" s="188">
        <f t="shared" si="127"/>
        <v>100000000</v>
      </c>
      <c r="Q92" s="188">
        <f t="shared" si="127"/>
        <v>400000000</v>
      </c>
      <c r="R92" s="188">
        <f t="shared" si="127"/>
        <v>800000000</v>
      </c>
      <c r="S92" s="188">
        <f t="shared" si="127"/>
        <v>600000000</v>
      </c>
      <c r="T92" s="188">
        <f t="shared" si="127"/>
        <v>400000000</v>
      </c>
      <c r="U92" s="188">
        <f t="shared" si="127"/>
        <v>400000000</v>
      </c>
      <c r="V92" s="188">
        <f t="shared" si="127"/>
        <v>500000000</v>
      </c>
      <c r="W92" s="188">
        <f t="shared" si="127"/>
        <v>800000000</v>
      </c>
      <c r="X92" s="188">
        <f t="shared" si="80"/>
        <v>530000000</v>
      </c>
    </row>
    <row r="93" spans="1:48" x14ac:dyDescent="0.25">
      <c r="A93" s="155" t="s">
        <v>156</v>
      </c>
      <c r="B93" s="155">
        <v>6</v>
      </c>
      <c r="C93" s="155">
        <v>1</v>
      </c>
      <c r="D93" s="155">
        <v>2</v>
      </c>
      <c r="E93" s="155">
        <v>2</v>
      </c>
      <c r="F93" s="155">
        <v>3</v>
      </c>
      <c r="G93" s="155">
        <v>3</v>
      </c>
      <c r="H93" s="155">
        <v>9</v>
      </c>
      <c r="I93" s="155">
        <v>4</v>
      </c>
      <c r="J93" s="155">
        <v>6</v>
      </c>
      <c r="K93" s="155">
        <v>4</v>
      </c>
      <c r="L93" s="155">
        <v>5</v>
      </c>
      <c r="M93" s="155">
        <f t="shared" si="111"/>
        <v>3.9</v>
      </c>
      <c r="N93" s="188">
        <f>(C93/0.01)*10^($B$93)</f>
        <v>100000000</v>
      </c>
      <c r="O93" s="188">
        <f t="shared" ref="O93:W93" si="128">(D93/0.01)*10^($B$93)</f>
        <v>200000000</v>
      </c>
      <c r="P93" s="188">
        <f t="shared" si="128"/>
        <v>200000000</v>
      </c>
      <c r="Q93" s="188">
        <f t="shared" si="128"/>
        <v>300000000</v>
      </c>
      <c r="R93" s="188">
        <f t="shared" si="128"/>
        <v>300000000</v>
      </c>
      <c r="S93" s="188">
        <f t="shared" si="128"/>
        <v>900000000</v>
      </c>
      <c r="T93" s="188">
        <f t="shared" si="128"/>
        <v>400000000</v>
      </c>
      <c r="U93" s="188">
        <f t="shared" si="128"/>
        <v>600000000</v>
      </c>
      <c r="V93" s="188">
        <f t="shared" si="128"/>
        <v>400000000</v>
      </c>
      <c r="W93" s="188">
        <f t="shared" si="128"/>
        <v>500000000</v>
      </c>
      <c r="X93" s="188">
        <f t="shared" si="80"/>
        <v>390000000</v>
      </c>
    </row>
    <row r="95" spans="1:48" x14ac:dyDescent="0.25">
      <c r="F95" s="242"/>
    </row>
    <row r="96" spans="1:48" x14ac:dyDescent="0.25">
      <c r="B96" s="188"/>
      <c r="C96" s="188"/>
      <c r="E96" s="188"/>
      <c r="F96" s="188"/>
      <c r="H96" s="174"/>
      <c r="I96" s="174"/>
    </row>
    <row r="97" spans="2:9" x14ac:dyDescent="0.25">
      <c r="B97" s="188"/>
      <c r="C97" s="188"/>
      <c r="E97" s="188"/>
      <c r="F97" s="188"/>
      <c r="H97" s="174"/>
      <c r="I97" s="174"/>
    </row>
    <row r="98" spans="2:9" x14ac:dyDescent="0.25">
      <c r="B98" s="188"/>
      <c r="C98" s="188"/>
      <c r="E98" s="188"/>
      <c r="F98" s="188"/>
      <c r="H98" s="174"/>
      <c r="I98" s="174"/>
    </row>
    <row r="99" spans="2:9" x14ac:dyDescent="0.25">
      <c r="B99" s="188"/>
      <c r="C99" s="188"/>
      <c r="E99" s="188"/>
      <c r="F99" s="188"/>
      <c r="H99" s="174"/>
      <c r="I99" s="174"/>
    </row>
    <row r="100" spans="2:9" x14ac:dyDescent="0.25">
      <c r="B100" s="188"/>
      <c r="C100" s="188"/>
      <c r="E100" s="188"/>
      <c r="F100" s="188"/>
      <c r="H100" s="174"/>
      <c r="I100" s="174"/>
    </row>
    <row r="101" spans="2:9" x14ac:dyDescent="0.25">
      <c r="B101" s="188"/>
      <c r="C101" s="188"/>
      <c r="E101" s="188"/>
      <c r="F101" s="188"/>
      <c r="H101" s="174"/>
      <c r="I101" s="174"/>
    </row>
    <row r="102" spans="2:9" x14ac:dyDescent="0.25">
      <c r="B102" s="188"/>
      <c r="C102" s="188"/>
      <c r="E102" s="188"/>
      <c r="F102" s="188"/>
      <c r="H102" s="174"/>
      <c r="I102" s="174"/>
    </row>
    <row r="103" spans="2:9" x14ac:dyDescent="0.25">
      <c r="B103" s="188"/>
      <c r="C103" s="188"/>
      <c r="E103" s="188"/>
      <c r="F103" s="188"/>
      <c r="H103" s="174"/>
      <c r="I103" s="174"/>
    </row>
    <row r="104" spans="2:9" x14ac:dyDescent="0.25">
      <c r="B104" s="188"/>
      <c r="C104" s="188"/>
      <c r="E104" s="188"/>
      <c r="F104" s="188"/>
      <c r="H104" s="174"/>
      <c r="I104" s="174"/>
    </row>
    <row r="105" spans="2:9" x14ac:dyDescent="0.25">
      <c r="B105" s="188"/>
      <c r="C105" s="188"/>
      <c r="E105" s="188"/>
      <c r="F105" s="188"/>
      <c r="H105" s="174"/>
      <c r="I105" s="174"/>
    </row>
    <row r="106" spans="2:9" x14ac:dyDescent="0.25">
      <c r="B106" s="188"/>
      <c r="C106" s="188"/>
      <c r="E106" s="188"/>
      <c r="F106" s="188"/>
      <c r="H106" s="174"/>
      <c r="I106" s="174"/>
    </row>
    <row r="107" spans="2:9" x14ac:dyDescent="0.25">
      <c r="B107" s="188"/>
      <c r="C107" s="188"/>
      <c r="E107" s="188"/>
      <c r="F107" s="188"/>
      <c r="H107" s="174"/>
      <c r="I107" s="174"/>
    </row>
    <row r="108" spans="2:9" x14ac:dyDescent="0.25">
      <c r="B108" s="188"/>
      <c r="C108" s="188"/>
      <c r="E108" s="188"/>
      <c r="F108" s="188"/>
      <c r="H108" s="174"/>
      <c r="I108" s="174"/>
    </row>
    <row r="109" spans="2:9" x14ac:dyDescent="0.25">
      <c r="B109" s="188"/>
      <c r="C109" s="188"/>
      <c r="E109" s="188"/>
      <c r="F109" s="188"/>
      <c r="H109" s="174"/>
      <c r="I109" s="174"/>
    </row>
    <row r="110" spans="2:9" x14ac:dyDescent="0.25">
      <c r="B110" s="188"/>
      <c r="C110" s="188"/>
      <c r="E110" s="188"/>
      <c r="F110" s="188"/>
      <c r="H110" s="174"/>
      <c r="I110" s="174"/>
    </row>
    <row r="111" spans="2:9" x14ac:dyDescent="0.25">
      <c r="B111" s="188"/>
      <c r="C111" s="188"/>
      <c r="E111" s="188"/>
      <c r="F111" s="188"/>
      <c r="H111" s="174"/>
      <c r="I111" s="174"/>
    </row>
    <row r="112" spans="2:9" x14ac:dyDescent="0.25">
      <c r="B112" s="188"/>
      <c r="C112" s="188"/>
      <c r="E112" s="188"/>
      <c r="F112" s="188"/>
      <c r="H112" s="174"/>
      <c r="I112" s="174"/>
    </row>
    <row r="113" spans="2:9" x14ac:dyDescent="0.25">
      <c r="B113" s="188"/>
      <c r="C113" s="188"/>
      <c r="E113" s="188"/>
      <c r="F113" s="188"/>
      <c r="H113" s="174"/>
      <c r="I113" s="174"/>
    </row>
  </sheetData>
  <mergeCells count="15">
    <mergeCell ref="AG4:AL4"/>
    <mergeCell ref="E4:J4"/>
    <mergeCell ref="K4:O4"/>
    <mergeCell ref="P4:U4"/>
    <mergeCell ref="V4:AA4"/>
    <mergeCell ref="AB4:AF4"/>
    <mergeCell ref="BS4:BW4"/>
    <mergeCell ref="BX4:CB4"/>
    <mergeCell ref="CC4:CG4"/>
    <mergeCell ref="AM4:AQ4"/>
    <mergeCell ref="AR4:AW4"/>
    <mergeCell ref="AX4:BB4"/>
    <mergeCell ref="BD4:BH4"/>
    <mergeCell ref="BI4:BM4"/>
    <mergeCell ref="BN4:BR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0EA40-B473-41FF-99DA-87F4D1B7F40D}">
  <dimension ref="A1:AU66"/>
  <sheetViews>
    <sheetView workbookViewId="0"/>
  </sheetViews>
  <sheetFormatPr defaultColWidth="8.85546875" defaultRowHeight="15" x14ac:dyDescent="0.25"/>
  <cols>
    <col min="1" max="1" width="71.7109375" style="5" customWidth="1"/>
    <col min="2" max="25" width="8.85546875" style="5"/>
    <col min="26" max="26" width="5.140625" style="5" customWidth="1"/>
    <col min="27" max="27" width="4.28515625" style="5" customWidth="1"/>
    <col min="28" max="33" width="8.85546875" style="5"/>
    <col min="34" max="34" width="3.42578125" style="5" customWidth="1"/>
    <col min="35" max="40" width="8.85546875" style="5"/>
    <col min="41" max="41" width="4.7109375" style="5" customWidth="1"/>
    <col min="42" max="16384" width="8.85546875" style="5"/>
  </cols>
  <sheetData>
    <row r="1" spans="1:47" s="325" customFormat="1" ht="36.950000000000003" customHeight="1" x14ac:dyDescent="0.3">
      <c r="A1" s="325" t="s">
        <v>271</v>
      </c>
      <c r="C1" s="325" t="s">
        <v>272</v>
      </c>
      <c r="N1" s="325" t="s">
        <v>273</v>
      </c>
      <c r="Z1" s="325" t="s">
        <v>274</v>
      </c>
    </row>
    <row r="2" spans="1:47" ht="18.75" x14ac:dyDescent="0.3">
      <c r="A2" s="9" t="s">
        <v>275</v>
      </c>
      <c r="Z2" s="325"/>
      <c r="AA2" s="326" t="s">
        <v>276</v>
      </c>
    </row>
    <row r="3" spans="1:47" ht="15.75" thickBot="1" x14ac:dyDescent="0.3"/>
    <row r="4" spans="1:47" x14ac:dyDescent="0.25">
      <c r="A4" s="9" t="s">
        <v>277</v>
      </c>
      <c r="AA4" s="327" t="s">
        <v>278</v>
      </c>
      <c r="AB4" s="328"/>
      <c r="AC4" s="328"/>
      <c r="AD4" s="329"/>
      <c r="AE4" s="328" t="s">
        <v>14</v>
      </c>
      <c r="AF4" s="328" t="s">
        <v>17</v>
      </c>
      <c r="AG4" s="330" t="s">
        <v>279</v>
      </c>
      <c r="AH4" s="328" t="s">
        <v>280</v>
      </c>
      <c r="AI4" s="328"/>
      <c r="AJ4" s="328"/>
      <c r="AK4" s="329"/>
      <c r="AL4" s="328" t="s">
        <v>14</v>
      </c>
      <c r="AM4" s="328" t="s">
        <v>17</v>
      </c>
      <c r="AN4" s="330" t="s">
        <v>279</v>
      </c>
      <c r="AO4" s="327" t="s">
        <v>281</v>
      </c>
      <c r="AP4" s="328"/>
      <c r="AQ4" s="328"/>
      <c r="AR4" s="329"/>
      <c r="AS4" s="328" t="s">
        <v>14</v>
      </c>
      <c r="AT4" s="328" t="s">
        <v>17</v>
      </c>
      <c r="AU4" s="330" t="s">
        <v>279</v>
      </c>
    </row>
    <row r="5" spans="1:47" x14ac:dyDescent="0.25">
      <c r="A5" s="9" t="s">
        <v>282</v>
      </c>
      <c r="AA5" s="331"/>
      <c r="AB5" s="332" t="s">
        <v>283</v>
      </c>
      <c r="AC5" s="333"/>
      <c r="AD5" s="333"/>
      <c r="AE5" s="332" t="s">
        <v>284</v>
      </c>
      <c r="AF5" s="332" t="s">
        <v>285</v>
      </c>
      <c r="AG5" s="334" t="s">
        <v>255</v>
      </c>
      <c r="AH5" s="333"/>
      <c r="AI5" s="332" t="s">
        <v>283</v>
      </c>
      <c r="AJ5" s="333"/>
      <c r="AK5" s="333"/>
      <c r="AL5" s="332" t="s">
        <v>284</v>
      </c>
      <c r="AM5" s="332" t="s">
        <v>285</v>
      </c>
      <c r="AN5" s="334" t="s">
        <v>255</v>
      </c>
      <c r="AO5" s="333"/>
      <c r="AP5" s="332" t="s">
        <v>283</v>
      </c>
      <c r="AQ5" s="333"/>
      <c r="AR5" s="333"/>
      <c r="AS5" s="332" t="s">
        <v>284</v>
      </c>
      <c r="AT5" s="332" t="s">
        <v>285</v>
      </c>
      <c r="AU5" s="334" t="s">
        <v>255</v>
      </c>
    </row>
    <row r="6" spans="1:47" x14ac:dyDescent="0.25">
      <c r="A6" s="9" t="s">
        <v>286</v>
      </c>
      <c r="AA6" s="331"/>
      <c r="AB6" s="333" t="s">
        <v>287</v>
      </c>
      <c r="AC6" s="333"/>
      <c r="AD6" s="333"/>
      <c r="AE6" s="335">
        <v>0</v>
      </c>
      <c r="AF6" s="336">
        <v>-3.5333333333333332E-3</v>
      </c>
      <c r="AG6" s="337">
        <v>4.7173438854225301E-3</v>
      </c>
      <c r="AH6" s="333"/>
      <c r="AI6" s="333" t="s">
        <v>287</v>
      </c>
      <c r="AJ6" s="333"/>
      <c r="AK6" s="333"/>
      <c r="AL6" s="335">
        <v>0</v>
      </c>
      <c r="AM6" s="333">
        <v>6.8000000000000005E-3</v>
      </c>
      <c r="AN6" s="338">
        <v>1.4797634946166227E-2</v>
      </c>
      <c r="AO6" s="333"/>
      <c r="AP6" s="333" t="s">
        <v>287</v>
      </c>
      <c r="AQ6" s="333"/>
      <c r="AR6" s="333"/>
      <c r="AS6" s="335">
        <v>0</v>
      </c>
      <c r="AT6" s="333">
        <v>-2.8999999999999998E-3</v>
      </c>
      <c r="AU6" s="338">
        <v>7.3776690085690343E-3</v>
      </c>
    </row>
    <row r="7" spans="1:47" x14ac:dyDescent="0.25">
      <c r="AA7" s="331"/>
      <c r="AB7" s="333" t="s">
        <v>288</v>
      </c>
      <c r="AC7" s="333"/>
      <c r="AD7" s="333"/>
      <c r="AE7" s="335">
        <v>7.0000000000000007E-2</v>
      </c>
      <c r="AF7" s="336">
        <v>7.5200000000000003E-2</v>
      </c>
      <c r="AG7" s="337">
        <v>3.0446674695276681E-3</v>
      </c>
      <c r="AH7" s="333"/>
      <c r="AI7" s="333" t="s">
        <v>288</v>
      </c>
      <c r="AJ7" s="333"/>
      <c r="AK7" s="333"/>
      <c r="AL7" s="335">
        <v>7.0000000000000007E-2</v>
      </c>
      <c r="AM7" s="336">
        <v>0.1368</v>
      </c>
      <c r="AN7" s="337">
        <v>8.4480767041972323E-3</v>
      </c>
      <c r="AO7" s="333"/>
      <c r="AP7" s="333" t="s">
        <v>288</v>
      </c>
      <c r="AQ7" s="333"/>
      <c r="AR7" s="333"/>
      <c r="AS7" s="335">
        <v>7.0000000000000007E-2</v>
      </c>
      <c r="AT7" s="333">
        <v>0.11720000000000001</v>
      </c>
      <c r="AU7" s="338">
        <v>2.6057628441590792E-3</v>
      </c>
    </row>
    <row r="8" spans="1:47" x14ac:dyDescent="0.25">
      <c r="A8" s="5" t="s">
        <v>289</v>
      </c>
      <c r="AA8" s="331"/>
      <c r="AB8" s="333" t="s">
        <v>290</v>
      </c>
      <c r="AC8" s="333"/>
      <c r="AD8" s="333"/>
      <c r="AE8" s="335">
        <v>0.17499999999999999</v>
      </c>
      <c r="AF8" s="336">
        <v>9.3600000000000003E-2</v>
      </c>
      <c r="AG8" s="337">
        <v>1.9924858845171245E-3</v>
      </c>
      <c r="AH8" s="333"/>
      <c r="AI8" s="333" t="s">
        <v>290</v>
      </c>
      <c r="AJ8" s="333"/>
      <c r="AK8" s="333"/>
      <c r="AL8" s="335">
        <v>0.17499999999999999</v>
      </c>
      <c r="AM8" s="336">
        <v>0.2016</v>
      </c>
      <c r="AN8" s="337">
        <v>6.1611687202997433E-3</v>
      </c>
      <c r="AO8" s="333"/>
      <c r="AP8" s="333" t="s">
        <v>290</v>
      </c>
      <c r="AQ8" s="333"/>
      <c r="AR8" s="333"/>
      <c r="AS8" s="335">
        <v>0.17499999999999999</v>
      </c>
      <c r="AT8" s="333"/>
      <c r="AU8" s="337"/>
    </row>
    <row r="9" spans="1:47" x14ac:dyDescent="0.25">
      <c r="A9" s="5" t="s">
        <v>291</v>
      </c>
      <c r="AA9" s="331"/>
      <c r="AB9" s="333" t="s">
        <v>292</v>
      </c>
      <c r="AC9" s="333"/>
      <c r="AD9" s="333"/>
      <c r="AE9" s="335">
        <v>0.35</v>
      </c>
      <c r="AF9" s="336">
        <v>0.12839999999999999</v>
      </c>
      <c r="AG9" s="337">
        <v>2.2516660498395485E-3</v>
      </c>
      <c r="AH9" s="333"/>
      <c r="AI9" s="333" t="s">
        <v>292</v>
      </c>
      <c r="AJ9" s="333"/>
      <c r="AK9" s="333"/>
      <c r="AL9" s="335">
        <v>0.35</v>
      </c>
      <c r="AM9" s="336">
        <v>0.19266666666666665</v>
      </c>
      <c r="AN9" s="337">
        <v>3.2624121954978927E-3</v>
      </c>
      <c r="AO9" s="333"/>
      <c r="AP9" s="333" t="s">
        <v>292</v>
      </c>
      <c r="AQ9" s="333"/>
      <c r="AR9" s="333"/>
      <c r="AS9" s="335">
        <v>0.35</v>
      </c>
      <c r="AT9" s="333">
        <v>6.4899999999999999E-2</v>
      </c>
      <c r="AU9" s="338">
        <v>2.1166010488516728E-3</v>
      </c>
    </row>
    <row r="10" spans="1:47" x14ac:dyDescent="0.25">
      <c r="AA10" s="331"/>
      <c r="AB10" s="333" t="s">
        <v>293</v>
      </c>
      <c r="AC10" s="333"/>
      <c r="AD10" s="333"/>
      <c r="AE10" s="335">
        <v>0.7</v>
      </c>
      <c r="AF10" s="336">
        <v>0.21106666666666665</v>
      </c>
      <c r="AG10" s="337">
        <v>5.084617324178216E-3</v>
      </c>
      <c r="AH10" s="333"/>
      <c r="AI10" s="333" t="s">
        <v>293</v>
      </c>
      <c r="AJ10" s="333"/>
      <c r="AK10" s="333"/>
      <c r="AL10" s="335">
        <v>0.7</v>
      </c>
      <c r="AM10" s="336">
        <v>0.14419999999999999</v>
      </c>
      <c r="AN10" s="337">
        <v>2.8513154858766558E-3</v>
      </c>
      <c r="AO10" s="333"/>
      <c r="AP10" s="333" t="s">
        <v>293</v>
      </c>
      <c r="AQ10" s="333"/>
      <c r="AR10" s="333"/>
      <c r="AS10" s="335">
        <v>0.7</v>
      </c>
      <c r="AT10" s="333">
        <v>4.7166666666666662E-2</v>
      </c>
      <c r="AU10" s="338">
        <v>8.953956295031526E-3</v>
      </c>
    </row>
    <row r="11" spans="1:47" x14ac:dyDescent="0.25">
      <c r="AA11" s="331"/>
      <c r="AB11" s="333" t="s">
        <v>294</v>
      </c>
      <c r="AC11" s="333"/>
      <c r="AD11" s="333"/>
      <c r="AE11" s="335">
        <v>1.4</v>
      </c>
      <c r="AF11" s="336">
        <v>0.2056</v>
      </c>
      <c r="AG11" s="337">
        <v>2.7712812921102193E-3</v>
      </c>
      <c r="AH11" s="333"/>
      <c r="AI11" s="333" t="s">
        <v>294</v>
      </c>
      <c r="AJ11" s="333"/>
      <c r="AK11" s="333"/>
      <c r="AL11" s="335">
        <v>1.4</v>
      </c>
      <c r="AM11" s="336">
        <v>8.0166666666666664E-2</v>
      </c>
      <c r="AN11" s="337">
        <v>7.563949585589088E-3</v>
      </c>
      <c r="AO11" s="333"/>
      <c r="AP11" s="333" t="s">
        <v>294</v>
      </c>
      <c r="AQ11" s="333"/>
      <c r="AR11" s="333"/>
      <c r="AS11" s="335">
        <v>1.4</v>
      </c>
      <c r="AT11" s="333">
        <v>2.8266666666666666E-2</v>
      </c>
      <c r="AU11" s="338">
        <v>8.4358362557207904E-3</v>
      </c>
    </row>
    <row r="12" spans="1:47" x14ac:dyDescent="0.25">
      <c r="AA12" s="331"/>
      <c r="AB12" s="333" t="s">
        <v>295</v>
      </c>
      <c r="AC12" s="333"/>
      <c r="AD12" s="333"/>
      <c r="AE12" s="335">
        <v>3.5</v>
      </c>
      <c r="AF12" s="336">
        <v>0.16056666666666666</v>
      </c>
      <c r="AG12" s="337">
        <v>3.667878587594384E-3</v>
      </c>
      <c r="AH12" s="333"/>
      <c r="AI12" s="333" t="s">
        <v>295</v>
      </c>
      <c r="AJ12" s="333"/>
      <c r="AK12" s="333"/>
      <c r="AL12" s="335">
        <v>3.5</v>
      </c>
      <c r="AM12" s="336">
        <v>5.7100000000000005E-2</v>
      </c>
      <c r="AN12" s="337">
        <v>3.8157568056677808E-3</v>
      </c>
      <c r="AO12" s="333"/>
      <c r="AP12" s="333" t="s">
        <v>295</v>
      </c>
      <c r="AQ12" s="333"/>
      <c r="AR12" s="333"/>
      <c r="AS12" s="335">
        <v>3.5</v>
      </c>
      <c r="AT12" s="333">
        <v>-1.1666666666666665E-2</v>
      </c>
      <c r="AU12" s="338">
        <v>1.2423096769056148E-2</v>
      </c>
    </row>
    <row r="13" spans="1:47" x14ac:dyDescent="0.25">
      <c r="AA13" s="331"/>
      <c r="AB13" s="333" t="s">
        <v>296</v>
      </c>
      <c r="AC13" s="333"/>
      <c r="AD13" s="333"/>
      <c r="AE13" s="335">
        <v>5.6</v>
      </c>
      <c r="AF13" s="336">
        <v>0.12893333333333334</v>
      </c>
      <c r="AG13" s="337">
        <v>9.5007017284689816E-3</v>
      </c>
      <c r="AH13" s="333"/>
      <c r="AI13" s="333" t="s">
        <v>296</v>
      </c>
      <c r="AJ13" s="333"/>
      <c r="AK13" s="333"/>
      <c r="AL13" s="335">
        <v>5.6</v>
      </c>
      <c r="AM13" s="336">
        <v>3.0533333333333332E-2</v>
      </c>
      <c r="AN13" s="337">
        <v>8.3715789032495803E-3</v>
      </c>
      <c r="AO13" s="333"/>
      <c r="AP13" s="333" t="s">
        <v>296</v>
      </c>
      <c r="AQ13" s="333"/>
      <c r="AR13" s="333"/>
      <c r="AS13" s="335">
        <v>5.6</v>
      </c>
      <c r="AT13" s="333">
        <v>-6.3333333333333332E-3</v>
      </c>
      <c r="AU13" s="338">
        <v>7.0945988845975885E-3</v>
      </c>
    </row>
    <row r="14" spans="1:47" ht="15.75" thickBot="1" x14ac:dyDescent="0.3">
      <c r="AA14" s="339"/>
      <c r="AB14" s="340" t="s">
        <v>297</v>
      </c>
      <c r="AC14" s="340"/>
      <c r="AD14" s="340"/>
      <c r="AE14" s="341">
        <v>7</v>
      </c>
      <c r="AF14" s="342">
        <v>9.853333333333332E-2</v>
      </c>
      <c r="AG14" s="343">
        <v>4.1476901202155058E-3</v>
      </c>
      <c r="AH14" s="340"/>
      <c r="AI14" s="340" t="s">
        <v>297</v>
      </c>
      <c r="AJ14" s="340"/>
      <c r="AK14" s="340"/>
      <c r="AL14" s="341">
        <v>7</v>
      </c>
      <c r="AM14" s="342">
        <v>8.3999999999999995E-3</v>
      </c>
      <c r="AN14" s="343">
        <v>1.5071828024496565E-2</v>
      </c>
      <c r="AO14" s="340"/>
      <c r="AP14" s="340" t="s">
        <v>297</v>
      </c>
      <c r="AQ14" s="340"/>
      <c r="AR14" s="340"/>
      <c r="AS14" s="341">
        <v>7</v>
      </c>
      <c r="AT14" s="340">
        <v>-4.3333333333333297E-3</v>
      </c>
      <c r="AU14" s="344">
        <v>5.773502691896258E-4</v>
      </c>
    </row>
    <row r="15" spans="1:47" x14ac:dyDescent="0.25">
      <c r="AA15" s="327" t="s">
        <v>278</v>
      </c>
      <c r="AB15" s="329"/>
      <c r="AC15" s="329"/>
      <c r="AD15" s="329"/>
      <c r="AE15" s="328" t="s">
        <v>14</v>
      </c>
      <c r="AF15" s="328" t="s">
        <v>17</v>
      </c>
      <c r="AG15" s="330" t="s">
        <v>279</v>
      </c>
      <c r="AH15" s="328" t="s">
        <v>280</v>
      </c>
      <c r="AI15" s="329"/>
      <c r="AJ15" s="329"/>
      <c r="AK15" s="329"/>
      <c r="AL15" s="328" t="s">
        <v>14</v>
      </c>
      <c r="AM15" s="328" t="s">
        <v>17</v>
      </c>
      <c r="AN15" s="330" t="s">
        <v>279</v>
      </c>
      <c r="AO15" s="327" t="s">
        <v>281</v>
      </c>
      <c r="AP15" s="329"/>
      <c r="AQ15" s="329"/>
      <c r="AR15" s="329"/>
      <c r="AS15" s="328" t="s">
        <v>14</v>
      </c>
      <c r="AT15" s="328" t="s">
        <v>17</v>
      </c>
      <c r="AU15" s="330" t="s">
        <v>279</v>
      </c>
    </row>
    <row r="16" spans="1:47" x14ac:dyDescent="0.25">
      <c r="AA16" s="331"/>
      <c r="AB16" s="332" t="s">
        <v>283</v>
      </c>
      <c r="AC16" s="333"/>
      <c r="AD16" s="333"/>
      <c r="AE16" s="332" t="s">
        <v>284</v>
      </c>
      <c r="AF16" s="332" t="s">
        <v>285</v>
      </c>
      <c r="AG16" s="334" t="s">
        <v>255</v>
      </c>
      <c r="AH16" s="333"/>
      <c r="AI16" s="332" t="s">
        <v>283</v>
      </c>
      <c r="AJ16" s="333"/>
      <c r="AK16" s="333"/>
      <c r="AL16" s="332" t="s">
        <v>284</v>
      </c>
      <c r="AM16" s="332" t="s">
        <v>285</v>
      </c>
      <c r="AN16" s="334" t="s">
        <v>255</v>
      </c>
      <c r="AO16" s="331"/>
      <c r="AP16" s="332" t="s">
        <v>283</v>
      </c>
      <c r="AQ16" s="333"/>
      <c r="AR16" s="333"/>
      <c r="AS16" s="332" t="s">
        <v>284</v>
      </c>
      <c r="AT16" s="332" t="s">
        <v>285</v>
      </c>
      <c r="AU16" s="334" t="s">
        <v>255</v>
      </c>
    </row>
    <row r="17" spans="27:47" x14ac:dyDescent="0.25">
      <c r="AA17" s="331"/>
      <c r="AB17" s="333" t="s">
        <v>298</v>
      </c>
      <c r="AC17" s="333"/>
      <c r="AD17" s="333"/>
      <c r="AE17" s="335">
        <v>0</v>
      </c>
      <c r="AF17" s="336">
        <f>AVERAGE(0.5446,0.551,0.5547,0.5494)</f>
        <v>0.549925</v>
      </c>
      <c r="AG17" s="337">
        <f>STDEV(0.5446,0.551,0.5547,0.5494)</f>
        <v>4.1867847647886914E-3</v>
      </c>
      <c r="AH17" s="333"/>
      <c r="AI17" s="333" t="s">
        <v>299</v>
      </c>
      <c r="AJ17" s="333"/>
      <c r="AK17" s="333"/>
      <c r="AL17" s="335">
        <v>0</v>
      </c>
      <c r="AM17" s="333">
        <v>0.35699999999999998</v>
      </c>
      <c r="AN17" s="338">
        <v>6.0000000000000001E-3</v>
      </c>
      <c r="AO17" s="331"/>
      <c r="AP17" s="333" t="s">
        <v>299</v>
      </c>
      <c r="AQ17" s="333"/>
      <c r="AR17" s="333"/>
      <c r="AS17" s="335">
        <v>0</v>
      </c>
      <c r="AT17" s="333">
        <v>0.219</v>
      </c>
      <c r="AU17" s="338">
        <v>4.0000000000000001E-3</v>
      </c>
    </row>
    <row r="18" spans="27:47" x14ac:dyDescent="0.25">
      <c r="AA18" s="331"/>
      <c r="AB18" s="333" t="s">
        <v>300</v>
      </c>
      <c r="AC18" s="333"/>
      <c r="AD18" s="333"/>
      <c r="AE18" s="335">
        <v>7.0000000000000007E-2</v>
      </c>
      <c r="AF18" s="336">
        <f>AVERAGE(0.517,0.5222,0.5389,0.5251)</f>
        <v>0.52580000000000005</v>
      </c>
      <c r="AG18" s="337">
        <f>STDEV(0.517,0.5222,0.5389,0.5251)</f>
        <v>9.3541434669348715E-3</v>
      </c>
      <c r="AH18" s="333"/>
      <c r="AI18" s="333" t="s">
        <v>301</v>
      </c>
      <c r="AJ18" s="333"/>
      <c r="AK18" s="333"/>
      <c r="AL18" s="335">
        <v>7.0000000000000007E-2</v>
      </c>
      <c r="AM18" s="336">
        <v>0.316</v>
      </c>
      <c r="AN18" s="337">
        <v>1E-3</v>
      </c>
      <c r="AO18" s="331"/>
      <c r="AP18" s="333" t="s">
        <v>301</v>
      </c>
      <c r="AQ18" s="333"/>
      <c r="AR18" s="333"/>
      <c r="AS18" s="335">
        <v>7.0000000000000007E-2</v>
      </c>
      <c r="AT18" s="333">
        <v>0.128</v>
      </c>
      <c r="AU18" s="338">
        <v>1E-3</v>
      </c>
    </row>
    <row r="19" spans="27:47" x14ac:dyDescent="0.25">
      <c r="AA19" s="331"/>
      <c r="AB19" s="333" t="s">
        <v>302</v>
      </c>
      <c r="AC19" s="333"/>
      <c r="AD19" s="333"/>
      <c r="AE19" s="335">
        <v>0.14000000000000001</v>
      </c>
      <c r="AF19" s="336">
        <f>AVERAGE(0.5431,0.5601,0.5579,0.5516)</f>
        <v>0.55317500000000008</v>
      </c>
      <c r="AG19" s="337">
        <f>STDEV(0.5431,0.5601,0.5579,0.5516)</f>
        <v>7.6216249361055911E-3</v>
      </c>
      <c r="AH19" s="333"/>
      <c r="AI19" s="333" t="s">
        <v>303</v>
      </c>
      <c r="AJ19" s="333"/>
      <c r="AK19" s="333"/>
      <c r="AL19" s="335">
        <f>0.7*0.5</f>
        <v>0.35</v>
      </c>
      <c r="AM19" s="336">
        <v>0.18</v>
      </c>
      <c r="AN19" s="337">
        <v>1.0999999999999999E-2</v>
      </c>
      <c r="AO19" s="331"/>
      <c r="AP19" s="333" t="s">
        <v>303</v>
      </c>
      <c r="AQ19" s="333"/>
      <c r="AR19" s="333"/>
      <c r="AS19" s="335">
        <f>0.7*0.5</f>
        <v>0.35</v>
      </c>
      <c r="AT19" s="333">
        <v>4.5999999999999999E-2</v>
      </c>
      <c r="AU19" s="337">
        <v>0</v>
      </c>
    </row>
    <row r="20" spans="27:47" x14ac:dyDescent="0.25">
      <c r="AA20" s="331"/>
      <c r="AB20" s="333" t="s">
        <v>304</v>
      </c>
      <c r="AC20" s="333"/>
      <c r="AD20" s="333"/>
      <c r="AE20" s="335">
        <f>0.7*0.5</f>
        <v>0.35</v>
      </c>
      <c r="AF20" s="336">
        <f>AVERAGE(0.5486,0.5394,0.5789,0.5547)</f>
        <v>0.5554</v>
      </c>
      <c r="AG20" s="337">
        <f>STDEV(0.5486,0.5394,0.5789,0.5547)</f>
        <v>1.6881745565353514E-2</v>
      </c>
      <c r="AH20" s="333"/>
      <c r="AI20" s="333" t="s">
        <v>305</v>
      </c>
      <c r="AJ20" s="333"/>
      <c r="AK20" s="333"/>
      <c r="AL20" s="335">
        <f>0.7</f>
        <v>0.7</v>
      </c>
      <c r="AM20" s="336">
        <v>8.5999999999999993E-2</v>
      </c>
      <c r="AN20" s="337">
        <v>1E-3</v>
      </c>
      <c r="AO20" s="331"/>
      <c r="AP20" s="333" t="s">
        <v>305</v>
      </c>
      <c r="AQ20" s="333"/>
      <c r="AR20" s="333"/>
      <c r="AS20" s="335">
        <f>0.7</f>
        <v>0.7</v>
      </c>
      <c r="AT20" s="333">
        <v>2.3E-2</v>
      </c>
      <c r="AU20" s="338">
        <v>2E-3</v>
      </c>
    </row>
    <row r="21" spans="27:47" x14ac:dyDescent="0.25">
      <c r="AA21" s="331"/>
      <c r="AB21" s="333" t="s">
        <v>306</v>
      </c>
      <c r="AC21" s="333"/>
      <c r="AD21" s="333"/>
      <c r="AE21" s="335">
        <f>0.7</f>
        <v>0.7</v>
      </c>
      <c r="AF21" s="336">
        <f>AVERAGE(0.4508,0.4533,0.4498,0.4513)</f>
        <v>0.45129999999999998</v>
      </c>
      <c r="AG21" s="337">
        <f>STDEV(0.4508,0.4533,0.4498,0.4513)</f>
        <v>1.4719601443879758E-3</v>
      </c>
      <c r="AH21" s="333"/>
      <c r="AI21" s="333" t="s">
        <v>307</v>
      </c>
      <c r="AJ21" s="333"/>
      <c r="AK21" s="333"/>
      <c r="AL21" s="335">
        <f>1.4</f>
        <v>1.4</v>
      </c>
      <c r="AM21" s="336">
        <v>6.6000000000000003E-2</v>
      </c>
      <c r="AN21" s="337">
        <v>2E-3</v>
      </c>
      <c r="AO21" s="331"/>
      <c r="AP21" s="333" t="s">
        <v>307</v>
      </c>
      <c r="AQ21" s="333"/>
      <c r="AR21" s="333"/>
      <c r="AS21" s="335">
        <f>1.4</f>
        <v>1.4</v>
      </c>
      <c r="AT21" s="333">
        <v>1.9E-2</v>
      </c>
      <c r="AU21" s="338">
        <v>5.0000000000000001E-3</v>
      </c>
    </row>
    <row r="22" spans="27:47" x14ac:dyDescent="0.25">
      <c r="AA22" s="331"/>
      <c r="AB22" s="333" t="s">
        <v>308</v>
      </c>
      <c r="AC22" s="333"/>
      <c r="AD22" s="333"/>
      <c r="AE22" s="335">
        <f>1.4</f>
        <v>1.4</v>
      </c>
      <c r="AF22" s="336">
        <f>AVERAGE(0.4146,0.4113,0.41,0.412)</f>
        <v>0.41197499999999998</v>
      </c>
      <c r="AG22" s="337">
        <f>STDEV(0.4146,0.4113,0.41,0.412)</f>
        <v>1.9362764954072909E-3</v>
      </c>
      <c r="AH22" s="333"/>
      <c r="AI22" s="333" t="s">
        <v>309</v>
      </c>
      <c r="AJ22" s="333"/>
      <c r="AK22" s="333"/>
      <c r="AL22" s="335">
        <v>3.5</v>
      </c>
      <c r="AM22" s="336">
        <v>2.9000000000000001E-2</v>
      </c>
      <c r="AN22" s="337">
        <v>3.0000000000000001E-3</v>
      </c>
      <c r="AO22" s="331"/>
      <c r="AP22" s="333" t="s">
        <v>309</v>
      </c>
      <c r="AQ22" s="333"/>
      <c r="AR22" s="333"/>
      <c r="AS22" s="335">
        <v>3.5</v>
      </c>
      <c r="AT22" s="333">
        <v>1.4999999999999999E-2</v>
      </c>
      <c r="AU22" s="338">
        <v>7.0000000000000001E-3</v>
      </c>
    </row>
    <row r="23" spans="27:47" x14ac:dyDescent="0.25">
      <c r="AA23" s="331"/>
      <c r="AB23" s="333" t="s">
        <v>310</v>
      </c>
      <c r="AC23" s="333"/>
      <c r="AD23" s="333"/>
      <c r="AE23" s="335">
        <v>3.5</v>
      </c>
      <c r="AF23" s="336">
        <f>AVERAGE(0.2267,0.229,0.2303,0.2287)</f>
        <v>0.22867499999999999</v>
      </c>
      <c r="AG23" s="337">
        <f>STDEV(0.2267,0.229,0.2303,0.2287)</f>
        <v>1.4885675440951022E-3</v>
      </c>
      <c r="AH23" s="333"/>
      <c r="AI23" s="333" t="s">
        <v>311</v>
      </c>
      <c r="AJ23" s="333"/>
      <c r="AK23" s="333"/>
      <c r="AL23" s="335">
        <v>5.6</v>
      </c>
      <c r="AM23" s="336">
        <v>1.9E-2</v>
      </c>
      <c r="AN23" s="337">
        <v>2E-3</v>
      </c>
      <c r="AO23" s="331"/>
      <c r="AP23" s="333" t="s">
        <v>311</v>
      </c>
      <c r="AQ23" s="333"/>
      <c r="AR23" s="333"/>
      <c r="AS23" s="335">
        <v>5.6</v>
      </c>
      <c r="AT23" s="333">
        <v>5.0000000000000001E-3</v>
      </c>
      <c r="AU23" s="338">
        <v>4.0000000000000001E-3</v>
      </c>
    </row>
    <row r="24" spans="27:47" x14ac:dyDescent="0.25">
      <c r="AA24" s="331"/>
      <c r="AB24" s="333" t="s">
        <v>312</v>
      </c>
      <c r="AC24" s="333"/>
      <c r="AD24" s="333"/>
      <c r="AE24" s="335">
        <v>7</v>
      </c>
      <c r="AF24" s="336">
        <f>AVERAGE(0.0888,0.0842,0.0671,0.0802)</f>
        <v>8.0074999999999993E-2</v>
      </c>
      <c r="AG24" s="337">
        <f>STDEV(0.0888,0.0842,0.0671,0.0802)</f>
        <v>9.3364429343657483E-3</v>
      </c>
      <c r="AH24" s="333"/>
      <c r="AI24" s="333" t="s">
        <v>313</v>
      </c>
      <c r="AJ24" s="333"/>
      <c r="AK24" s="333"/>
      <c r="AL24" s="335">
        <v>7</v>
      </c>
      <c r="AM24" s="336">
        <v>1.4E-2</v>
      </c>
      <c r="AN24" s="337">
        <v>0</v>
      </c>
      <c r="AO24" s="331"/>
      <c r="AP24" s="333" t="s">
        <v>313</v>
      </c>
      <c r="AQ24" s="333"/>
      <c r="AR24" s="333"/>
      <c r="AS24" s="335">
        <v>7</v>
      </c>
      <c r="AT24" s="333">
        <v>5.0000000000000001E-3</v>
      </c>
      <c r="AU24" s="338">
        <v>4.0000000000000001E-3</v>
      </c>
    </row>
    <row r="25" spans="27:47" ht="15.75" thickBot="1" x14ac:dyDescent="0.3">
      <c r="AA25" s="339"/>
      <c r="AB25" s="340"/>
      <c r="AC25" s="340"/>
      <c r="AD25" s="340"/>
      <c r="AE25" s="341"/>
      <c r="AF25" s="342"/>
      <c r="AG25" s="343"/>
      <c r="AH25" s="340"/>
      <c r="AI25" s="340" t="s">
        <v>314</v>
      </c>
      <c r="AJ25" s="340"/>
      <c r="AK25" s="340"/>
      <c r="AL25" s="341">
        <f>15*0.7</f>
        <v>10.5</v>
      </c>
      <c r="AM25" s="342">
        <v>7.0000000000000001E-3</v>
      </c>
      <c r="AN25" s="343">
        <v>3.0000000000000001E-3</v>
      </c>
      <c r="AO25" s="339"/>
      <c r="AP25" s="340" t="s">
        <v>314</v>
      </c>
      <c r="AQ25" s="340"/>
      <c r="AR25" s="340"/>
      <c r="AS25" s="341">
        <f>15*0.7</f>
        <v>10.5</v>
      </c>
      <c r="AT25" s="340">
        <v>1E-3</v>
      </c>
      <c r="AU25" s="344">
        <v>2E-3</v>
      </c>
    </row>
    <row r="26" spans="27:47" x14ac:dyDescent="0.25">
      <c r="AA26" s="345" t="s">
        <v>315</v>
      </c>
      <c r="AB26" s="346"/>
      <c r="AC26" s="346"/>
      <c r="AD26" s="346"/>
      <c r="AE26" s="347" t="s">
        <v>14</v>
      </c>
      <c r="AF26" s="347" t="s">
        <v>17</v>
      </c>
      <c r="AG26" s="348" t="s">
        <v>279</v>
      </c>
      <c r="AH26" s="345" t="s">
        <v>316</v>
      </c>
      <c r="AI26" s="346"/>
      <c r="AJ26" s="346"/>
      <c r="AK26" s="346"/>
      <c r="AL26" s="347" t="s">
        <v>14</v>
      </c>
      <c r="AM26" s="347" t="s">
        <v>17</v>
      </c>
      <c r="AN26" s="348" t="s">
        <v>279</v>
      </c>
      <c r="AO26" s="345" t="s">
        <v>317</v>
      </c>
      <c r="AP26" s="346"/>
      <c r="AQ26" s="346"/>
      <c r="AR26" s="346"/>
      <c r="AS26" s="347" t="s">
        <v>14</v>
      </c>
      <c r="AT26" s="347" t="s">
        <v>17</v>
      </c>
      <c r="AU26" s="348" t="s">
        <v>279</v>
      </c>
    </row>
    <row r="27" spans="27:47" x14ac:dyDescent="0.25">
      <c r="AA27" s="349"/>
      <c r="AB27" s="350" t="s">
        <v>283</v>
      </c>
      <c r="AC27" s="351"/>
      <c r="AD27" s="351"/>
      <c r="AE27" s="350" t="s">
        <v>284</v>
      </c>
      <c r="AF27" s="350" t="s">
        <v>285</v>
      </c>
      <c r="AG27" s="352" t="s">
        <v>255</v>
      </c>
      <c r="AH27" s="349"/>
      <c r="AI27" s="350" t="s">
        <v>283</v>
      </c>
      <c r="AJ27" s="351"/>
      <c r="AK27" s="351"/>
      <c r="AL27" s="350" t="s">
        <v>284</v>
      </c>
      <c r="AM27" s="350" t="s">
        <v>285</v>
      </c>
      <c r="AN27" s="352" t="s">
        <v>255</v>
      </c>
      <c r="AO27" s="349"/>
      <c r="AP27" s="350" t="s">
        <v>283</v>
      </c>
      <c r="AQ27" s="351"/>
      <c r="AR27" s="351"/>
      <c r="AS27" s="350" t="s">
        <v>284</v>
      </c>
      <c r="AT27" s="350" t="s">
        <v>285</v>
      </c>
      <c r="AU27" s="352" t="s">
        <v>255</v>
      </c>
    </row>
    <row r="28" spans="27:47" x14ac:dyDescent="0.25">
      <c r="AA28" s="349"/>
      <c r="AB28" s="351" t="s">
        <v>298</v>
      </c>
      <c r="AC28" s="351"/>
      <c r="AD28" s="351"/>
      <c r="AE28" s="353">
        <v>0</v>
      </c>
      <c r="AF28" s="351">
        <v>0.74099999999999999</v>
      </c>
      <c r="AG28" s="354">
        <v>4.0000000000000001E-3</v>
      </c>
      <c r="AH28" s="349"/>
      <c r="AI28" s="351" t="s">
        <v>298</v>
      </c>
      <c r="AJ28" s="351"/>
      <c r="AK28" s="351"/>
      <c r="AL28" s="353">
        <v>0</v>
      </c>
      <c r="AM28" s="355">
        <v>0.42</v>
      </c>
      <c r="AN28" s="354">
        <v>1.2E-2</v>
      </c>
      <c r="AO28" s="349"/>
      <c r="AP28" s="351" t="s">
        <v>299</v>
      </c>
      <c r="AQ28" s="351"/>
      <c r="AR28" s="351"/>
      <c r="AS28" s="353">
        <v>0</v>
      </c>
      <c r="AT28" s="355">
        <v>0.26226666666666665</v>
      </c>
      <c r="AU28" s="354">
        <v>3.8682468035705114E-3</v>
      </c>
    </row>
    <row r="29" spans="27:47" x14ac:dyDescent="0.25">
      <c r="AA29" s="349"/>
      <c r="AB29" s="351" t="s">
        <v>300</v>
      </c>
      <c r="AC29" s="351"/>
      <c r="AD29" s="351"/>
      <c r="AE29" s="353">
        <v>7.0000000000000007E-2</v>
      </c>
      <c r="AF29" s="351">
        <v>0.73599999999999999</v>
      </c>
      <c r="AG29" s="354">
        <v>0</v>
      </c>
      <c r="AH29" s="349"/>
      <c r="AI29" s="351" t="s">
        <v>300</v>
      </c>
      <c r="AJ29" s="351"/>
      <c r="AK29" s="351"/>
      <c r="AL29" s="353">
        <v>7.0000000000000007E-2</v>
      </c>
      <c r="AM29" s="355">
        <v>0.42699999999999999</v>
      </c>
      <c r="AN29" s="354">
        <v>2E-3</v>
      </c>
      <c r="AO29" s="349"/>
      <c r="AP29" s="351" t="s">
        <v>301</v>
      </c>
      <c r="AQ29" s="351"/>
      <c r="AR29" s="351"/>
      <c r="AS29" s="353">
        <v>7.0000000000000007E-2</v>
      </c>
      <c r="AT29" s="355">
        <v>0.12100000000000001</v>
      </c>
      <c r="AU29" s="354">
        <v>3.1176914536239801E-3</v>
      </c>
    </row>
    <row r="30" spans="27:47" x14ac:dyDescent="0.25">
      <c r="AA30" s="349"/>
      <c r="AB30" s="351" t="s">
        <v>318</v>
      </c>
      <c r="AC30" s="351"/>
      <c r="AD30" s="351"/>
      <c r="AE30" s="353">
        <f>0.7*0.25</f>
        <v>0.17499999999999999</v>
      </c>
      <c r="AF30" s="351">
        <v>0.71099999999999997</v>
      </c>
      <c r="AG30" s="354">
        <v>8.9999999999999993E-3</v>
      </c>
      <c r="AH30" s="349"/>
      <c r="AI30" s="351" t="s">
        <v>318</v>
      </c>
      <c r="AJ30" s="351"/>
      <c r="AK30" s="351"/>
      <c r="AL30" s="353">
        <f>0.7*0.25</f>
        <v>0.17499999999999999</v>
      </c>
      <c r="AM30" s="355">
        <v>0.52600000000000002</v>
      </c>
      <c r="AN30" s="354">
        <v>1.4999999999999999E-2</v>
      </c>
      <c r="AO30" s="349"/>
      <c r="AP30" s="351" t="s">
        <v>319</v>
      </c>
      <c r="AQ30" s="351"/>
      <c r="AR30" s="351"/>
      <c r="AS30" s="353">
        <v>0.17499999999999999</v>
      </c>
      <c r="AT30" s="355">
        <v>8.5966666666666677E-2</v>
      </c>
      <c r="AU30" s="354">
        <v>3.3381631675718543E-3</v>
      </c>
    </row>
    <row r="31" spans="27:47" x14ac:dyDescent="0.25">
      <c r="AA31" s="349"/>
      <c r="AB31" s="351" t="s">
        <v>304</v>
      </c>
      <c r="AC31" s="351"/>
      <c r="AD31" s="351"/>
      <c r="AE31" s="353">
        <f>0.7*0.5</f>
        <v>0.35</v>
      </c>
      <c r="AF31" s="351">
        <v>0.59499999999999997</v>
      </c>
      <c r="AG31" s="354">
        <v>8.0000000000000002E-3</v>
      </c>
      <c r="AH31" s="349"/>
      <c r="AI31" s="351" t="s">
        <v>304</v>
      </c>
      <c r="AJ31" s="351"/>
      <c r="AK31" s="351"/>
      <c r="AL31" s="353">
        <f>0.7*0.5</f>
        <v>0.35</v>
      </c>
      <c r="AM31" s="355">
        <v>0.47699999999999998</v>
      </c>
      <c r="AN31" s="354">
        <v>0.01</v>
      </c>
      <c r="AO31" s="349"/>
      <c r="AP31" s="351" t="s">
        <v>303</v>
      </c>
      <c r="AQ31" s="351"/>
      <c r="AR31" s="351"/>
      <c r="AS31" s="353">
        <v>0.35</v>
      </c>
      <c r="AT31" s="355">
        <v>5.2433333333333332E-2</v>
      </c>
      <c r="AU31" s="354">
        <v>2.0526405757787516E-3</v>
      </c>
    </row>
    <row r="32" spans="27:47" x14ac:dyDescent="0.25">
      <c r="AA32" s="349"/>
      <c r="AB32" s="351" t="s">
        <v>306</v>
      </c>
      <c r="AC32" s="351"/>
      <c r="AD32" s="351"/>
      <c r="AE32" s="353">
        <f>0.7</f>
        <v>0.7</v>
      </c>
      <c r="AF32" s="351">
        <v>0.55200000000000005</v>
      </c>
      <c r="AG32" s="354">
        <v>5.0000000000000001E-3</v>
      </c>
      <c r="AH32" s="349"/>
      <c r="AI32" s="351" t="s">
        <v>306</v>
      </c>
      <c r="AJ32" s="351"/>
      <c r="AK32" s="351"/>
      <c r="AL32" s="353">
        <f>0.7</f>
        <v>0.7</v>
      </c>
      <c r="AM32" s="355">
        <v>0.22700000000000001</v>
      </c>
      <c r="AN32" s="354">
        <v>6.0000000000000001E-3</v>
      </c>
      <c r="AO32" s="349"/>
      <c r="AP32" s="351" t="s">
        <v>305</v>
      </c>
      <c r="AQ32" s="351"/>
      <c r="AR32" s="351"/>
      <c r="AS32" s="353">
        <v>0.7</v>
      </c>
      <c r="AT32" s="355">
        <v>2.0866666666666662E-2</v>
      </c>
      <c r="AU32" s="354">
        <v>3.4933269720043856E-3</v>
      </c>
    </row>
    <row r="33" spans="27:47" x14ac:dyDescent="0.25">
      <c r="AA33" s="349"/>
      <c r="AB33" s="351" t="s">
        <v>308</v>
      </c>
      <c r="AC33" s="351"/>
      <c r="AD33" s="351"/>
      <c r="AE33" s="353">
        <f>1.4</f>
        <v>1.4</v>
      </c>
      <c r="AF33" s="355">
        <v>0.59</v>
      </c>
      <c r="AG33" s="354">
        <v>3.0000000000000001E-3</v>
      </c>
      <c r="AH33" s="349"/>
      <c r="AI33" s="351" t="s">
        <v>308</v>
      </c>
      <c r="AJ33" s="351"/>
      <c r="AK33" s="351"/>
      <c r="AL33" s="353">
        <f>1.4</f>
        <v>1.4</v>
      </c>
      <c r="AM33" s="355">
        <v>7.2999999999999995E-2</v>
      </c>
      <c r="AN33" s="354">
        <v>8.9999999999999993E-3</v>
      </c>
      <c r="AO33" s="349"/>
      <c r="AP33" s="351" t="s">
        <v>307</v>
      </c>
      <c r="AQ33" s="351"/>
      <c r="AR33" s="351"/>
      <c r="AS33" s="353">
        <v>1.4</v>
      </c>
      <c r="AT33" s="355">
        <v>2.1000000000000001E-2</v>
      </c>
      <c r="AU33" s="354">
        <v>7.8809897855535802E-3</v>
      </c>
    </row>
    <row r="34" spans="27:47" x14ac:dyDescent="0.25">
      <c r="AA34" s="349"/>
      <c r="AB34" s="351" t="s">
        <v>310</v>
      </c>
      <c r="AC34" s="351"/>
      <c r="AD34" s="351"/>
      <c r="AE34" s="353">
        <v>3.5</v>
      </c>
      <c r="AF34" s="351">
        <v>0.35799999999999998</v>
      </c>
      <c r="AG34" s="354">
        <v>0.01</v>
      </c>
      <c r="AH34" s="349"/>
      <c r="AI34" s="351" t="s">
        <v>310</v>
      </c>
      <c r="AJ34" s="351"/>
      <c r="AK34" s="351"/>
      <c r="AL34" s="353">
        <v>3.5</v>
      </c>
      <c r="AM34" s="355">
        <v>3.4000000000000002E-2</v>
      </c>
      <c r="AN34" s="354">
        <v>5.0000000000000001E-3</v>
      </c>
      <c r="AO34" s="349"/>
      <c r="AP34" s="351" t="s">
        <v>309</v>
      </c>
      <c r="AQ34" s="351"/>
      <c r="AR34" s="351"/>
      <c r="AS34" s="353">
        <v>3.5</v>
      </c>
      <c r="AT34" s="355">
        <v>2.3833333333333335E-2</v>
      </c>
      <c r="AU34" s="354">
        <v>2.6633312473917569E-3</v>
      </c>
    </row>
    <row r="35" spans="27:47" x14ac:dyDescent="0.25">
      <c r="AA35" s="349"/>
      <c r="AB35" s="351" t="s">
        <v>320</v>
      </c>
      <c r="AC35" s="351"/>
      <c r="AD35" s="351"/>
      <c r="AE35" s="353">
        <v>5.6</v>
      </c>
      <c r="AF35" s="351">
        <v>0.13600000000000001</v>
      </c>
      <c r="AG35" s="354">
        <v>2E-3</v>
      </c>
      <c r="AH35" s="349"/>
      <c r="AI35" s="351"/>
      <c r="AJ35" s="351"/>
      <c r="AK35" s="351"/>
      <c r="AL35" s="351"/>
      <c r="AM35" s="351"/>
      <c r="AN35" s="356"/>
      <c r="AO35" s="349"/>
      <c r="AP35" s="351"/>
      <c r="AQ35" s="351"/>
      <c r="AR35" s="351"/>
      <c r="AS35" s="351"/>
      <c r="AT35" s="351"/>
      <c r="AU35" s="356"/>
    </row>
    <row r="36" spans="27:47" x14ac:dyDescent="0.25">
      <c r="AA36" s="349"/>
      <c r="AB36" s="351" t="s">
        <v>312</v>
      </c>
      <c r="AC36" s="351"/>
      <c r="AD36" s="351"/>
      <c r="AE36" s="353">
        <v>7</v>
      </c>
      <c r="AF36" s="351">
        <v>9.6000000000000002E-2</v>
      </c>
      <c r="AG36" s="354">
        <v>2E-3</v>
      </c>
      <c r="AH36" s="349"/>
      <c r="AI36" s="351"/>
      <c r="AJ36" s="351"/>
      <c r="AK36" s="351"/>
      <c r="AL36" s="351"/>
      <c r="AM36" s="351"/>
      <c r="AN36" s="356"/>
      <c r="AO36" s="349"/>
      <c r="AP36" s="351"/>
      <c r="AQ36" s="351"/>
      <c r="AR36" s="351"/>
      <c r="AS36" s="351"/>
      <c r="AT36" s="351"/>
      <c r="AU36" s="356"/>
    </row>
    <row r="37" spans="27:47" ht="15.75" thickBot="1" x14ac:dyDescent="0.3">
      <c r="AA37" s="357"/>
      <c r="AB37" s="358" t="s">
        <v>321</v>
      </c>
      <c r="AC37" s="358"/>
      <c r="AD37" s="358"/>
      <c r="AE37" s="359">
        <f>15*0.7</f>
        <v>10.5</v>
      </c>
      <c r="AF37" s="358">
        <v>7.2999999999999995E-2</v>
      </c>
      <c r="AG37" s="360">
        <v>1E-3</v>
      </c>
      <c r="AH37" s="357"/>
      <c r="AI37" s="358"/>
      <c r="AJ37" s="358"/>
      <c r="AK37" s="358"/>
      <c r="AL37" s="358"/>
      <c r="AM37" s="358"/>
      <c r="AN37" s="361"/>
      <c r="AO37" s="357"/>
      <c r="AP37" s="358"/>
      <c r="AQ37" s="358"/>
      <c r="AR37" s="358"/>
      <c r="AS37" s="358"/>
      <c r="AT37" s="358"/>
      <c r="AU37" s="361"/>
    </row>
    <row r="38" spans="27:47" x14ac:dyDescent="0.25">
      <c r="AA38" s="362" t="s">
        <v>322</v>
      </c>
      <c r="AB38" s="363"/>
      <c r="AC38" s="363"/>
      <c r="AD38" s="363"/>
      <c r="AE38" s="364" t="s">
        <v>14</v>
      </c>
      <c r="AF38" s="364" t="s">
        <v>17</v>
      </c>
      <c r="AG38" s="365" t="s">
        <v>279</v>
      </c>
      <c r="AH38" s="362" t="s">
        <v>323</v>
      </c>
      <c r="AI38" s="363"/>
      <c r="AJ38" s="363"/>
      <c r="AK38" s="363"/>
      <c r="AL38" s="364" t="s">
        <v>14</v>
      </c>
      <c r="AM38" s="364" t="s">
        <v>17</v>
      </c>
      <c r="AN38" s="365" t="s">
        <v>279</v>
      </c>
      <c r="AO38" s="362" t="s">
        <v>324</v>
      </c>
      <c r="AP38" s="363"/>
      <c r="AQ38" s="363"/>
      <c r="AR38" s="363"/>
      <c r="AS38" s="364" t="s">
        <v>14</v>
      </c>
      <c r="AT38" s="364" t="s">
        <v>17</v>
      </c>
      <c r="AU38" s="365" t="s">
        <v>279</v>
      </c>
    </row>
    <row r="39" spans="27:47" x14ac:dyDescent="0.25">
      <c r="AA39" s="366"/>
      <c r="AB39" s="367" t="s">
        <v>283</v>
      </c>
      <c r="AC39" s="368"/>
      <c r="AD39" s="368"/>
      <c r="AE39" s="367" t="s">
        <v>284</v>
      </c>
      <c r="AF39" s="367" t="s">
        <v>285</v>
      </c>
      <c r="AG39" s="369" t="s">
        <v>255</v>
      </c>
      <c r="AH39" s="366"/>
      <c r="AI39" s="367" t="s">
        <v>283</v>
      </c>
      <c r="AJ39" s="368"/>
      <c r="AK39" s="368"/>
      <c r="AL39" s="367" t="s">
        <v>284</v>
      </c>
      <c r="AM39" s="367" t="s">
        <v>285</v>
      </c>
      <c r="AN39" s="369" t="s">
        <v>255</v>
      </c>
      <c r="AO39" s="366"/>
      <c r="AP39" s="367" t="s">
        <v>283</v>
      </c>
      <c r="AQ39" s="368"/>
      <c r="AR39" s="368"/>
      <c r="AS39" s="367" t="s">
        <v>284</v>
      </c>
      <c r="AT39" s="367" t="s">
        <v>285</v>
      </c>
      <c r="AU39" s="369" t="s">
        <v>255</v>
      </c>
    </row>
    <row r="40" spans="27:47" x14ac:dyDescent="0.25">
      <c r="AA40" s="366"/>
      <c r="AB40" s="368" t="s">
        <v>298</v>
      </c>
      <c r="AC40" s="368"/>
      <c r="AD40" s="368"/>
      <c r="AE40" s="370">
        <v>0</v>
      </c>
      <c r="AF40" s="371">
        <v>8.7433333333333321E-2</v>
      </c>
      <c r="AG40" s="372">
        <v>2.4006943440041096E-3</v>
      </c>
      <c r="AH40" s="366"/>
      <c r="AI40" s="368" t="s">
        <v>298</v>
      </c>
      <c r="AJ40" s="368"/>
      <c r="AK40" s="368"/>
      <c r="AL40" s="370">
        <v>0</v>
      </c>
      <c r="AM40" s="371">
        <v>0.13200000000000001</v>
      </c>
      <c r="AN40" s="372">
        <v>5.0000000000000001E-3</v>
      </c>
      <c r="AO40" s="366"/>
      <c r="AP40" s="368" t="s">
        <v>299</v>
      </c>
      <c r="AQ40" s="368"/>
      <c r="AR40" s="368"/>
      <c r="AS40" s="370">
        <v>0</v>
      </c>
      <c r="AT40" s="371">
        <v>8.3333333333333329E-2</v>
      </c>
      <c r="AU40" s="372">
        <v>1.270170592217173E-3</v>
      </c>
    </row>
    <row r="41" spans="27:47" x14ac:dyDescent="0.25">
      <c r="AA41" s="366"/>
      <c r="AB41" s="368" t="s">
        <v>300</v>
      </c>
      <c r="AC41" s="368"/>
      <c r="AD41" s="368"/>
      <c r="AE41" s="370">
        <v>7.0000000000000007E-2</v>
      </c>
      <c r="AF41" s="371">
        <v>9.2100000000000001E-2</v>
      </c>
      <c r="AG41" s="372">
        <v>1.1313708498984691E-3</v>
      </c>
      <c r="AH41" s="366"/>
      <c r="AI41" s="368" t="s">
        <v>300</v>
      </c>
      <c r="AJ41" s="368"/>
      <c r="AK41" s="368"/>
      <c r="AL41" s="370">
        <v>7.0000000000000007E-2</v>
      </c>
      <c r="AM41" s="371">
        <v>0.157</v>
      </c>
      <c r="AN41" s="372">
        <v>1.2999999999999999E-2</v>
      </c>
      <c r="AO41" s="366"/>
      <c r="AP41" s="368" t="s">
        <v>301</v>
      </c>
      <c r="AQ41" s="368"/>
      <c r="AR41" s="368"/>
      <c r="AS41" s="370">
        <v>7.0000000000000007E-2</v>
      </c>
      <c r="AT41" s="371">
        <v>0.10780000000000001</v>
      </c>
      <c r="AU41" s="372">
        <v>3.7161808352124044E-3</v>
      </c>
    </row>
    <row r="42" spans="27:47" x14ac:dyDescent="0.25">
      <c r="AA42" s="366"/>
      <c r="AB42" s="368" t="s">
        <v>318</v>
      </c>
      <c r="AC42" s="368"/>
      <c r="AD42" s="368"/>
      <c r="AE42" s="370">
        <f>0.7*0.25</f>
        <v>0.17499999999999999</v>
      </c>
      <c r="AF42" s="371">
        <v>0.11720000000000001</v>
      </c>
      <c r="AG42" s="372">
        <v>5.7506521369319477E-3</v>
      </c>
      <c r="AH42" s="366"/>
      <c r="AI42" s="368" t="s">
        <v>318</v>
      </c>
      <c r="AJ42" s="368"/>
      <c r="AK42" s="368"/>
      <c r="AL42" s="370">
        <f>0.7*0.25</f>
        <v>0.17499999999999999</v>
      </c>
      <c r="AM42" s="371">
        <v>0.16800000000000001</v>
      </c>
      <c r="AN42" s="372">
        <v>4.0000000000000001E-3</v>
      </c>
      <c r="AO42" s="366"/>
      <c r="AP42" s="368" t="s">
        <v>319</v>
      </c>
      <c r="AQ42" s="368"/>
      <c r="AR42" s="368"/>
      <c r="AS42" s="370">
        <v>0.17499999999999999</v>
      </c>
      <c r="AT42" s="371">
        <v>7.4733333333333332E-2</v>
      </c>
      <c r="AU42" s="372">
        <v>1.1547005383792447E-3</v>
      </c>
    </row>
    <row r="43" spans="27:47" x14ac:dyDescent="0.25">
      <c r="AA43" s="366"/>
      <c r="AB43" s="368" t="s">
        <v>304</v>
      </c>
      <c r="AC43" s="368"/>
      <c r="AD43" s="368"/>
      <c r="AE43" s="370">
        <f>0.7*0.5</f>
        <v>0.35</v>
      </c>
      <c r="AF43" s="371">
        <v>0.14546666666666666</v>
      </c>
      <c r="AG43" s="372">
        <v>9.2376043070339562E-4</v>
      </c>
      <c r="AH43" s="366"/>
      <c r="AI43" s="368" t="s">
        <v>304</v>
      </c>
      <c r="AJ43" s="368"/>
      <c r="AK43" s="368"/>
      <c r="AL43" s="370">
        <f>0.7*0.5</f>
        <v>0.35</v>
      </c>
      <c r="AM43" s="371">
        <v>0.14299999999999999</v>
      </c>
      <c r="AN43" s="372">
        <v>7.0000000000000001E-3</v>
      </c>
      <c r="AO43" s="366"/>
      <c r="AP43" s="368" t="s">
        <v>303</v>
      </c>
      <c r="AQ43" s="368"/>
      <c r="AR43" s="368"/>
      <c r="AS43" s="370">
        <v>0.35</v>
      </c>
      <c r="AT43" s="371">
        <v>5.7200000000000001E-2</v>
      </c>
      <c r="AU43" s="372">
        <v>1.0392785959500923E-2</v>
      </c>
    </row>
    <row r="44" spans="27:47" x14ac:dyDescent="0.25">
      <c r="AA44" s="366"/>
      <c r="AB44" s="368" t="s">
        <v>306</v>
      </c>
      <c r="AC44" s="368"/>
      <c r="AD44" s="368"/>
      <c r="AE44" s="370">
        <f>0.7</f>
        <v>0.7</v>
      </c>
      <c r="AF44" s="371">
        <v>0.17829999999999999</v>
      </c>
      <c r="AG44" s="372">
        <v>2.8618176042508286E-3</v>
      </c>
      <c r="AH44" s="366"/>
      <c r="AI44" s="368" t="s">
        <v>306</v>
      </c>
      <c r="AJ44" s="368"/>
      <c r="AK44" s="368"/>
      <c r="AL44" s="370">
        <f>0.7</f>
        <v>0.7</v>
      </c>
      <c r="AM44" s="371">
        <v>0.14199999999999999</v>
      </c>
      <c r="AN44" s="373">
        <v>0</v>
      </c>
      <c r="AO44" s="366"/>
      <c r="AP44" s="368" t="s">
        <v>305</v>
      </c>
      <c r="AQ44" s="368"/>
      <c r="AR44" s="368"/>
      <c r="AS44" s="370">
        <v>0.7</v>
      </c>
      <c r="AT44" s="371">
        <v>1.8666666666666668E-2</v>
      </c>
      <c r="AU44" s="373">
        <v>2.5579940057266237E-3</v>
      </c>
    </row>
    <row r="45" spans="27:47" x14ac:dyDescent="0.25">
      <c r="AA45" s="366"/>
      <c r="AB45" s="368" t="s">
        <v>308</v>
      </c>
      <c r="AC45" s="368"/>
      <c r="AD45" s="368"/>
      <c r="AE45" s="370">
        <f>1.4</f>
        <v>1.4</v>
      </c>
      <c r="AF45" s="371">
        <v>0.23500000000000001</v>
      </c>
      <c r="AG45" s="372">
        <v>1.3076696830621949E-3</v>
      </c>
      <c r="AH45" s="366"/>
      <c r="AI45" s="368" t="s">
        <v>308</v>
      </c>
      <c r="AJ45" s="368"/>
      <c r="AK45" s="368"/>
      <c r="AL45" s="370">
        <f>1.4</f>
        <v>1.4</v>
      </c>
      <c r="AM45" s="371">
        <v>7.5999999999999998E-2</v>
      </c>
      <c r="AN45" s="372">
        <v>1E-3</v>
      </c>
      <c r="AO45" s="366"/>
      <c r="AP45" s="368" t="s">
        <v>307</v>
      </c>
      <c r="AQ45" s="368"/>
      <c r="AR45" s="368"/>
      <c r="AS45" s="370">
        <v>1.4</v>
      </c>
      <c r="AT45" s="371">
        <v>2.58E-2</v>
      </c>
      <c r="AU45" s="372">
        <v>8.5105816487476386E-3</v>
      </c>
    </row>
    <row r="46" spans="27:47" x14ac:dyDescent="0.25">
      <c r="AA46" s="366"/>
      <c r="AB46" s="368" t="s">
        <v>310</v>
      </c>
      <c r="AC46" s="368"/>
      <c r="AD46" s="368"/>
      <c r="AE46" s="370">
        <v>3.5</v>
      </c>
      <c r="AF46" s="371">
        <v>0.17979999999999999</v>
      </c>
      <c r="AG46" s="372">
        <v>1.833030277982331E-3</v>
      </c>
      <c r="AH46" s="366"/>
      <c r="AI46" s="368" t="s">
        <v>310</v>
      </c>
      <c r="AJ46" s="368"/>
      <c r="AK46" s="368"/>
      <c r="AL46" s="370">
        <v>3.5</v>
      </c>
      <c r="AM46" s="371">
        <v>4.4999999999999998E-2</v>
      </c>
      <c r="AN46" s="372">
        <v>5.0000000000000001E-3</v>
      </c>
      <c r="AO46" s="366"/>
      <c r="AP46" s="368" t="s">
        <v>309</v>
      </c>
      <c r="AQ46" s="368"/>
      <c r="AR46" s="368"/>
      <c r="AS46" s="370">
        <v>3.5</v>
      </c>
      <c r="AT46" s="371">
        <v>1.5100000000000002E-2</v>
      </c>
      <c r="AU46" s="372">
        <v>3.830143600441112E-3</v>
      </c>
    </row>
    <row r="47" spans="27:47" x14ac:dyDescent="0.25">
      <c r="AA47" s="366"/>
      <c r="AB47" s="368" t="s">
        <v>320</v>
      </c>
      <c r="AC47" s="368"/>
      <c r="AD47" s="368"/>
      <c r="AE47" s="370">
        <v>5.6</v>
      </c>
      <c r="AF47" s="371">
        <v>5.9799999999999999E-2</v>
      </c>
      <c r="AG47" s="372">
        <v>9.5393920141694541E-4</v>
      </c>
      <c r="AH47" s="366"/>
      <c r="AI47" s="368" t="s">
        <v>311</v>
      </c>
      <c r="AJ47" s="368"/>
      <c r="AK47" s="368"/>
      <c r="AL47" s="371">
        <v>7</v>
      </c>
      <c r="AM47" s="371">
        <v>2.2599999999999999E-2</v>
      </c>
      <c r="AN47" s="372">
        <v>1.670329308849007E-3</v>
      </c>
      <c r="AO47" s="366"/>
      <c r="AP47" s="368"/>
      <c r="AQ47" s="368"/>
      <c r="AR47" s="368"/>
      <c r="AS47" s="371"/>
      <c r="AT47" s="371"/>
      <c r="AU47" s="372"/>
    </row>
    <row r="48" spans="27:47" x14ac:dyDescent="0.25">
      <c r="AA48" s="366"/>
      <c r="AB48" s="368" t="s">
        <v>312</v>
      </c>
      <c r="AC48" s="368"/>
      <c r="AD48" s="368"/>
      <c r="AE48" s="370">
        <v>7</v>
      </c>
      <c r="AF48" s="371">
        <v>5.2066666666666671E-2</v>
      </c>
      <c r="AG48" s="372">
        <v>6.1101009266077873E-4</v>
      </c>
      <c r="AH48" s="366"/>
      <c r="AI48" s="368"/>
      <c r="AJ48" s="368"/>
      <c r="AK48" s="368"/>
      <c r="AL48" s="368"/>
      <c r="AM48" s="368"/>
      <c r="AN48" s="372"/>
      <c r="AO48" s="366"/>
      <c r="AP48" s="368"/>
      <c r="AQ48" s="368"/>
      <c r="AR48" s="368"/>
      <c r="AS48" s="368"/>
      <c r="AT48" s="368"/>
      <c r="AU48" s="372"/>
    </row>
    <row r="49" spans="27:47" ht="15.75" thickBot="1" x14ac:dyDescent="0.3">
      <c r="AA49" s="374"/>
      <c r="AB49" s="375" t="s">
        <v>321</v>
      </c>
      <c r="AC49" s="375"/>
      <c r="AD49" s="375"/>
      <c r="AE49" s="376">
        <f>15*0.7</f>
        <v>10.5</v>
      </c>
      <c r="AF49" s="377">
        <v>3.8866666666666667E-2</v>
      </c>
      <c r="AG49" s="378">
        <v>1.2701705922171771E-3</v>
      </c>
      <c r="AH49" s="374"/>
      <c r="AI49" s="375"/>
      <c r="AJ49" s="375"/>
      <c r="AK49" s="375"/>
      <c r="AL49" s="375"/>
      <c r="AM49" s="375"/>
      <c r="AN49" s="378"/>
      <c r="AO49" s="374"/>
      <c r="AP49" s="375"/>
      <c r="AQ49" s="375"/>
      <c r="AR49" s="375"/>
      <c r="AS49" s="375"/>
      <c r="AT49" s="375"/>
      <c r="AU49" s="378"/>
    </row>
    <row r="50" spans="27:47" x14ac:dyDescent="0.25">
      <c r="AA50" s="362" t="s">
        <v>322</v>
      </c>
      <c r="AB50" s="363"/>
      <c r="AC50" s="363"/>
      <c r="AD50" s="363"/>
      <c r="AE50" s="364" t="s">
        <v>14</v>
      </c>
      <c r="AF50" s="364" t="s">
        <v>17</v>
      </c>
      <c r="AG50" s="365" t="s">
        <v>279</v>
      </c>
      <c r="AH50" s="362" t="s">
        <v>323</v>
      </c>
      <c r="AI50" s="363"/>
      <c r="AJ50" s="363"/>
      <c r="AK50" s="363"/>
      <c r="AL50" s="364" t="s">
        <v>14</v>
      </c>
      <c r="AM50" s="364" t="s">
        <v>17</v>
      </c>
      <c r="AN50" s="365" t="s">
        <v>279</v>
      </c>
      <c r="AO50" s="362" t="s">
        <v>324</v>
      </c>
      <c r="AP50" s="363"/>
      <c r="AQ50" s="363"/>
      <c r="AR50" s="363"/>
      <c r="AS50" s="364" t="s">
        <v>14</v>
      </c>
      <c r="AT50" s="364" t="s">
        <v>17</v>
      </c>
      <c r="AU50" s="365" t="s">
        <v>279</v>
      </c>
    </row>
    <row r="51" spans="27:47" x14ac:dyDescent="0.25">
      <c r="AA51" s="366"/>
      <c r="AB51" s="367" t="s">
        <v>283</v>
      </c>
      <c r="AC51" s="368"/>
      <c r="AD51" s="368"/>
      <c r="AE51" s="367" t="s">
        <v>284</v>
      </c>
      <c r="AF51" s="367" t="s">
        <v>285</v>
      </c>
      <c r="AG51" s="369" t="s">
        <v>255</v>
      </c>
      <c r="AH51" s="366"/>
      <c r="AI51" s="367" t="s">
        <v>283</v>
      </c>
      <c r="AJ51" s="368"/>
      <c r="AK51" s="368"/>
      <c r="AL51" s="367" t="s">
        <v>284</v>
      </c>
      <c r="AM51" s="367" t="s">
        <v>285</v>
      </c>
      <c r="AN51" s="369" t="s">
        <v>255</v>
      </c>
      <c r="AO51" s="366"/>
      <c r="AP51" s="367" t="s">
        <v>283</v>
      </c>
      <c r="AQ51" s="368"/>
      <c r="AR51" s="368"/>
      <c r="AS51" s="367" t="s">
        <v>284</v>
      </c>
      <c r="AT51" s="367" t="s">
        <v>285</v>
      </c>
      <c r="AU51" s="369" t="s">
        <v>255</v>
      </c>
    </row>
    <row r="52" spans="27:47" x14ac:dyDescent="0.25">
      <c r="AA52" s="366"/>
      <c r="AB52" s="368" t="s">
        <v>325</v>
      </c>
      <c r="AC52" s="368"/>
      <c r="AD52" s="368"/>
      <c r="AE52" s="370">
        <v>0.48999999999999994</v>
      </c>
      <c r="AF52" s="379">
        <v>0.17055160996378985</v>
      </c>
      <c r="AG52" s="372">
        <v>1.1269427669584684E-3</v>
      </c>
      <c r="AH52" s="366"/>
      <c r="AI52" s="368" t="s">
        <v>326</v>
      </c>
      <c r="AJ52" s="368"/>
      <c r="AK52" s="368"/>
      <c r="AL52" s="370">
        <v>0</v>
      </c>
      <c r="AM52" s="379">
        <v>5.7085822387134416E-2</v>
      </c>
      <c r="AN52" s="372">
        <v>1.3683566786477858E-2</v>
      </c>
      <c r="AO52" s="366"/>
      <c r="AP52" s="368" t="s">
        <v>326</v>
      </c>
      <c r="AQ52" s="368"/>
      <c r="AR52" s="368"/>
      <c r="AS52" s="370">
        <v>0</v>
      </c>
      <c r="AT52" s="371"/>
      <c r="AU52" s="372"/>
    </row>
    <row r="53" spans="27:47" x14ac:dyDescent="0.25">
      <c r="AA53" s="366"/>
      <c r="AB53" s="368" t="s">
        <v>327</v>
      </c>
      <c r="AC53" s="368"/>
      <c r="AD53" s="368"/>
      <c r="AE53" s="370">
        <v>0.7</v>
      </c>
      <c r="AF53" s="379">
        <v>0.16980451488489121</v>
      </c>
      <c r="AG53" s="372">
        <v>6.6583281184793891E-4</v>
      </c>
      <c r="AH53" s="366"/>
      <c r="AI53" s="368" t="s">
        <v>328</v>
      </c>
      <c r="AJ53" s="368"/>
      <c r="AK53" s="368"/>
      <c r="AL53" s="370">
        <v>7.0000000000000007E-2</v>
      </c>
      <c r="AM53" s="379">
        <v>9.906070970352121E-2</v>
      </c>
      <c r="AN53" s="372">
        <v>4.1327956639543679E-3</v>
      </c>
      <c r="AO53" s="366"/>
      <c r="AP53" s="368" t="s">
        <v>328</v>
      </c>
      <c r="AQ53" s="368"/>
      <c r="AR53" s="368"/>
      <c r="AS53" s="370">
        <v>7.0000000000000007E-2</v>
      </c>
      <c r="AT53" s="379">
        <v>1.5199128922375979E-2</v>
      </c>
      <c r="AU53" s="372">
        <v>7.7693843599948879E-3</v>
      </c>
    </row>
    <row r="54" spans="27:47" x14ac:dyDescent="0.25">
      <c r="AA54" s="366"/>
      <c r="AB54" s="368" t="s">
        <v>329</v>
      </c>
      <c r="AC54" s="368"/>
      <c r="AD54" s="368"/>
      <c r="AE54" s="370">
        <v>0.84</v>
      </c>
      <c r="AF54" s="379">
        <v>0.18844853557111421</v>
      </c>
      <c r="AG54" s="372">
        <v>8.6602540378443945E-4</v>
      </c>
      <c r="AH54" s="366"/>
      <c r="AI54" s="368" t="s">
        <v>330</v>
      </c>
      <c r="AJ54" s="368"/>
      <c r="AK54" s="368"/>
      <c r="AL54" s="370">
        <v>0.17499999999999999</v>
      </c>
      <c r="AM54" s="379">
        <v>0.1472102484555001</v>
      </c>
      <c r="AN54" s="372">
        <v>1.0730486164817201E-2</v>
      </c>
      <c r="AO54" s="366"/>
      <c r="AP54" s="368" t="s">
        <v>330</v>
      </c>
      <c r="AQ54" s="368"/>
      <c r="AR54" s="368"/>
      <c r="AS54" s="370">
        <v>0.17499999999999999</v>
      </c>
      <c r="AT54" s="379">
        <v>9.9467803629562701E-2</v>
      </c>
      <c r="AU54" s="372">
        <v>4.2146569650842692E-3</v>
      </c>
    </row>
    <row r="55" spans="27:47" x14ac:dyDescent="0.25">
      <c r="AA55" s="366"/>
      <c r="AB55" s="368" t="s">
        <v>331</v>
      </c>
      <c r="AC55" s="368"/>
      <c r="AD55" s="368"/>
      <c r="AE55" s="370">
        <v>1.0499999999999998</v>
      </c>
      <c r="AF55" s="379">
        <v>0.19027702668331278</v>
      </c>
      <c r="AG55" s="372">
        <v>3.5118845842842497E-3</v>
      </c>
      <c r="AH55" s="366"/>
      <c r="AI55" s="368" t="s">
        <v>332</v>
      </c>
      <c r="AJ55" s="368"/>
      <c r="AK55" s="368"/>
      <c r="AL55" s="370">
        <v>0.35</v>
      </c>
      <c r="AM55" s="379">
        <v>0.16359561824394056</v>
      </c>
      <c r="AN55" s="372">
        <v>1.8244268506392183E-2</v>
      </c>
      <c r="AO55" s="366"/>
      <c r="AP55" s="368" t="s">
        <v>332</v>
      </c>
      <c r="AQ55" s="368"/>
      <c r="AR55" s="368"/>
      <c r="AS55" s="370">
        <v>0.35</v>
      </c>
      <c r="AT55" s="379">
        <v>5.5463900270360446E-2</v>
      </c>
      <c r="AU55" s="372">
        <v>7.4101282040190883E-3</v>
      </c>
    </row>
    <row r="56" spans="27:47" x14ac:dyDescent="0.25">
      <c r="AA56" s="366"/>
      <c r="AB56" s="368" t="s">
        <v>333</v>
      </c>
      <c r="AC56" s="368"/>
      <c r="AD56" s="368"/>
      <c r="AE56" s="370">
        <v>1.4</v>
      </c>
      <c r="AF56" s="379">
        <v>0.1917279220607678</v>
      </c>
      <c r="AG56" s="372">
        <v>1.5716233645501766E-3</v>
      </c>
      <c r="AH56" s="366"/>
      <c r="AI56" s="368" t="s">
        <v>327</v>
      </c>
      <c r="AJ56" s="368"/>
      <c r="AK56" s="368"/>
      <c r="AL56" s="370">
        <v>0.7</v>
      </c>
      <c r="AM56" s="379">
        <v>0.14168265893002241</v>
      </c>
      <c r="AN56" s="373">
        <v>1.8369902921173294E-2</v>
      </c>
      <c r="AO56" s="366"/>
      <c r="AP56" s="368" t="s">
        <v>327</v>
      </c>
      <c r="AQ56" s="368"/>
      <c r="AR56" s="368"/>
      <c r="AS56" s="370">
        <v>0.7</v>
      </c>
      <c r="AT56" s="379">
        <v>3.0848658830189713E-2</v>
      </c>
      <c r="AU56" s="373">
        <v>6.8061246927552822E-3</v>
      </c>
    </row>
    <row r="57" spans="27:47" x14ac:dyDescent="0.25">
      <c r="AA57" s="366"/>
      <c r="AB57" s="368" t="s">
        <v>334</v>
      </c>
      <c r="AC57" s="368"/>
      <c r="AD57" s="368"/>
      <c r="AE57" s="370">
        <v>1.75</v>
      </c>
      <c r="AF57" s="379">
        <v>0.18043678327158499</v>
      </c>
      <c r="AG57" s="372">
        <v>6.3508529610859855E-4</v>
      </c>
      <c r="AH57" s="366"/>
      <c r="AI57" s="368" t="s">
        <v>333</v>
      </c>
      <c r="AJ57" s="368"/>
      <c r="AK57" s="368"/>
      <c r="AL57" s="370">
        <v>1.4</v>
      </c>
      <c r="AM57" s="379">
        <v>3.129815045723109E-2</v>
      </c>
      <c r="AN57" s="372">
        <v>7.2270325860618843E-3</v>
      </c>
      <c r="AO57" s="366"/>
      <c r="AP57" s="368" t="s">
        <v>333</v>
      </c>
      <c r="AQ57" s="368"/>
      <c r="AR57" s="368"/>
      <c r="AS57" s="370">
        <v>1.4</v>
      </c>
      <c r="AT57" s="379">
        <v>2.0021972363558006E-2</v>
      </c>
      <c r="AU57" s="372">
        <v>1.0929013374195006E-2</v>
      </c>
    </row>
    <row r="58" spans="27:47" x14ac:dyDescent="0.25">
      <c r="AA58" s="366"/>
      <c r="AB58" s="368" t="s">
        <v>335</v>
      </c>
      <c r="AC58" s="368"/>
      <c r="AD58" s="368"/>
      <c r="AE58" s="370">
        <v>2.8</v>
      </c>
      <c r="AF58" s="379">
        <v>8.0212626764005632E-2</v>
      </c>
      <c r="AG58" s="372">
        <v>2.2368132093076778E-3</v>
      </c>
      <c r="AH58" s="366"/>
      <c r="AI58" s="368" t="s">
        <v>336</v>
      </c>
      <c r="AJ58" s="368"/>
      <c r="AK58" s="368"/>
      <c r="AL58" s="370">
        <v>3.5</v>
      </c>
      <c r="AM58" s="371"/>
      <c r="AN58" s="372"/>
      <c r="AO58" s="366"/>
      <c r="AP58" s="368"/>
      <c r="AQ58" s="368"/>
      <c r="AR58" s="368"/>
      <c r="AS58" s="370"/>
      <c r="AT58" s="371"/>
      <c r="AU58" s="372"/>
    </row>
    <row r="59" spans="27:47" x14ac:dyDescent="0.25">
      <c r="AA59" s="366"/>
      <c r="AB59" s="368" t="s">
        <v>336</v>
      </c>
      <c r="AC59" s="368"/>
      <c r="AD59" s="368"/>
      <c r="AE59" s="370">
        <v>3.5</v>
      </c>
      <c r="AF59" s="379">
        <v>4.925258923938617E-2</v>
      </c>
      <c r="AG59" s="372">
        <v>8.1853527718724344E-4</v>
      </c>
      <c r="AH59" s="366"/>
      <c r="AI59" s="368" t="s">
        <v>337</v>
      </c>
      <c r="AJ59" s="368"/>
      <c r="AK59" s="368"/>
      <c r="AL59" s="371">
        <v>5.6</v>
      </c>
      <c r="AM59" s="371"/>
      <c r="AN59" s="372"/>
      <c r="AO59" s="366"/>
      <c r="AP59" s="368"/>
      <c r="AQ59" s="368"/>
      <c r="AR59" s="368"/>
      <c r="AS59" s="371"/>
      <c r="AT59" s="371"/>
      <c r="AU59" s="372"/>
    </row>
    <row r="60" spans="27:47" x14ac:dyDescent="0.25">
      <c r="AA60" s="366"/>
      <c r="AB60" s="368" t="s">
        <v>338</v>
      </c>
      <c r="AC60" s="368"/>
      <c r="AD60" s="368"/>
      <c r="AE60" s="370">
        <v>5.6</v>
      </c>
      <c r="AF60" s="379">
        <v>5.1866790911647344E-2</v>
      </c>
      <c r="AG60" s="372">
        <v>1.6178504257192625E-2</v>
      </c>
      <c r="AH60" s="366"/>
      <c r="AI60" s="368" t="s">
        <v>339</v>
      </c>
      <c r="AJ60" s="368"/>
      <c r="AK60" s="368"/>
      <c r="AL60" s="368">
        <v>7</v>
      </c>
      <c r="AM60" s="368"/>
      <c r="AN60" s="372"/>
      <c r="AO60" s="366"/>
      <c r="AP60" s="368"/>
      <c r="AQ60" s="368"/>
      <c r="AR60" s="368"/>
      <c r="AS60" s="368"/>
      <c r="AT60" s="368"/>
      <c r="AU60" s="372"/>
    </row>
    <row r="61" spans="27:47" x14ac:dyDescent="0.25">
      <c r="AA61" s="366"/>
      <c r="AB61" s="368" t="s">
        <v>339</v>
      </c>
      <c r="AC61" s="368"/>
      <c r="AD61" s="368"/>
      <c r="AE61" s="370">
        <v>7</v>
      </c>
      <c r="AF61" s="379">
        <v>2.7591358359181518E-2</v>
      </c>
      <c r="AG61" s="372">
        <v>2.5166114784235682E-4</v>
      </c>
      <c r="AH61" s="366"/>
      <c r="AI61" s="368"/>
      <c r="AJ61" s="368"/>
      <c r="AK61" s="368"/>
      <c r="AL61" s="368"/>
      <c r="AM61" s="368"/>
      <c r="AN61" s="372"/>
      <c r="AO61" s="366"/>
      <c r="AP61" s="368"/>
      <c r="AQ61" s="368"/>
      <c r="AR61" s="368"/>
      <c r="AS61" s="368"/>
      <c r="AT61" s="368"/>
      <c r="AU61" s="372"/>
    </row>
    <row r="62" spans="27:47" ht="15.75" thickBot="1" x14ac:dyDescent="0.3">
      <c r="AA62" s="374"/>
      <c r="AB62" s="375" t="s">
        <v>340</v>
      </c>
      <c r="AC62" s="375"/>
      <c r="AD62" s="375"/>
      <c r="AE62" s="376">
        <v>8.3999999999999986</v>
      </c>
      <c r="AF62" s="379">
        <v>3.2661262254007957E-2</v>
      </c>
      <c r="AG62" s="378">
        <v>1.266227994214838E-3</v>
      </c>
      <c r="AH62" s="374"/>
      <c r="AI62" s="375"/>
      <c r="AJ62" s="375"/>
      <c r="AK62" s="375"/>
      <c r="AL62" s="375"/>
      <c r="AM62" s="375"/>
      <c r="AN62" s="378"/>
      <c r="AO62" s="374"/>
      <c r="AP62" s="375"/>
      <c r="AQ62" s="375"/>
      <c r="AR62" s="375"/>
      <c r="AS62" s="375"/>
      <c r="AT62" s="375"/>
      <c r="AU62" s="378"/>
    </row>
    <row r="66" spans="44:44" x14ac:dyDescent="0.25">
      <c r="AR66" s="1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DA32-60EB-4C22-9C1D-845CF2D03390}">
  <dimension ref="A1:AA31"/>
  <sheetViews>
    <sheetView zoomScaleNormal="100" workbookViewId="0"/>
  </sheetViews>
  <sheetFormatPr defaultColWidth="8.7109375" defaultRowHeight="15" x14ac:dyDescent="0.25"/>
  <cols>
    <col min="1" max="1" width="8.7109375" style="5"/>
    <col min="2" max="2" width="15.85546875" style="5" customWidth="1"/>
    <col min="3" max="14" width="8.7109375" style="5"/>
    <col min="15" max="15" width="12" style="5" bestFit="1" customWidth="1"/>
    <col min="16" max="16384" width="8.7109375" style="5"/>
  </cols>
  <sheetData>
    <row r="1" spans="1:27" x14ac:dyDescent="0.25">
      <c r="A1" s="8" t="s">
        <v>192</v>
      </c>
      <c r="D1" s="5">
        <v>20161117</v>
      </c>
    </row>
    <row r="2" spans="1:27" x14ac:dyDescent="0.25">
      <c r="A2" s="9" t="s">
        <v>191</v>
      </c>
    </row>
    <row r="3" spans="1:27" x14ac:dyDescent="0.25">
      <c r="A3" s="9" t="s">
        <v>39</v>
      </c>
    </row>
    <row r="4" spans="1:27" x14ac:dyDescent="0.25">
      <c r="A4" s="10"/>
      <c r="D4" s="382" t="s">
        <v>12</v>
      </c>
      <c r="E4" s="383"/>
      <c r="F4" s="383"/>
      <c r="G4" s="383"/>
      <c r="H4" s="383"/>
      <c r="I4" s="384"/>
      <c r="J4" s="382" t="s">
        <v>5</v>
      </c>
      <c r="K4" s="383"/>
      <c r="L4" s="383"/>
      <c r="M4" s="383"/>
      <c r="N4" s="383"/>
      <c r="O4" s="384"/>
      <c r="P4" s="382" t="s">
        <v>13</v>
      </c>
      <c r="Q4" s="383"/>
      <c r="R4" s="383"/>
      <c r="S4" s="383"/>
      <c r="T4" s="383"/>
      <c r="U4" s="384"/>
      <c r="V4" s="382" t="s">
        <v>14</v>
      </c>
      <c r="W4" s="383"/>
      <c r="X4" s="383"/>
      <c r="Y4" s="383"/>
      <c r="Z4" s="383"/>
      <c r="AA4" s="384"/>
    </row>
    <row r="5" spans="1:27" x14ac:dyDescent="0.25">
      <c r="B5" s="73" t="s">
        <v>15</v>
      </c>
      <c r="C5" s="13" t="s">
        <v>16</v>
      </c>
      <c r="D5" s="12">
        <v>1</v>
      </c>
      <c r="E5" s="13">
        <v>2</v>
      </c>
      <c r="F5" s="13">
        <v>3</v>
      </c>
      <c r="G5" s="13" t="s">
        <v>4</v>
      </c>
      <c r="H5" s="14" t="s">
        <v>17</v>
      </c>
      <c r="I5" s="15" t="s">
        <v>18</v>
      </c>
      <c r="J5" s="12">
        <v>1</v>
      </c>
      <c r="K5" s="13">
        <v>2</v>
      </c>
      <c r="L5" s="13">
        <v>3</v>
      </c>
      <c r="M5" s="13" t="s">
        <v>4</v>
      </c>
      <c r="N5" s="14" t="s">
        <v>17</v>
      </c>
      <c r="O5" s="15" t="s">
        <v>18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5" t="s">
        <v>18</v>
      </c>
      <c r="V5" s="12">
        <v>1</v>
      </c>
      <c r="W5" s="13">
        <v>2</v>
      </c>
      <c r="X5" s="13">
        <v>3</v>
      </c>
      <c r="Y5" s="13" t="s">
        <v>4</v>
      </c>
      <c r="Z5" s="14" t="s">
        <v>17</v>
      </c>
      <c r="AA5" s="15" t="s">
        <v>18</v>
      </c>
    </row>
    <row r="6" spans="1:27" x14ac:dyDescent="0.25">
      <c r="A6" s="5" t="s">
        <v>19</v>
      </c>
      <c r="B6" s="17">
        <v>42691.550694444442</v>
      </c>
      <c r="C6" s="18">
        <f>(B6-$B$6)*24</f>
        <v>0</v>
      </c>
      <c r="D6" s="19">
        <v>2.4E-2</v>
      </c>
      <c r="E6" s="20">
        <v>2.3E-2</v>
      </c>
      <c r="F6" s="20">
        <v>2.3E-2</v>
      </c>
      <c r="G6" s="20">
        <v>0</v>
      </c>
      <c r="H6" s="21">
        <f>AVERAGE(D6:F6)</f>
        <v>2.3333333333333334E-2</v>
      </c>
      <c r="I6" s="22">
        <f>STDEV(D6:F6)</f>
        <v>5.7735026918962623E-4</v>
      </c>
      <c r="J6" s="23">
        <v>6.43</v>
      </c>
      <c r="K6" s="24">
        <v>6.4</v>
      </c>
      <c r="L6" s="24">
        <v>6.41</v>
      </c>
      <c r="M6" s="24">
        <v>6.42</v>
      </c>
      <c r="N6" s="25">
        <f>AVERAGE(J6:L6)</f>
        <v>6.413333333333334</v>
      </c>
      <c r="O6" s="26">
        <f>STDEV(J6:L6)</f>
        <v>1.527525231651914E-2</v>
      </c>
      <c r="P6" s="23">
        <v>29.656260718689438</v>
      </c>
      <c r="Q6" s="24">
        <v>30.510033015092716</v>
      </c>
      <c r="R6" s="24">
        <v>30.781313295014499</v>
      </c>
      <c r="S6" s="24">
        <v>31.218064846227421</v>
      </c>
      <c r="T6" s="25">
        <f>AVERAGE(P6:R6)</f>
        <v>30.315869009598885</v>
      </c>
      <c r="U6" s="26">
        <f>STDEV(P6:R6)</f>
        <v>0.58712057590070088</v>
      </c>
      <c r="V6" s="23" t="s">
        <v>21</v>
      </c>
      <c r="W6" s="24" t="s">
        <v>21</v>
      </c>
      <c r="X6" s="24" t="s">
        <v>21</v>
      </c>
      <c r="Y6" s="24" t="s">
        <v>21</v>
      </c>
      <c r="Z6" s="25"/>
      <c r="AA6" s="26"/>
    </row>
    <row r="7" spans="1:27" x14ac:dyDescent="0.25">
      <c r="A7" s="5" t="s">
        <v>20</v>
      </c>
      <c r="B7" s="17">
        <v>42691.617361111108</v>
      </c>
      <c r="C7" s="28">
        <f t="shared" ref="C7:C13" si="0">(B7-$B$6)*24</f>
        <v>1.5999999999767169</v>
      </c>
      <c r="D7" s="29">
        <v>4.2999999999999997E-2</v>
      </c>
      <c r="E7" s="30">
        <v>0.04</v>
      </c>
      <c r="F7" s="30">
        <v>0.04</v>
      </c>
      <c r="G7" s="30">
        <v>0</v>
      </c>
      <c r="H7" s="31">
        <f t="shared" ref="H7:H13" si="1">AVERAGE(D7:F7)</f>
        <v>4.1000000000000002E-2</v>
      </c>
      <c r="I7" s="32">
        <f t="shared" ref="I7:I13" si="2">STDEV(D7:F7)</f>
        <v>1.7320508075688748E-3</v>
      </c>
      <c r="J7" s="33">
        <v>6.29</v>
      </c>
      <c r="K7" s="34">
        <v>6.3</v>
      </c>
      <c r="L7" s="34">
        <v>6.28</v>
      </c>
      <c r="M7" s="34">
        <v>6.44</v>
      </c>
      <c r="N7" s="35">
        <f t="shared" ref="N7:N13" si="3">AVERAGE(J7:L7)</f>
        <v>6.29</v>
      </c>
      <c r="O7" s="36">
        <f t="shared" ref="O7:O13" si="4">STDEV(J7:L7)</f>
        <v>9.9999999999997868E-3</v>
      </c>
      <c r="P7" s="121">
        <v>28.625461291800441</v>
      </c>
      <c r="Q7" s="121">
        <v>28.875787012482554</v>
      </c>
      <c r="R7" s="115">
        <v>28.973569134234065</v>
      </c>
      <c r="S7" s="115">
        <v>29.182511319927514</v>
      </c>
      <c r="T7" s="35">
        <f t="shared" ref="T7:T15" si="5">AVERAGE(P7:R7)</f>
        <v>28.824939146172355</v>
      </c>
      <c r="U7" s="36">
        <f t="shared" ref="U7:U15" si="6">STDEV(P7:R7)</f>
        <v>0.17953800885097626</v>
      </c>
      <c r="V7" s="115">
        <v>0.19866601016698518</v>
      </c>
      <c r="W7" s="115">
        <v>0.17427609436184038</v>
      </c>
      <c r="X7" s="115">
        <v>0.17762826709446788</v>
      </c>
      <c r="Y7" s="34" t="s">
        <v>21</v>
      </c>
      <c r="Z7" s="35">
        <f t="shared" ref="Z7:Z10" si="7">AVERAGE(V7:X7)</f>
        <v>0.1835234572077645</v>
      </c>
      <c r="AA7" s="36">
        <f t="shared" ref="AA7:AA10" si="8">STDEV(V7:X7)</f>
        <v>1.3220512399277323E-2</v>
      </c>
    </row>
    <row r="8" spans="1:27" x14ac:dyDescent="0.25">
      <c r="A8" s="5" t="s">
        <v>22</v>
      </c>
      <c r="B8" s="17">
        <v>42691.661805555559</v>
      </c>
      <c r="C8" s="112">
        <f t="shared" si="0"/>
        <v>2.6666666668024845</v>
      </c>
      <c r="D8" s="30">
        <v>5.3999999999999999E-2</v>
      </c>
      <c r="E8" s="30">
        <v>5.0999999999999997E-2</v>
      </c>
      <c r="F8" s="30">
        <v>5.0999999999999997E-2</v>
      </c>
      <c r="G8" s="30">
        <v>0</v>
      </c>
      <c r="H8" s="31">
        <f t="shared" si="1"/>
        <v>5.1999999999999998E-2</v>
      </c>
      <c r="I8" s="32">
        <f t="shared" si="2"/>
        <v>1.7320508075688791E-3</v>
      </c>
      <c r="J8" s="33">
        <v>6.18</v>
      </c>
      <c r="K8" s="34">
        <v>6.16</v>
      </c>
      <c r="L8" s="34">
        <v>6.17</v>
      </c>
      <c r="M8" s="34">
        <v>6.44</v>
      </c>
      <c r="N8" s="35">
        <f t="shared" si="3"/>
        <v>6.169999999999999</v>
      </c>
      <c r="O8" s="36">
        <f t="shared" si="4"/>
        <v>9.9999999999997868E-3</v>
      </c>
      <c r="P8" s="33"/>
      <c r="Q8" s="34"/>
      <c r="R8" s="34"/>
      <c r="S8" s="34"/>
      <c r="T8" s="35"/>
      <c r="U8" s="36"/>
      <c r="V8" s="33"/>
      <c r="W8" s="34"/>
      <c r="X8" s="34"/>
      <c r="Y8" s="34"/>
      <c r="Z8" s="35"/>
      <c r="AA8" s="36"/>
    </row>
    <row r="9" spans="1:27" x14ac:dyDescent="0.25">
      <c r="A9" s="5" t="s">
        <v>23</v>
      </c>
      <c r="B9" s="17">
        <v>42691.725694444445</v>
      </c>
      <c r="C9" s="112">
        <f t="shared" si="0"/>
        <v>4.2000000000698492</v>
      </c>
      <c r="D9" s="30">
        <v>0.105</v>
      </c>
      <c r="E9" s="30">
        <v>0.10100000000000001</v>
      </c>
      <c r="F9" s="30">
        <v>0.1</v>
      </c>
      <c r="G9" s="30">
        <v>0</v>
      </c>
      <c r="H9" s="31">
        <f t="shared" si="1"/>
        <v>0.10200000000000002</v>
      </c>
      <c r="I9" s="32">
        <f t="shared" si="2"/>
        <v>2.6457513110645851E-3</v>
      </c>
      <c r="J9" s="33">
        <v>5.57</v>
      </c>
      <c r="K9" s="34">
        <v>5.56</v>
      </c>
      <c r="L9" s="34">
        <v>5.55</v>
      </c>
      <c r="M9" s="34">
        <v>6.44</v>
      </c>
      <c r="N9" s="35">
        <f t="shared" si="3"/>
        <v>5.56</v>
      </c>
      <c r="O9" s="36">
        <f t="shared" si="4"/>
        <v>1.0000000000000231E-2</v>
      </c>
      <c r="P9" s="33"/>
      <c r="Q9" s="34"/>
      <c r="R9" s="34"/>
      <c r="S9" s="34"/>
      <c r="T9" s="35"/>
      <c r="U9" s="36"/>
      <c r="V9" s="33"/>
      <c r="W9" s="34"/>
      <c r="X9" s="34"/>
      <c r="Y9" s="34"/>
      <c r="Z9" s="35"/>
      <c r="AA9" s="36"/>
    </row>
    <row r="10" spans="1:27" x14ac:dyDescent="0.25">
      <c r="A10" s="5" t="s">
        <v>24</v>
      </c>
      <c r="B10" s="17">
        <v>42691.784722222219</v>
      </c>
      <c r="C10" s="112">
        <f t="shared" si="0"/>
        <v>5.6166666666395031</v>
      </c>
      <c r="D10" s="30">
        <v>0.14399999999999999</v>
      </c>
      <c r="E10" s="30">
        <v>0.14399999999999999</v>
      </c>
      <c r="F10" s="30">
        <v>0.14299999999999999</v>
      </c>
      <c r="G10" s="30">
        <v>-1E-3</v>
      </c>
      <c r="H10" s="31">
        <f t="shared" si="1"/>
        <v>0.14366666666666664</v>
      </c>
      <c r="I10" s="32">
        <f t="shared" si="2"/>
        <v>5.7735026918962634E-4</v>
      </c>
      <c r="J10" s="33">
        <v>4.7699999999999996</v>
      </c>
      <c r="K10" s="34">
        <v>4.74</v>
      </c>
      <c r="L10" s="34">
        <v>4.7300000000000004</v>
      </c>
      <c r="M10" s="34">
        <v>6.43</v>
      </c>
      <c r="N10" s="35">
        <f t="shared" si="3"/>
        <v>4.746666666666667</v>
      </c>
      <c r="O10" s="36">
        <f t="shared" si="4"/>
        <v>2.0816659994660883E-2</v>
      </c>
      <c r="P10" s="115">
        <v>26.557192711779198</v>
      </c>
      <c r="Q10" s="115">
        <v>27.083076424800716</v>
      </c>
      <c r="R10" s="115">
        <v>27.036755865171308</v>
      </c>
      <c r="S10" s="115">
        <v>29.392477295078265</v>
      </c>
      <c r="T10" s="35">
        <f t="shared" si="5"/>
        <v>26.892341667250406</v>
      </c>
      <c r="U10" s="36">
        <f t="shared" si="6"/>
        <v>0.29117007972347941</v>
      </c>
      <c r="V10" s="115">
        <v>1.6999824915799122</v>
      </c>
      <c r="W10" s="115">
        <v>1.7084689598531362</v>
      </c>
      <c r="X10" s="115">
        <v>1.7285592251282917</v>
      </c>
      <c r="Y10" s="34" t="s">
        <v>21</v>
      </c>
      <c r="Z10" s="35">
        <f t="shared" si="7"/>
        <v>1.7123368921871134</v>
      </c>
      <c r="AA10" s="36">
        <f t="shared" si="8"/>
        <v>1.4675765754431342E-2</v>
      </c>
    </row>
    <row r="11" spans="1:27" x14ac:dyDescent="0.25">
      <c r="A11" s="5" t="s">
        <v>40</v>
      </c>
      <c r="B11" s="17">
        <v>42691.847222222219</v>
      </c>
      <c r="C11" s="18">
        <f t="shared" si="0"/>
        <v>7.1166666666395031</v>
      </c>
      <c r="D11" s="19">
        <v>0.16200000000000001</v>
      </c>
      <c r="E11" s="20">
        <v>0.16200000000000001</v>
      </c>
      <c r="F11" s="20">
        <v>0.16200000000000001</v>
      </c>
      <c r="G11" s="20">
        <v>0</v>
      </c>
      <c r="H11" s="21">
        <f t="shared" si="1"/>
        <v>0.16200000000000001</v>
      </c>
      <c r="I11" s="22">
        <f t="shared" si="2"/>
        <v>0</v>
      </c>
      <c r="J11" s="23">
        <v>4.4800000000000004</v>
      </c>
      <c r="K11" s="24">
        <v>4.43</v>
      </c>
      <c r="L11" s="24">
        <v>4.45</v>
      </c>
      <c r="M11" s="24">
        <v>6.43</v>
      </c>
      <c r="N11" s="25">
        <f t="shared" si="3"/>
        <v>4.4533333333333331</v>
      </c>
      <c r="O11" s="26">
        <f t="shared" si="4"/>
        <v>2.5166114784236179E-2</v>
      </c>
      <c r="P11" s="23">
        <v>28.2747004066233</v>
      </c>
      <c r="Q11" s="24">
        <v>28.583094738912187</v>
      </c>
      <c r="R11" s="24">
        <v>28.491313500154615</v>
      </c>
      <c r="S11" s="24">
        <v>31.206916991001545</v>
      </c>
      <c r="T11" s="25">
        <f t="shared" si="5"/>
        <v>28.449702881896702</v>
      </c>
      <c r="U11" s="26">
        <f t="shared" si="6"/>
        <v>0.15835197728740749</v>
      </c>
      <c r="V11" s="23">
        <v>2.2721494886054123</v>
      </c>
      <c r="W11" s="24">
        <v>2.283096218849507</v>
      </c>
      <c r="X11" s="24">
        <v>2.304178949083755</v>
      </c>
      <c r="Y11" s="24" t="s">
        <v>21</v>
      </c>
      <c r="Z11" s="25">
        <f>AVERAGE(V11:X11)</f>
        <v>2.2864748855128911</v>
      </c>
      <c r="AA11" s="26">
        <f>STDEV(V11:X11)</f>
        <v>1.6279838019775488E-2</v>
      </c>
    </row>
    <row r="12" spans="1:27" x14ac:dyDescent="0.25">
      <c r="A12" s="5" t="s">
        <v>46</v>
      </c>
      <c r="B12" s="17">
        <v>42691.919444444444</v>
      </c>
      <c r="C12" s="122">
        <f t="shared" si="0"/>
        <v>8.8500000000349246</v>
      </c>
      <c r="D12" s="19">
        <v>0.16800000000000001</v>
      </c>
      <c r="E12" s="20">
        <v>0.17</v>
      </c>
      <c r="F12" s="20">
        <v>0.17100000000000001</v>
      </c>
      <c r="G12" s="20">
        <v>2E-3</v>
      </c>
      <c r="H12" s="21">
        <f t="shared" si="1"/>
        <v>0.16966666666666666</v>
      </c>
      <c r="I12" s="22">
        <f t="shared" si="2"/>
        <v>1.5275252316519481E-3</v>
      </c>
      <c r="J12" s="23">
        <v>4.41</v>
      </c>
      <c r="K12" s="24">
        <v>4.37</v>
      </c>
      <c r="L12" s="24">
        <v>4.3499999999999996</v>
      </c>
      <c r="M12" s="24">
        <v>6.42</v>
      </c>
      <c r="N12" s="25">
        <f t="shared" si="3"/>
        <v>4.3766666666666669</v>
      </c>
      <c r="O12" s="26">
        <f t="shared" si="4"/>
        <v>3.0550504633039158E-2</v>
      </c>
      <c r="P12" s="93">
        <v>28.420355403258164</v>
      </c>
      <c r="Q12" s="94">
        <v>28.390623754276596</v>
      </c>
      <c r="R12" s="94">
        <v>28.323911117718218</v>
      </c>
      <c r="S12" s="94">
        <v>31.564074675172961</v>
      </c>
      <c r="T12" s="70">
        <f t="shared" si="5"/>
        <v>28.378296758417662</v>
      </c>
      <c r="U12" s="95">
        <f t="shared" si="6"/>
        <v>4.9389686914449268E-2</v>
      </c>
      <c r="V12" s="93">
        <v>2.8171362869356296</v>
      </c>
      <c r="W12" s="94">
        <v>2.8381076441248911</v>
      </c>
      <c r="X12" s="94">
        <v>2.841656373060399</v>
      </c>
      <c r="Y12" s="24" t="s">
        <v>21</v>
      </c>
      <c r="Z12" s="25">
        <f t="shared" ref="Z12:Z14" si="9">AVERAGE(V12:X12)</f>
        <v>2.8323001013736402</v>
      </c>
      <c r="AA12" s="26">
        <f t="shared" ref="AA12:AA14" si="10">STDEV(V12:X12)</f>
        <v>1.3251578038001194E-2</v>
      </c>
    </row>
    <row r="13" spans="1:27" x14ac:dyDescent="0.25">
      <c r="A13" s="5" t="s">
        <v>65</v>
      </c>
      <c r="B13" s="17">
        <v>42692.261111111111</v>
      </c>
      <c r="C13" s="39">
        <f t="shared" si="0"/>
        <v>17.050000000046566</v>
      </c>
      <c r="D13" s="19">
        <v>0.16700000000000001</v>
      </c>
      <c r="E13" s="20">
        <v>0.17</v>
      </c>
      <c r="F13" s="20">
        <v>0.17100000000000001</v>
      </c>
      <c r="G13" s="41">
        <v>-1E-3</v>
      </c>
      <c r="H13" s="42">
        <f t="shared" si="1"/>
        <v>0.16933333333333334</v>
      </c>
      <c r="I13" s="43">
        <f t="shared" si="2"/>
        <v>2.0816659994661348E-3</v>
      </c>
      <c r="J13" s="44">
        <v>4.25</v>
      </c>
      <c r="K13" s="45">
        <v>4.22</v>
      </c>
      <c r="L13" s="45">
        <v>4.22</v>
      </c>
      <c r="M13" s="45">
        <v>6.41</v>
      </c>
      <c r="N13" s="46">
        <f t="shared" si="3"/>
        <v>4.2299999999999995</v>
      </c>
      <c r="O13" s="47">
        <f t="shared" si="4"/>
        <v>1.7320508075688915E-2</v>
      </c>
      <c r="P13" s="44"/>
      <c r="Q13" s="45"/>
      <c r="R13" s="45"/>
      <c r="S13" s="45"/>
      <c r="T13" s="46"/>
      <c r="U13" s="47"/>
      <c r="V13" s="23"/>
      <c r="W13" s="24"/>
      <c r="X13" s="24"/>
      <c r="Y13" s="45"/>
      <c r="Z13" s="46"/>
      <c r="AA13" s="47"/>
    </row>
    <row r="14" spans="1:27" ht="18.75" x14ac:dyDescent="0.35">
      <c r="B14" s="17"/>
      <c r="C14" s="262" t="s">
        <v>25</v>
      </c>
      <c r="D14" s="201">
        <f>LN(LOGEST(D7:D10,$C$7:$C$10))</f>
        <v>0.31756969267981033</v>
      </c>
      <c r="E14" s="119">
        <f t="shared" ref="E14:F14" si="11">LN(LOGEST(E7:E10,$C$7:$C$10))</f>
        <v>0.33497077871749953</v>
      </c>
      <c r="F14" s="119">
        <f t="shared" si="11"/>
        <v>0.33266697903273085</v>
      </c>
      <c r="G14" s="24"/>
      <c r="H14" s="25">
        <f>AVERAGE(D14:F14)</f>
        <v>0.32840248347668027</v>
      </c>
      <c r="I14" s="26">
        <f>STDEV(D14:F14)</f>
        <v>9.4519252315836185E-3</v>
      </c>
      <c r="K14" s="49"/>
      <c r="L14" s="49"/>
      <c r="M14" s="127"/>
      <c r="N14" s="85"/>
      <c r="O14" s="123" t="s">
        <v>26</v>
      </c>
      <c r="P14" s="24">
        <f>(P7-P10)</f>
        <v>2.0682685800212433</v>
      </c>
      <c r="Q14" s="24">
        <f t="shared" ref="Q14:R14" si="12">(Q7-Q10)</f>
        <v>1.7927105876818388</v>
      </c>
      <c r="R14" s="24">
        <f t="shared" si="12"/>
        <v>1.9368132690627569</v>
      </c>
      <c r="S14" s="24"/>
      <c r="T14" s="25">
        <f t="shared" si="5"/>
        <v>1.9325974789219462</v>
      </c>
      <c r="U14" s="25">
        <f t="shared" si="6"/>
        <v>0.13782736103696661</v>
      </c>
      <c r="V14" s="201">
        <f>V10-V7</f>
        <v>1.501316481412927</v>
      </c>
      <c r="W14" s="119">
        <f t="shared" ref="W14:X14" si="13">W10-W7</f>
        <v>1.5341928654912957</v>
      </c>
      <c r="X14" s="119">
        <f t="shared" si="13"/>
        <v>1.550930958033824</v>
      </c>
      <c r="Y14" s="24"/>
      <c r="Z14" s="25">
        <f t="shared" si="9"/>
        <v>1.528813434979349</v>
      </c>
      <c r="AA14" s="26">
        <f t="shared" si="10"/>
        <v>2.524089493393673E-2</v>
      </c>
    </row>
    <row r="15" spans="1:27" ht="18" x14ac:dyDescent="0.35">
      <c r="A15" s="52" t="s">
        <v>27</v>
      </c>
      <c r="B15" s="53"/>
      <c r="C15" s="263" t="s">
        <v>28</v>
      </c>
      <c r="D15" s="55">
        <f>D12*0.46</f>
        <v>7.7280000000000001E-2</v>
      </c>
      <c r="E15" s="55">
        <f t="shared" ref="E15:F15" si="14">E12*0.46</f>
        <v>7.8200000000000006E-2</v>
      </c>
      <c r="F15" s="55">
        <f t="shared" si="14"/>
        <v>7.8660000000000008E-2</v>
      </c>
      <c r="G15" s="55"/>
      <c r="H15" s="25">
        <f>AVERAGE(D15:F15)</f>
        <v>7.8046666666666667E-2</v>
      </c>
      <c r="I15" s="26">
        <f>STDEV(D15:F15)</f>
        <v>7.0266160655989859E-4</v>
      </c>
      <c r="K15" s="49"/>
      <c r="L15" s="49"/>
      <c r="M15" s="127"/>
      <c r="N15" s="85"/>
      <c r="O15" s="54" t="s">
        <v>29</v>
      </c>
      <c r="P15" s="24">
        <f>(D10-D7)*0.46</f>
        <v>4.6460000000000001E-2</v>
      </c>
      <c r="Q15" s="24">
        <f t="shared" ref="Q15:R15" si="15">(E10-E7)*0.46</f>
        <v>4.7839999999999994E-2</v>
      </c>
      <c r="R15" s="24">
        <f t="shared" si="15"/>
        <v>4.7379999999999992E-2</v>
      </c>
      <c r="S15" s="24"/>
      <c r="T15" s="25">
        <f t="shared" si="5"/>
        <v>4.722666666666666E-2</v>
      </c>
      <c r="U15" s="26">
        <f t="shared" si="6"/>
        <v>7.0266160655989111E-4</v>
      </c>
      <c r="V15" s="23"/>
      <c r="W15" s="24"/>
      <c r="X15" s="24"/>
      <c r="Y15" s="24"/>
      <c r="Z15" s="25"/>
      <c r="AA15" s="26"/>
    </row>
    <row r="16" spans="1:27" ht="18" x14ac:dyDescent="0.35">
      <c r="D16" s="84"/>
      <c r="E16" s="49"/>
      <c r="F16" s="49"/>
      <c r="G16" s="49"/>
      <c r="H16" s="24"/>
      <c r="I16" s="59"/>
      <c r="K16" s="49"/>
      <c r="L16" s="49"/>
      <c r="M16" s="127"/>
      <c r="N16" s="85"/>
      <c r="O16" s="54" t="s">
        <v>30</v>
      </c>
      <c r="P16" s="24">
        <f>P15/(P14/1000*180.16)</f>
        <v>0.12468491049079403</v>
      </c>
      <c r="Q16" s="24">
        <f t="shared" ref="Q16:R16" si="16">Q15/(Q14/1000*180.16)</f>
        <v>0.14812303921199496</v>
      </c>
      <c r="R16" s="24">
        <f t="shared" si="16"/>
        <v>0.13578410418170558</v>
      </c>
      <c r="S16" s="24"/>
      <c r="T16" s="25">
        <f>AVERAGE(P16:R16)</f>
        <v>0.13619735129483154</v>
      </c>
      <c r="U16" s="26">
        <f>STDEV(P16:R16)</f>
        <v>1.1724527682183032E-2</v>
      </c>
      <c r="V16" s="23">
        <f>(V14/1000*59.04)/(P14/1000*180.16)</f>
        <v>0.23787746051528813</v>
      </c>
      <c r="W16" s="24">
        <f t="shared" ref="W16:X16" si="17">(W14/1000*59.04)/(Q14/1000*180.16)</f>
        <v>0.28045148956648902</v>
      </c>
      <c r="X16" s="24">
        <f t="shared" si="17"/>
        <v>0.26241743662104067</v>
      </c>
      <c r="Y16" s="24"/>
      <c r="Z16" s="25">
        <f>AVERAGE(V16:X16)</f>
        <v>0.26024879556760594</v>
      </c>
      <c r="AA16" s="26">
        <f>STDEV(V16:X16)</f>
        <v>2.1369703798300672E-2</v>
      </c>
    </row>
    <row r="17" spans="1:27" ht="18" x14ac:dyDescent="0.35">
      <c r="D17" s="84"/>
      <c r="E17" s="49"/>
      <c r="F17" s="49"/>
      <c r="G17" s="49"/>
      <c r="H17" s="49"/>
      <c r="I17" s="59"/>
      <c r="M17" s="217"/>
      <c r="O17" s="60" t="s">
        <v>31</v>
      </c>
      <c r="P17" s="24"/>
      <c r="Q17" s="24"/>
      <c r="R17" s="24"/>
      <c r="S17" s="24"/>
      <c r="T17" s="25"/>
      <c r="U17" s="26"/>
      <c r="V17" s="24">
        <f>(V14/1000*59.04)/P15</f>
        <v>1.9078287787907708</v>
      </c>
      <c r="W17" s="24">
        <f t="shared" ref="W17:X17" si="18">(W14/1000*59.04)/Q15</f>
        <v>1.8933684527300609</v>
      </c>
      <c r="X17" s="24">
        <f t="shared" si="18"/>
        <v>1.9326079308213799</v>
      </c>
      <c r="Y17" s="24"/>
      <c r="Z17" s="25">
        <f>AVERAGE(V17:X17)</f>
        <v>1.9112683874474039</v>
      </c>
      <c r="AA17" s="26">
        <f>STDEV(V17:X17)</f>
        <v>1.9844579637847328E-2</v>
      </c>
    </row>
    <row r="18" spans="1:27" ht="18.75" x14ac:dyDescent="0.35">
      <c r="D18" s="84"/>
      <c r="E18" s="49"/>
      <c r="F18" s="49"/>
      <c r="G18" s="49"/>
      <c r="H18" s="49"/>
      <c r="I18" s="59"/>
      <c r="M18" s="217"/>
      <c r="O18" s="54" t="s">
        <v>32</v>
      </c>
      <c r="P18" s="24">
        <f>D14*(P14)</f>
        <v>0.65681941733665394</v>
      </c>
      <c r="Q18" s="24">
        <f t="shared" ref="Q18:R18" si="19">E14*(Q14)</f>
        <v>0.6005056615708918</v>
      </c>
      <c r="R18" s="24">
        <f t="shared" si="19"/>
        <v>0.64431381916961505</v>
      </c>
      <c r="S18" s="24"/>
      <c r="T18" s="25">
        <f t="shared" ref="T18" si="20">AVERAGE(P18:R18)</f>
        <v>0.6338796326923869</v>
      </c>
      <c r="U18" s="26">
        <f t="shared" ref="U18" si="21">STDEV(P18:R18)</f>
        <v>2.957133675863597E-2</v>
      </c>
      <c r="V18" s="24">
        <f>D14*(V14)</f>
        <v>0.47677261361743739</v>
      </c>
      <c r="W18" s="24">
        <f t="shared" ref="W18:X18" si="22">E14*(W14)</f>
        <v>0.51390977885645139</v>
      </c>
      <c r="X18" s="24">
        <f t="shared" si="22"/>
        <v>0.51594351649745129</v>
      </c>
      <c r="Y18" s="24"/>
      <c r="Z18" s="25">
        <f>AVERAGE(V18:X18)</f>
        <v>0.50220863632377999</v>
      </c>
      <c r="AA18" s="26">
        <f>STDEV(V18:X18)</f>
        <v>2.2051699719892081E-2</v>
      </c>
    </row>
    <row r="19" spans="1:27" ht="18.75" x14ac:dyDescent="0.35">
      <c r="C19" s="62"/>
      <c r="D19" s="64"/>
      <c r="E19" s="62"/>
      <c r="F19" s="62"/>
      <c r="G19" s="62"/>
      <c r="H19" s="62"/>
      <c r="I19" s="63"/>
      <c r="J19" s="64"/>
      <c r="K19" s="62"/>
      <c r="L19" s="62"/>
      <c r="M19" s="11"/>
      <c r="N19" s="62"/>
      <c r="O19" s="65" t="s">
        <v>33</v>
      </c>
      <c r="P19" s="44">
        <f>D14*(P14/P15)</f>
        <v>14.137309886712309</v>
      </c>
      <c r="Q19" s="45">
        <f>E14*(Q14/Q15)</f>
        <v>12.552375868956769</v>
      </c>
      <c r="R19" s="45">
        <f>F14*(R14/R15)</f>
        <v>13.598856462001162</v>
      </c>
      <c r="S19" s="45"/>
      <c r="T19" s="46">
        <f>AVERAGE(P19:R19)</f>
        <v>13.429514072556747</v>
      </c>
      <c r="U19" s="47">
        <f>STDEV(P19:R19)</f>
        <v>0.80592282124700843</v>
      </c>
      <c r="V19" s="44">
        <f>D14*(V14/P15)</f>
        <v>10.262002015011566</v>
      </c>
      <c r="W19" s="45">
        <f>E14*(W14/Q15)</f>
        <v>10.742261263721812</v>
      </c>
      <c r="X19" s="45">
        <f>F14*(X14/R15)</f>
        <v>10.889479031183019</v>
      </c>
      <c r="Y19" s="45"/>
      <c r="Z19" s="46">
        <f>AVERAGE(V19:X19)</f>
        <v>10.631247436638798</v>
      </c>
      <c r="AA19" s="47">
        <f>STDEV(V19:X19)</f>
        <v>0.3281385436192617</v>
      </c>
    </row>
    <row r="20" spans="1:27" x14ac:dyDescent="0.25">
      <c r="I20" s="54" t="s">
        <v>34</v>
      </c>
      <c r="J20" s="55">
        <f>P15/(J7-J10)</f>
        <v>3.0565789473684202E-2</v>
      </c>
      <c r="K20" s="55">
        <f>Q15/(K7-K10)</f>
        <v>3.0666666666666672E-2</v>
      </c>
      <c r="L20" s="55">
        <f>R15/(L7-L10)</f>
        <v>3.056774193548387E-2</v>
      </c>
      <c r="N20" s="70">
        <f>AVERAGE(J20:L20)</f>
        <v>3.0600066025278247E-2</v>
      </c>
      <c r="O20" s="26">
        <f>STDEV(J20:L20)</f>
        <v>5.7686108395192226E-5</v>
      </c>
    </row>
    <row r="21" spans="1:27" x14ac:dyDescent="0.25">
      <c r="T21" s="55"/>
      <c r="Z21" s="55"/>
    </row>
    <row r="22" spans="1:27" x14ac:dyDescent="0.25">
      <c r="O22" s="9" t="s">
        <v>35</v>
      </c>
      <c r="P22" s="5">
        <f>P14/1000*6</f>
        <v>1.240961148012746E-2</v>
      </c>
      <c r="Q22" s="5">
        <f>Q14/1000*6</f>
        <v>1.0756263526091034E-2</v>
      </c>
      <c r="R22" s="5">
        <f>R14/1000*6</f>
        <v>1.162087961437654E-2</v>
      </c>
      <c r="T22" s="55"/>
      <c r="V22" s="5">
        <f>V14/1000*2</f>
        <v>3.0026329628258541E-3</v>
      </c>
      <c r="W22" s="5">
        <f>W14/1000*2</f>
        <v>3.0683857309825916E-3</v>
      </c>
      <c r="X22" s="5">
        <f>X14/1000*2</f>
        <v>3.101861916067648E-3</v>
      </c>
      <c r="Z22" s="55"/>
    </row>
    <row r="23" spans="1:27" x14ac:dyDescent="0.25">
      <c r="O23" s="9" t="s">
        <v>36</v>
      </c>
      <c r="P23" s="5">
        <f>P15*0.5/12.01</f>
        <v>1.9342214820982516E-3</v>
      </c>
      <c r="Q23" s="5">
        <f>Q15*0.5/12.01</f>
        <v>1.9916736053288923E-3</v>
      </c>
      <c r="R23" s="5">
        <f>R15*0.5/12.01</f>
        <v>1.972522897585345E-3</v>
      </c>
      <c r="T23" s="79" t="s">
        <v>17</v>
      </c>
      <c r="U23" s="51" t="s">
        <v>18</v>
      </c>
      <c r="Z23" s="55"/>
    </row>
    <row r="24" spans="1:27" x14ac:dyDescent="0.25">
      <c r="O24" s="9" t="s">
        <v>37</v>
      </c>
      <c r="P24" s="5">
        <f>(P22-V22-P23)/P22</f>
        <v>0.60217493893101326</v>
      </c>
      <c r="Q24" s="5">
        <f t="shared" ref="Q24:R24" si="23">(Q22-W22-Q23)/Q22</f>
        <v>0.52957090312658273</v>
      </c>
      <c r="R24" s="5">
        <f t="shared" si="23"/>
        <v>0.56333900857424601</v>
      </c>
      <c r="T24" s="72">
        <f>AVERAGE(P24:R24)*100</f>
        <v>56.502828354394744</v>
      </c>
      <c r="U24" s="80">
        <f>STDEV(P24:R24)</f>
        <v>3.6331484159268838E-2</v>
      </c>
      <c r="Z24" s="55"/>
    </row>
    <row r="25" spans="1:27" x14ac:dyDescent="0.25">
      <c r="Z25" s="55"/>
    </row>
    <row r="26" spans="1:27" x14ac:dyDescent="0.25">
      <c r="A26" s="9"/>
      <c r="T26" s="55"/>
      <c r="Z26" s="55"/>
    </row>
    <row r="27" spans="1:27" x14ac:dyDescent="0.25">
      <c r="T27" s="55"/>
      <c r="Z27" s="55"/>
    </row>
    <row r="28" spans="1:27" x14ac:dyDescent="0.25">
      <c r="O28" s="260"/>
      <c r="P28" s="261"/>
      <c r="Q28" s="261"/>
      <c r="R28" s="261"/>
    </row>
    <row r="29" spans="1:27" x14ac:dyDescent="0.25">
      <c r="O29" s="260"/>
      <c r="P29" s="261"/>
      <c r="Q29" s="261"/>
      <c r="R29" s="261"/>
    </row>
    <row r="30" spans="1:27" x14ac:dyDescent="0.25">
      <c r="O30" s="260"/>
      <c r="P30" s="261"/>
      <c r="Q30" s="261"/>
      <c r="R30" s="261"/>
    </row>
    <row r="31" spans="1:27" x14ac:dyDescent="0.25">
      <c r="O31" s="260"/>
      <c r="P31" s="261"/>
      <c r="Q31" s="261"/>
      <c r="R31" s="261"/>
    </row>
  </sheetData>
  <mergeCells count="4">
    <mergeCell ref="D4:I4"/>
    <mergeCell ref="J4:O4"/>
    <mergeCell ref="P4:U4"/>
    <mergeCell ref="V4:AA4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B80A4-EC8E-4772-9FCD-8FB7E268812D}">
  <dimension ref="A1:AC33"/>
  <sheetViews>
    <sheetView zoomScaleNormal="100" workbookViewId="0"/>
  </sheetViews>
  <sheetFormatPr defaultColWidth="8.7109375" defaultRowHeight="15" x14ac:dyDescent="0.25"/>
  <cols>
    <col min="1" max="1" width="8.7109375" style="5"/>
    <col min="2" max="2" width="14.85546875" style="5" customWidth="1"/>
    <col min="3" max="9" width="8.7109375" style="5"/>
    <col min="10" max="10" width="9.140625" style="5" customWidth="1"/>
    <col min="11" max="16384" width="8.7109375" style="5"/>
  </cols>
  <sheetData>
    <row r="1" spans="1:29" x14ac:dyDescent="0.25">
      <c r="A1" s="8" t="s">
        <v>193</v>
      </c>
      <c r="D1" s="5">
        <v>20161101</v>
      </c>
    </row>
    <row r="2" spans="1:29" x14ac:dyDescent="0.25">
      <c r="A2" s="9" t="s">
        <v>191</v>
      </c>
    </row>
    <row r="3" spans="1:29" x14ac:dyDescent="0.25">
      <c r="A3" s="9" t="s">
        <v>42</v>
      </c>
    </row>
    <row r="4" spans="1:29" x14ac:dyDescent="0.25">
      <c r="A4" s="10"/>
      <c r="D4" s="382" t="s">
        <v>12</v>
      </c>
      <c r="E4" s="383"/>
      <c r="F4" s="383"/>
      <c r="G4" s="383"/>
      <c r="H4" s="383"/>
      <c r="I4" s="384"/>
      <c r="J4" s="383" t="s">
        <v>5</v>
      </c>
      <c r="K4" s="383"/>
      <c r="L4" s="383"/>
      <c r="M4" s="383"/>
      <c r="N4" s="383"/>
      <c r="O4" s="384"/>
      <c r="P4" s="382" t="s">
        <v>13</v>
      </c>
      <c r="Q4" s="385"/>
      <c r="R4" s="385"/>
      <c r="S4" s="385"/>
      <c r="T4" s="385"/>
      <c r="U4" s="384"/>
      <c r="V4" s="382" t="s">
        <v>14</v>
      </c>
      <c r="W4" s="383"/>
      <c r="X4" s="383"/>
      <c r="Y4" s="383"/>
      <c r="Z4" s="383"/>
      <c r="AA4" s="384"/>
      <c r="AB4" s="81" t="s">
        <v>76</v>
      </c>
      <c r="AC4" s="81" t="s">
        <v>77</v>
      </c>
    </row>
    <row r="5" spans="1:29" x14ac:dyDescent="0.25">
      <c r="B5" s="73" t="s">
        <v>15</v>
      </c>
      <c r="C5" s="13" t="s">
        <v>16</v>
      </c>
      <c r="D5" s="12">
        <v>1</v>
      </c>
      <c r="E5" s="13">
        <v>2</v>
      </c>
      <c r="F5" s="13">
        <v>3</v>
      </c>
      <c r="G5" s="13" t="s">
        <v>4</v>
      </c>
      <c r="H5" s="14" t="s">
        <v>17</v>
      </c>
      <c r="I5" s="15" t="s">
        <v>18</v>
      </c>
      <c r="J5" s="13">
        <v>1</v>
      </c>
      <c r="K5" s="13">
        <v>2</v>
      </c>
      <c r="L5" s="13">
        <v>3</v>
      </c>
      <c r="M5" s="13" t="s">
        <v>4</v>
      </c>
      <c r="N5" s="14" t="s">
        <v>17</v>
      </c>
      <c r="O5" s="15" t="s">
        <v>18</v>
      </c>
      <c r="P5" s="13">
        <v>1</v>
      </c>
      <c r="Q5" s="13">
        <v>2</v>
      </c>
      <c r="R5" s="13">
        <v>3</v>
      </c>
      <c r="S5" s="13" t="s">
        <v>4</v>
      </c>
      <c r="T5" s="14" t="s">
        <v>17</v>
      </c>
      <c r="U5" s="14" t="s">
        <v>18</v>
      </c>
      <c r="V5" s="12">
        <v>1</v>
      </c>
      <c r="W5" s="13">
        <v>2</v>
      </c>
      <c r="X5" s="13">
        <v>3</v>
      </c>
      <c r="Y5" s="13" t="s">
        <v>4</v>
      </c>
      <c r="Z5" s="14" t="s">
        <v>17</v>
      </c>
      <c r="AA5" s="15" t="s">
        <v>18</v>
      </c>
      <c r="AB5" s="82" t="s">
        <v>45</v>
      </c>
      <c r="AC5" s="82" t="s">
        <v>45</v>
      </c>
    </row>
    <row r="6" spans="1:29" x14ac:dyDescent="0.25">
      <c r="A6" s="5" t="s">
        <v>19</v>
      </c>
      <c r="B6" s="17">
        <v>42675.477777777778</v>
      </c>
      <c r="C6" s="18">
        <f>(B6-$B$6)*24</f>
        <v>0</v>
      </c>
      <c r="D6" s="19">
        <v>2.4E-2</v>
      </c>
      <c r="E6" s="20">
        <v>2.3E-2</v>
      </c>
      <c r="F6" s="20">
        <v>2.3E-2</v>
      </c>
      <c r="G6" s="20">
        <v>0</v>
      </c>
      <c r="H6" s="21">
        <f t="shared" ref="H6:H14" si="0">AVERAGE(D6:F6)</f>
        <v>2.3333333333333334E-2</v>
      </c>
      <c r="I6" s="22">
        <f t="shared" ref="I6:I14" si="1">STDEV(D6:F6)</f>
        <v>5.7735026918962623E-4</v>
      </c>
      <c r="J6" s="24">
        <v>6.95</v>
      </c>
      <c r="K6" s="24">
        <v>6.94</v>
      </c>
      <c r="L6" s="24">
        <v>6.95</v>
      </c>
      <c r="M6" s="24">
        <v>6.97</v>
      </c>
      <c r="N6" s="25">
        <f>AVERAGE(J6:L6)</f>
        <v>6.9466666666666663</v>
      </c>
      <c r="O6" s="26">
        <f>STDEV(J6:L6)</f>
        <v>5.7735026918961348E-3</v>
      </c>
      <c r="P6" s="55">
        <v>29.090751627607801</v>
      </c>
      <c r="Q6" s="55">
        <v>29.987650205356694</v>
      </c>
      <c r="R6" s="55">
        <v>29.910600547256287</v>
      </c>
      <c r="S6" s="55">
        <v>30.673333849507387</v>
      </c>
      <c r="T6" s="111">
        <f>AVERAGE(P6:R6)</f>
        <v>29.663000793406926</v>
      </c>
      <c r="U6" s="111">
        <f>STDEV(P6:R6)</f>
        <v>0.49707745198479297</v>
      </c>
      <c r="V6" s="23" t="s">
        <v>21</v>
      </c>
      <c r="W6" s="24" t="s">
        <v>21</v>
      </c>
      <c r="X6" s="24" t="s">
        <v>21</v>
      </c>
      <c r="Y6" s="24" t="s">
        <v>21</v>
      </c>
      <c r="Z6" s="111"/>
      <c r="AA6" s="26"/>
      <c r="AB6" s="87">
        <f>H6*0.46</f>
        <v>1.0733333333333334E-2</v>
      </c>
      <c r="AC6" s="88">
        <f>I6*0.46</f>
        <v>2.6558112382722807E-4</v>
      </c>
    </row>
    <row r="7" spans="1:29" x14ac:dyDescent="0.25">
      <c r="A7" s="5" t="s">
        <v>20</v>
      </c>
      <c r="B7" s="17">
        <v>42675.52847222222</v>
      </c>
      <c r="C7" s="28">
        <f t="shared" ref="C7:C14" si="2">(B7-$B$6)*24</f>
        <v>1.21666666661622</v>
      </c>
      <c r="D7" s="29">
        <v>4.2999999999999997E-2</v>
      </c>
      <c r="E7" s="30">
        <v>4.2999999999999997E-2</v>
      </c>
      <c r="F7" s="30">
        <v>4.3999999999999997E-2</v>
      </c>
      <c r="G7" s="30">
        <v>0</v>
      </c>
      <c r="H7" s="31">
        <f t="shared" si="0"/>
        <v>4.3333333333333335E-2</v>
      </c>
      <c r="I7" s="32">
        <f t="shared" si="1"/>
        <v>5.7735026918962634E-4</v>
      </c>
      <c r="J7" s="34">
        <v>6.85</v>
      </c>
      <c r="K7" s="34">
        <v>6.84</v>
      </c>
      <c r="L7" s="34">
        <v>6.84</v>
      </c>
      <c r="M7" s="34">
        <v>6.96</v>
      </c>
      <c r="N7" s="35">
        <f t="shared" ref="N7:N13" si="3">AVERAGE(J7:L7)</f>
        <v>6.8433333333333337</v>
      </c>
      <c r="O7" s="36">
        <f t="shared" ref="O7:O13" si="4">STDEV(J7:L7)</f>
        <v>5.7735026918961348E-3</v>
      </c>
      <c r="P7" s="121">
        <v>27.954865623988919</v>
      </c>
      <c r="Q7" s="121">
        <v>28.876127759429309</v>
      </c>
      <c r="R7" s="115">
        <v>29.131511175668955</v>
      </c>
      <c r="S7" s="115">
        <v>29.372618114452823</v>
      </c>
      <c r="T7" s="116">
        <f t="shared" ref="T7:T11" si="5">AVERAGE(P7:R7)</f>
        <v>28.654168186362398</v>
      </c>
      <c r="U7" s="36">
        <f t="shared" ref="U7:U11" si="6">STDEV(P7:R7)</f>
        <v>0.61892909741677127</v>
      </c>
      <c r="V7" s="115">
        <v>0.22863672643604799</v>
      </c>
      <c r="W7" s="115">
        <v>0.23273634513688818</v>
      </c>
      <c r="X7" s="115">
        <v>0.24938677170583545</v>
      </c>
      <c r="Y7" s="34" t="s">
        <v>21</v>
      </c>
      <c r="Z7" s="116">
        <f t="shared" ref="Z7:Z11" si="7">AVERAGE(V7:X7)</f>
        <v>0.23691994775959055</v>
      </c>
      <c r="AA7" s="36">
        <f t="shared" ref="AA7:AA11" si="8">STDEV(V7:X7)</f>
        <v>1.0989449160584384E-2</v>
      </c>
      <c r="AB7" s="87">
        <f t="shared" ref="AB7:AC14" si="9">H7*0.46</f>
        <v>1.9933333333333334E-2</v>
      </c>
      <c r="AC7" s="88">
        <f t="shared" si="9"/>
        <v>2.6558112382722812E-4</v>
      </c>
    </row>
    <row r="8" spans="1:29" x14ac:dyDescent="0.25">
      <c r="A8" s="5" t="s">
        <v>22</v>
      </c>
      <c r="B8" s="17">
        <v>42675.567361111112</v>
      </c>
      <c r="C8" s="28">
        <f t="shared" si="2"/>
        <v>2.1500000000232831</v>
      </c>
      <c r="D8" s="29">
        <v>5.5E-2</v>
      </c>
      <c r="E8" s="30">
        <v>5.3999999999999999E-2</v>
      </c>
      <c r="F8" s="30">
        <v>4.5999999999999999E-2</v>
      </c>
      <c r="G8" s="30">
        <v>0</v>
      </c>
      <c r="H8" s="31">
        <f t="shared" si="0"/>
        <v>5.1666666666666666E-2</v>
      </c>
      <c r="I8" s="32">
        <f t="shared" si="1"/>
        <v>4.9328828623162475E-3</v>
      </c>
      <c r="J8" s="34">
        <v>6.77</v>
      </c>
      <c r="K8" s="34">
        <v>6.75</v>
      </c>
      <c r="L8" s="34">
        <v>6.75</v>
      </c>
      <c r="M8" s="34">
        <v>6.96</v>
      </c>
      <c r="N8" s="35">
        <f t="shared" si="3"/>
        <v>6.7566666666666668</v>
      </c>
      <c r="O8" s="36">
        <f t="shared" si="4"/>
        <v>1.154700538379227E-2</v>
      </c>
      <c r="P8" s="115"/>
      <c r="Q8" s="115"/>
      <c r="R8" s="115"/>
      <c r="S8" s="115"/>
      <c r="T8" s="116"/>
      <c r="U8" s="116"/>
      <c r="V8" s="33"/>
      <c r="W8" s="34"/>
      <c r="X8" s="34"/>
      <c r="Y8" s="34"/>
      <c r="Z8" s="116"/>
      <c r="AA8" s="36"/>
      <c r="AB8" s="87">
        <f t="shared" si="9"/>
        <v>2.3766666666666669E-2</v>
      </c>
      <c r="AC8" s="88">
        <f t="shared" si="9"/>
        <v>2.2691261166654739E-3</v>
      </c>
    </row>
    <row r="9" spans="1:29" x14ac:dyDescent="0.25">
      <c r="A9" s="5" t="s">
        <v>23</v>
      </c>
      <c r="B9" s="17">
        <v>42675.620138888888</v>
      </c>
      <c r="C9" s="28">
        <f t="shared" si="2"/>
        <v>3.4166666666278616</v>
      </c>
      <c r="D9" s="29">
        <v>7.6999999999999999E-2</v>
      </c>
      <c r="E9" s="30">
        <v>7.5999999999999998E-2</v>
      </c>
      <c r="F9" s="30">
        <v>7.9000000000000001E-2</v>
      </c>
      <c r="G9" s="30">
        <v>0</v>
      </c>
      <c r="H9" s="31">
        <f t="shared" si="0"/>
        <v>7.7333333333333323E-2</v>
      </c>
      <c r="I9" s="32">
        <f t="shared" si="1"/>
        <v>1.5275252316519479E-3</v>
      </c>
      <c r="J9" s="34">
        <v>6.63</v>
      </c>
      <c r="K9" s="34">
        <v>6.61</v>
      </c>
      <c r="L9" s="34">
        <v>6.59</v>
      </c>
      <c r="M9" s="34">
        <v>6.96</v>
      </c>
      <c r="N9" s="35">
        <f t="shared" si="3"/>
        <v>6.6099999999999994</v>
      </c>
      <c r="O9" s="36">
        <f t="shared" si="4"/>
        <v>2.0000000000000018E-2</v>
      </c>
      <c r="P9" s="115"/>
      <c r="Q9" s="115"/>
      <c r="R9" s="115"/>
      <c r="S9" s="115"/>
      <c r="T9" s="116"/>
      <c r="U9" s="116"/>
      <c r="V9" s="33"/>
      <c r="W9" s="34"/>
      <c r="X9" s="34"/>
      <c r="Y9" s="34"/>
      <c r="Z9" s="116"/>
      <c r="AA9" s="36"/>
      <c r="AB9" s="87">
        <f t="shared" si="9"/>
        <v>3.5573333333333332E-2</v>
      </c>
      <c r="AC9" s="88">
        <f t="shared" si="9"/>
        <v>7.026616065598961E-4</v>
      </c>
    </row>
    <row r="10" spans="1:29" x14ac:dyDescent="0.25">
      <c r="A10" s="5" t="s">
        <v>24</v>
      </c>
      <c r="B10" s="17">
        <v>42675.676388888889</v>
      </c>
      <c r="C10" s="28">
        <f t="shared" si="2"/>
        <v>4.7666666666627862</v>
      </c>
      <c r="D10" s="29">
        <v>0.14000000000000001</v>
      </c>
      <c r="E10" s="30">
        <v>0.13300000000000001</v>
      </c>
      <c r="F10" s="30">
        <v>0.14699999999999999</v>
      </c>
      <c r="G10" s="30">
        <v>0</v>
      </c>
      <c r="H10" s="31">
        <f t="shared" si="0"/>
        <v>0.14000000000000001</v>
      </c>
      <c r="I10" s="32">
        <f t="shared" si="1"/>
        <v>6.9999999999999923E-3</v>
      </c>
      <c r="J10" s="34">
        <v>6.21</v>
      </c>
      <c r="K10" s="34">
        <v>6.21</v>
      </c>
      <c r="L10" s="34">
        <v>6.14</v>
      </c>
      <c r="M10" s="34">
        <v>6.96</v>
      </c>
      <c r="N10" s="35">
        <f t="shared" si="3"/>
        <v>6.1866666666666665</v>
      </c>
      <c r="O10" s="36">
        <f t="shared" si="4"/>
        <v>4.0414518843273968E-2</v>
      </c>
      <c r="P10" s="115"/>
      <c r="Q10" s="115"/>
      <c r="R10" s="115"/>
      <c r="S10" s="115"/>
      <c r="T10" s="116"/>
      <c r="U10" s="116"/>
      <c r="V10" s="33"/>
      <c r="W10" s="34"/>
      <c r="X10" s="34"/>
      <c r="Y10" s="34"/>
      <c r="Z10" s="116"/>
      <c r="AA10" s="36"/>
      <c r="AB10" s="87">
        <f t="shared" si="9"/>
        <v>6.4400000000000013E-2</v>
      </c>
      <c r="AC10" s="88">
        <f t="shared" si="9"/>
        <v>3.2199999999999967E-3</v>
      </c>
    </row>
    <row r="11" spans="1:29" x14ac:dyDescent="0.25">
      <c r="A11" s="5" t="s">
        <v>40</v>
      </c>
      <c r="B11" s="17">
        <v>42675.73333333333</v>
      </c>
      <c r="C11" s="28">
        <f t="shared" si="2"/>
        <v>6.1333333332440816</v>
      </c>
      <c r="D11" s="29">
        <v>0.216</v>
      </c>
      <c r="E11" s="30">
        <v>0.216</v>
      </c>
      <c r="F11" s="30">
        <v>0.221</v>
      </c>
      <c r="G11" s="30">
        <v>0</v>
      </c>
      <c r="H11" s="31">
        <f t="shared" si="0"/>
        <v>0.21766666666666667</v>
      </c>
      <c r="I11" s="32">
        <f t="shared" si="1"/>
        <v>2.8867513459481312E-3</v>
      </c>
      <c r="J11" s="34">
        <v>5.25</v>
      </c>
      <c r="K11" s="34">
        <v>5.21</v>
      </c>
      <c r="L11" s="34">
        <v>5.16</v>
      </c>
      <c r="M11" s="34">
        <v>6.95</v>
      </c>
      <c r="N11" s="35">
        <f t="shared" si="3"/>
        <v>5.206666666666667</v>
      </c>
      <c r="O11" s="36">
        <f t="shared" si="4"/>
        <v>4.5092497528228866E-2</v>
      </c>
      <c r="P11" s="115">
        <v>25.6540647848059</v>
      </c>
      <c r="Q11" s="115">
        <v>26.392313102968494</v>
      </c>
      <c r="R11" s="115">
        <v>26.469656528419954</v>
      </c>
      <c r="S11" s="115">
        <v>29.167202343221966</v>
      </c>
      <c r="T11" s="116">
        <f t="shared" si="5"/>
        <v>26.172011472064781</v>
      </c>
      <c r="U11" s="36">
        <f t="shared" si="6"/>
        <v>0.45021892396586266</v>
      </c>
      <c r="V11" s="115">
        <v>3.2888500210937677</v>
      </c>
      <c r="W11" s="115">
        <v>3.2297224996203662</v>
      </c>
      <c r="X11" s="115">
        <v>3.4892246177405193</v>
      </c>
      <c r="Y11" s="34" t="s">
        <v>21</v>
      </c>
      <c r="Z11" s="116">
        <f t="shared" si="7"/>
        <v>3.3359323794848841</v>
      </c>
      <c r="AA11" s="36">
        <f t="shared" si="8"/>
        <v>0.13600698026558652</v>
      </c>
      <c r="AB11" s="87">
        <f t="shared" si="9"/>
        <v>0.10012666666666667</v>
      </c>
      <c r="AC11" s="88">
        <f t="shared" si="9"/>
        <v>1.3279056191361405E-3</v>
      </c>
    </row>
    <row r="12" spans="1:29" x14ac:dyDescent="0.25">
      <c r="A12" s="5" t="s">
        <v>46</v>
      </c>
      <c r="B12" s="17">
        <v>42675.808333333334</v>
      </c>
      <c r="C12" s="18">
        <f t="shared" si="2"/>
        <v>7.9333333333488554</v>
      </c>
      <c r="D12" s="19">
        <v>0.26100000000000001</v>
      </c>
      <c r="E12" s="20">
        <v>0.26200000000000001</v>
      </c>
      <c r="F12" s="20">
        <v>0.26600000000000001</v>
      </c>
      <c r="G12" s="20">
        <v>0</v>
      </c>
      <c r="H12" s="21">
        <f t="shared" si="0"/>
        <v>0.26300000000000001</v>
      </c>
      <c r="I12" s="22">
        <f t="shared" si="1"/>
        <v>2.6457513110645929E-3</v>
      </c>
      <c r="J12" s="24">
        <v>4.76</v>
      </c>
      <c r="K12" s="24">
        <v>4.74</v>
      </c>
      <c r="L12" s="24">
        <v>4.7300000000000004</v>
      </c>
      <c r="M12" s="24">
        <v>6.92</v>
      </c>
      <c r="N12" s="25">
        <f t="shared" si="3"/>
        <v>4.7433333333333332</v>
      </c>
      <c r="O12" s="26">
        <f t="shared" si="4"/>
        <v>1.5275252316519142E-2</v>
      </c>
      <c r="P12" s="55">
        <v>26.670208351434066</v>
      </c>
      <c r="Q12" s="55">
        <v>26.2277252300787</v>
      </c>
      <c r="R12" s="55">
        <v>26.133973173378784</v>
      </c>
      <c r="S12" s="55">
        <v>30.631997687934394</v>
      </c>
      <c r="T12" s="111">
        <f>AVERAGE(P12:R12)</f>
        <v>26.343968918297183</v>
      </c>
      <c r="U12" s="111">
        <f>STDEV(P12:R12)</f>
        <v>0.28639393819348197</v>
      </c>
      <c r="V12" s="23">
        <v>4.2924265755960151</v>
      </c>
      <c r="W12" s="24">
        <v>4.1948158229063637</v>
      </c>
      <c r="X12" s="24">
        <v>4.5043238546921085</v>
      </c>
      <c r="Y12" s="24" t="s">
        <v>21</v>
      </c>
      <c r="Z12" s="111">
        <f>AVERAGE(V12:X12)</f>
        <v>4.3305220843981624</v>
      </c>
      <c r="AA12" s="26">
        <f>STDEV(V12:X12)</f>
        <v>0.15823165384379406</v>
      </c>
      <c r="AB12" s="87">
        <f t="shared" si="9"/>
        <v>0.12098</v>
      </c>
      <c r="AC12" s="88">
        <f t="shared" si="9"/>
        <v>1.2170456030897129E-3</v>
      </c>
    </row>
    <row r="13" spans="1:29" x14ac:dyDescent="0.25">
      <c r="A13" s="5" t="s">
        <v>65</v>
      </c>
      <c r="B13" s="17">
        <v>42675.947222222225</v>
      </c>
      <c r="C13" s="122">
        <f t="shared" si="2"/>
        <v>11.266666666720994</v>
      </c>
      <c r="D13" s="19">
        <v>0.27</v>
      </c>
      <c r="E13" s="20">
        <v>0.27</v>
      </c>
      <c r="F13" s="20">
        <v>0.27400000000000002</v>
      </c>
      <c r="G13" s="20">
        <v>0</v>
      </c>
      <c r="H13" s="21">
        <f t="shared" si="0"/>
        <v>0.27133333333333337</v>
      </c>
      <c r="I13" s="22">
        <f t="shared" si="1"/>
        <v>2.3094010767585054E-3</v>
      </c>
      <c r="J13" s="24">
        <v>4.55</v>
      </c>
      <c r="K13" s="24">
        <v>4.53</v>
      </c>
      <c r="L13" s="24">
        <v>4.53</v>
      </c>
      <c r="M13" s="24">
        <v>6.91</v>
      </c>
      <c r="N13" s="25">
        <f t="shared" si="3"/>
        <v>4.5366666666666662</v>
      </c>
      <c r="O13" s="26">
        <f t="shared" si="4"/>
        <v>1.154700538379227E-2</v>
      </c>
      <c r="P13" s="264">
        <v>25.608245281080961</v>
      </c>
      <c r="Q13" s="264">
        <v>25.465066961470065</v>
      </c>
      <c r="R13" s="264">
        <v>25.455601954305621</v>
      </c>
      <c r="S13" s="264">
        <v>30.205935659535093</v>
      </c>
      <c r="T13" s="265">
        <f>AVERAGE(P13:R13)</f>
        <v>25.509638065618883</v>
      </c>
      <c r="U13" s="265">
        <f>STDEV(P13:R13)</f>
        <v>8.5527386234143743E-2</v>
      </c>
      <c r="V13" s="93">
        <v>5.6721212383523412</v>
      </c>
      <c r="W13" s="94">
        <v>5.7259022522773098</v>
      </c>
      <c r="X13" s="94">
        <v>5.8560318283099839</v>
      </c>
      <c r="Y13" s="24" t="s">
        <v>21</v>
      </c>
      <c r="Z13" s="111">
        <f t="shared" ref="Z13:Z15" si="10">AVERAGE(V13:X13)</f>
        <v>5.751351772979878</v>
      </c>
      <c r="AA13" s="26">
        <f t="shared" ref="AA13:AA15" si="11">STDEV(V13:X13)</f>
        <v>9.4559689364099003E-2</v>
      </c>
      <c r="AB13" s="87">
        <f t="shared" si="9"/>
        <v>0.12481333333333336</v>
      </c>
      <c r="AC13" s="88">
        <f t="shared" si="9"/>
        <v>1.0623244953089125E-3</v>
      </c>
    </row>
    <row r="14" spans="1:29" x14ac:dyDescent="0.25">
      <c r="A14" s="5" t="s">
        <v>66</v>
      </c>
      <c r="B14" s="17">
        <v>42676.392361111109</v>
      </c>
      <c r="C14" s="118">
        <f t="shared" si="2"/>
        <v>21.949999999953434</v>
      </c>
      <c r="D14" s="40">
        <v>0.26600000000000001</v>
      </c>
      <c r="E14" s="41">
        <v>0.26700000000000002</v>
      </c>
      <c r="F14" s="41">
        <v>0.27200000000000002</v>
      </c>
      <c r="G14" s="41">
        <v>0</v>
      </c>
      <c r="H14" s="42">
        <f t="shared" si="0"/>
        <v>0.26833333333333337</v>
      </c>
      <c r="I14" s="43">
        <f t="shared" si="1"/>
        <v>3.2145502536643214E-3</v>
      </c>
      <c r="J14" s="44">
        <v>4.2699999999999996</v>
      </c>
      <c r="K14" s="45">
        <v>4.21</v>
      </c>
      <c r="L14" s="45">
        <v>4.2300000000000004</v>
      </c>
      <c r="M14" s="45">
        <v>6.86</v>
      </c>
      <c r="N14" s="46">
        <f>AVERAGE(J14:L14)</f>
        <v>4.2366666666666672</v>
      </c>
      <c r="O14" s="47">
        <f>STDEV(J14:L14)</f>
        <v>3.0550504633038673E-2</v>
      </c>
      <c r="P14" s="45"/>
      <c r="Q14" s="45"/>
      <c r="R14" s="45"/>
      <c r="S14" s="45"/>
      <c r="T14" s="46"/>
      <c r="U14" s="46"/>
      <c r="V14" s="23"/>
      <c r="W14" s="24"/>
      <c r="X14" s="24"/>
      <c r="Y14" s="45"/>
      <c r="Z14" s="46"/>
      <c r="AA14" s="47"/>
      <c r="AB14" s="87">
        <f t="shared" si="9"/>
        <v>0.12343333333333335</v>
      </c>
      <c r="AC14" s="88">
        <f t="shared" si="9"/>
        <v>1.4786931166855879E-3</v>
      </c>
    </row>
    <row r="15" spans="1:29" ht="18.75" x14ac:dyDescent="0.35">
      <c r="C15" s="48" t="s">
        <v>25</v>
      </c>
      <c r="D15" s="55">
        <f>LN(LOGEST(D7:D11,$C$7:$C$11))</f>
        <v>0.33591496167928192</v>
      </c>
      <c r="E15" s="55">
        <f>LN(LOGEST(E7:E11,$C$7:$C$11))</f>
        <v>0.33359859258716512</v>
      </c>
      <c r="F15" s="55">
        <f t="shared" ref="F15" si="12">LN(LOGEST(F7:F11,$C$7:$C$11))</f>
        <v>0.35587024408744428</v>
      </c>
      <c r="G15" s="55"/>
      <c r="H15" s="111">
        <f>AVERAGE(D15:F15)</f>
        <v>0.34179459945129703</v>
      </c>
      <c r="I15" s="26">
        <f>STDEV(D15:F15)</f>
        <v>1.2244762977904163E-2</v>
      </c>
      <c r="K15" s="49"/>
      <c r="L15" s="49"/>
      <c r="M15" s="50"/>
      <c r="N15" s="85"/>
      <c r="O15" s="123" t="s">
        <v>26</v>
      </c>
      <c r="P15" s="55">
        <f>(P7-P11)</f>
        <v>2.3008008391830188</v>
      </c>
      <c r="Q15" s="55">
        <f t="shared" ref="Q15:R15" si="13">(Q7-Q11)</f>
        <v>2.4838146564608152</v>
      </c>
      <c r="R15" s="55">
        <f t="shared" si="13"/>
        <v>2.661854647249001</v>
      </c>
      <c r="S15" s="55"/>
      <c r="T15" s="111">
        <f>AVERAGE(P15:R15)</f>
        <v>2.4821567142976115</v>
      </c>
      <c r="U15" s="111">
        <f>STDEV(P15:R15)</f>
        <v>0.18053261383722105</v>
      </c>
      <c r="V15" s="201">
        <f>V11-V7</f>
        <v>3.0602132946577196</v>
      </c>
      <c r="W15" s="119">
        <f t="shared" ref="W15:X15" si="14">W11-W7</f>
        <v>2.9969861544834782</v>
      </c>
      <c r="X15" s="119">
        <f t="shared" si="14"/>
        <v>3.2398378460346837</v>
      </c>
      <c r="Y15" s="24"/>
      <c r="Z15" s="111">
        <f t="shared" si="10"/>
        <v>3.0990124317252938</v>
      </c>
      <c r="AA15" s="26">
        <f t="shared" si="11"/>
        <v>0.12598914953364745</v>
      </c>
    </row>
    <row r="16" spans="1:29" ht="18" x14ac:dyDescent="0.35">
      <c r="A16" s="52" t="s">
        <v>27</v>
      </c>
      <c r="B16" s="53"/>
      <c r="C16" s="54" t="s">
        <v>28</v>
      </c>
      <c r="D16" s="55">
        <f>D13*0.46</f>
        <v>0.12420000000000002</v>
      </c>
      <c r="E16" s="55">
        <f t="shared" ref="E16:F16" si="15">E13*0.46</f>
        <v>0.12420000000000002</v>
      </c>
      <c r="F16" s="55">
        <f t="shared" si="15"/>
        <v>0.12604000000000001</v>
      </c>
      <c r="G16" s="55"/>
      <c r="H16" s="111">
        <f>AVERAGE(D16:F16)</f>
        <v>0.12481333333333335</v>
      </c>
      <c r="I16" s="26">
        <f>STDEV(D16:F16)</f>
        <v>1.0623244953089082E-3</v>
      </c>
      <c r="K16" s="49"/>
      <c r="L16" s="49"/>
      <c r="M16" s="50"/>
      <c r="N16" s="85"/>
      <c r="O16" s="54" t="s">
        <v>29</v>
      </c>
      <c r="P16" s="55">
        <f>(D11-D7)*0.46</f>
        <v>7.9579999999999998E-2</v>
      </c>
      <c r="Q16" s="55">
        <f t="shared" ref="Q16:R16" si="16">(E11-E7)*0.46</f>
        <v>7.9579999999999998E-2</v>
      </c>
      <c r="R16" s="55">
        <f t="shared" si="16"/>
        <v>8.1419999999999992E-2</v>
      </c>
      <c r="S16" s="55"/>
      <c r="T16" s="111">
        <f>AVERAGE(P16:R16)</f>
        <v>8.0193333333333325E-2</v>
      </c>
      <c r="U16" s="111">
        <f>STDEV(P16:R16)</f>
        <v>1.0623244953089082E-3</v>
      </c>
      <c r="V16" s="23"/>
      <c r="W16" s="24"/>
      <c r="X16" s="24"/>
      <c r="Y16" s="24"/>
      <c r="Z16" s="111"/>
      <c r="AA16" s="26"/>
    </row>
    <row r="17" spans="3:27" ht="18" x14ac:dyDescent="0.35">
      <c r="C17" s="59"/>
      <c r="H17" s="55"/>
      <c r="I17" s="59"/>
      <c r="K17" s="49"/>
      <c r="L17" s="49"/>
      <c r="M17" s="50"/>
      <c r="N17" s="85"/>
      <c r="O17" s="54" t="s">
        <v>30</v>
      </c>
      <c r="P17" s="55">
        <f>P16/(P15/1000*180.16)</f>
        <v>0.19198466244725659</v>
      </c>
      <c r="Q17" s="55">
        <f t="shared" ref="Q17:R17" si="17">Q16/(Q15/1000*180.16)</f>
        <v>0.17783874143746323</v>
      </c>
      <c r="R17" s="55">
        <f t="shared" si="17"/>
        <v>0.16978072668546978</v>
      </c>
      <c r="S17" s="55"/>
      <c r="T17" s="111">
        <f>AVERAGE(P17:R17)</f>
        <v>0.1798680435233965</v>
      </c>
      <c r="U17" s="111">
        <f>STDEV(P17:R17)</f>
        <v>1.1240206450300135E-2</v>
      </c>
      <c r="V17" s="23">
        <f>(V15/1000*59.04)/(P15/1000*180.16)</f>
        <v>0.43587368092174344</v>
      </c>
      <c r="W17" s="24">
        <f t="shared" ref="W17:X17" si="18">(W15/1000*59.04)/(Q15/1000*180.16)</f>
        <v>0.39541535201237221</v>
      </c>
      <c r="X17" s="24">
        <f t="shared" si="18"/>
        <v>0.39886590380351516</v>
      </c>
      <c r="Y17" s="24"/>
      <c r="Z17" s="111">
        <f>AVERAGE(V17:X17)</f>
        <v>0.41005164557921026</v>
      </c>
      <c r="AA17" s="26">
        <f>STDEV(V17:X17)</f>
        <v>2.2428992595279754E-2</v>
      </c>
    </row>
    <row r="18" spans="3:27" ht="18" x14ac:dyDescent="0.35">
      <c r="C18" s="59"/>
      <c r="I18" s="59"/>
      <c r="M18" s="98"/>
      <c r="O18" s="60" t="s">
        <v>31</v>
      </c>
      <c r="P18" s="24"/>
      <c r="Q18" s="24"/>
      <c r="R18" s="24"/>
      <c r="S18" s="24"/>
      <c r="T18" s="111"/>
      <c r="U18" s="26"/>
      <c r="V18" s="24">
        <f>(V15/1000*59.04)/P16</f>
        <v>2.270356784576423</v>
      </c>
      <c r="W18" s="24">
        <f t="shared" ref="W18:X18" si="19">(W15/1000*59.04)/Q16</f>
        <v>2.2234488886743473</v>
      </c>
      <c r="X18" s="24">
        <f t="shared" si="19"/>
        <v>2.3493002509197707</v>
      </c>
      <c r="Y18" s="24"/>
      <c r="Z18" s="25">
        <f>AVERAGE(V18:X18)</f>
        <v>2.2810353080568473</v>
      </c>
      <c r="AA18" s="26">
        <f>STDEV(V18:X18)</f>
        <v>6.3601607625504791E-2</v>
      </c>
    </row>
    <row r="19" spans="3:27" ht="18.75" x14ac:dyDescent="0.35">
      <c r="C19" s="59"/>
      <c r="I19" s="59"/>
      <c r="M19" s="98"/>
      <c r="O19" s="54" t="s">
        <v>32</v>
      </c>
      <c r="P19" s="24">
        <f>D15*(P15)</f>
        <v>0.7728734257258234</v>
      </c>
      <c r="Q19" s="24">
        <f t="shared" ref="Q19:R19" si="20">E15*(Q15)</f>
        <v>0.82859707364270097</v>
      </c>
      <c r="R19" s="24">
        <f t="shared" si="20"/>
        <v>0.94727486304179986</v>
      </c>
      <c r="S19" s="24"/>
      <c r="T19" s="111">
        <f t="shared" ref="T19" si="21">AVERAGE(P19:R19)</f>
        <v>0.84958178747010804</v>
      </c>
      <c r="U19" s="26">
        <f t="shared" ref="U19" si="22">STDEV(P19:R19)</f>
        <v>8.9074317259708741E-2</v>
      </c>
      <c r="V19" s="24">
        <f>D15*(V15)</f>
        <v>1.027971431605377</v>
      </c>
      <c r="W19" s="24">
        <f t="shared" ref="W19:X19" si="23">E15*(W15)</f>
        <v>0.99979036313890857</v>
      </c>
      <c r="X19" s="24">
        <f t="shared" si="23"/>
        <v>1.1529618850721026</v>
      </c>
      <c r="Y19" s="24"/>
      <c r="Z19" s="25">
        <f>AVERAGE(V19:X19)</f>
        <v>1.0602412266054626</v>
      </c>
      <c r="AA19" s="26">
        <f>STDEV(V19:X19)</f>
        <v>8.1525355165392596E-2</v>
      </c>
    </row>
    <row r="20" spans="3:27" ht="18.75" x14ac:dyDescent="0.35">
      <c r="C20" s="63"/>
      <c r="D20" s="62"/>
      <c r="E20" s="62"/>
      <c r="F20" s="62"/>
      <c r="G20" s="62"/>
      <c r="H20" s="62"/>
      <c r="I20" s="63"/>
      <c r="J20" s="64"/>
      <c r="K20" s="62"/>
      <c r="L20" s="62"/>
      <c r="M20" s="65"/>
      <c r="N20" s="62"/>
      <c r="O20" s="124" t="s">
        <v>33</v>
      </c>
      <c r="P20" s="45">
        <f>D15*(P15/P16)</f>
        <v>9.7119053245265583</v>
      </c>
      <c r="Q20" s="45">
        <f>E15*(Q15/Q16)</f>
        <v>10.412127087744421</v>
      </c>
      <c r="R20" s="45">
        <f>F15*(R15/R16)</f>
        <v>11.634424748732497</v>
      </c>
      <c r="S20" s="45"/>
      <c r="T20" s="46">
        <f>AVERAGE(P20:R20)</f>
        <v>10.586152387001158</v>
      </c>
      <c r="U20" s="46">
        <f>STDEV(P20:R20)</f>
        <v>0.97300248596718997</v>
      </c>
      <c r="V20" s="44">
        <f>D15*(V15/P16)</f>
        <v>12.917459557745374</v>
      </c>
      <c r="W20" s="45">
        <f>E15*(W15/Q16)</f>
        <v>12.563337058795032</v>
      </c>
      <c r="X20" s="45">
        <f>F15*(X15/R16)</f>
        <v>14.160671641760043</v>
      </c>
      <c r="Y20" s="45"/>
      <c r="Z20" s="46">
        <f>AVERAGE(V20:X20)</f>
        <v>13.213822752766816</v>
      </c>
      <c r="AA20" s="47">
        <f>STDEV(V20:X20)</f>
        <v>0.8388937954273411</v>
      </c>
    </row>
    <row r="21" spans="3:27" x14ac:dyDescent="0.25">
      <c r="C21" s="49"/>
      <c r="D21" s="49"/>
      <c r="E21" s="49"/>
      <c r="F21" s="49"/>
      <c r="G21" s="49"/>
      <c r="H21" s="49"/>
      <c r="I21" s="54" t="s">
        <v>34</v>
      </c>
      <c r="J21" s="55">
        <f>P16/(J7-J11)</f>
        <v>4.9737500000000011E-2</v>
      </c>
      <c r="K21" s="55">
        <f>Q16/(K7-K11)</f>
        <v>4.8822085889570557E-2</v>
      </c>
      <c r="L21" s="55">
        <f>R16/(L7-L11)</f>
        <v>4.8464285714285717E-2</v>
      </c>
      <c r="M21" s="127"/>
      <c r="N21" s="70">
        <f>AVERAGE(J21:L21)</f>
        <v>4.9007957201285424E-2</v>
      </c>
      <c r="O21" s="26">
        <f>STDEV(J21:L21)</f>
        <v>6.5664279690383809E-4</v>
      </c>
      <c r="P21" s="24"/>
      <c r="Q21" s="24"/>
      <c r="R21" s="24"/>
      <c r="S21" s="24"/>
      <c r="T21" s="25"/>
      <c r="U21" s="25"/>
      <c r="V21" s="24"/>
      <c r="W21" s="24"/>
      <c r="X21" s="24"/>
      <c r="Y21" s="24"/>
      <c r="Z21" s="25"/>
      <c r="AA21" s="25"/>
    </row>
    <row r="22" spans="3:27" x14ac:dyDescent="0.25">
      <c r="T22" s="55"/>
      <c r="Z22" s="55"/>
    </row>
    <row r="23" spans="3:27" x14ac:dyDescent="0.25">
      <c r="K23" s="9" t="s">
        <v>47</v>
      </c>
      <c r="O23" s="100" t="s">
        <v>48</v>
      </c>
      <c r="P23" s="55">
        <f>P15*6</f>
        <v>13.804805035098113</v>
      </c>
      <c r="Q23" s="55">
        <f>Q15*6</f>
        <v>14.902887938764891</v>
      </c>
      <c r="R23" s="55">
        <f>R15*6</f>
        <v>15.971127883494006</v>
      </c>
      <c r="U23" s="100" t="s">
        <v>49</v>
      </c>
      <c r="V23" s="55">
        <f>V15*2</f>
        <v>6.1204265893154393</v>
      </c>
      <c r="W23" s="55">
        <f>W15*2</f>
        <v>5.9939723089669563</v>
      </c>
      <c r="X23" s="55">
        <f>X15*2</f>
        <v>6.4796756920693674</v>
      </c>
      <c r="Z23" s="55"/>
    </row>
    <row r="24" spans="3:27" x14ac:dyDescent="0.25">
      <c r="O24" s="100" t="s">
        <v>50</v>
      </c>
      <c r="P24" s="55">
        <f>P16*0.5/12.01*1000</f>
        <v>3.3130724396336388</v>
      </c>
      <c r="Q24" s="55">
        <f>Q16*0.5/12.01*1000</f>
        <v>3.3130724396336388</v>
      </c>
      <c r="R24" s="55">
        <f>R16*0.5/12.01*1000</f>
        <v>3.3896752706078264</v>
      </c>
      <c r="S24" s="71" t="s">
        <v>17</v>
      </c>
      <c r="T24" s="101" t="s">
        <v>18</v>
      </c>
      <c r="U24" s="51" t="s">
        <v>51</v>
      </c>
      <c r="Z24" s="55"/>
    </row>
    <row r="25" spans="3:27" x14ac:dyDescent="0.25">
      <c r="O25" s="100" t="s">
        <v>52</v>
      </c>
      <c r="P25" s="55">
        <f>P23-V23-P24</f>
        <v>4.3713060061490348</v>
      </c>
      <c r="Q25" s="55">
        <f t="shared" ref="Q25:R25" si="24">Q23-W23-Q24</f>
        <v>5.5958431901642962</v>
      </c>
      <c r="R25" s="55">
        <f t="shared" si="24"/>
        <v>6.1017769208168122</v>
      </c>
      <c r="S25" s="102">
        <f>AVERAGE(P25:R25)</f>
        <v>5.356308705710048</v>
      </c>
      <c r="T25" s="85"/>
      <c r="U25" s="26">
        <f>MEDIAN(P25:R25)</f>
        <v>5.5958431901642962</v>
      </c>
      <c r="Z25" s="55"/>
    </row>
    <row r="26" spans="3:27" x14ac:dyDescent="0.25">
      <c r="O26" s="100" t="s">
        <v>53</v>
      </c>
      <c r="P26" s="55">
        <f>(P23-V23-P24)/P23*100</f>
        <v>31.665104976384526</v>
      </c>
      <c r="Q26" s="55">
        <f t="shared" ref="Q26:R26" si="25">(Q23-W23-Q24)/Q23*100</f>
        <v>37.548716820238425</v>
      </c>
      <c r="R26" s="55">
        <f t="shared" si="25"/>
        <v>38.205047040684804</v>
      </c>
      <c r="S26" s="103">
        <f>AVERAGE(P26:R26)</f>
        <v>35.806289612435918</v>
      </c>
      <c r="T26" s="104">
        <f>STDEV(P26:R26)</f>
        <v>3.601353909569132</v>
      </c>
      <c r="U26" s="47">
        <f>MEDIAN(P26:R26)</f>
        <v>37.548716820238425</v>
      </c>
      <c r="Z26" s="55"/>
    </row>
    <row r="27" spans="3:27" x14ac:dyDescent="0.25">
      <c r="K27" s="9" t="s">
        <v>54</v>
      </c>
      <c r="O27" s="100" t="s">
        <v>55</v>
      </c>
      <c r="P27" s="55">
        <f>P23*4</f>
        <v>55.219220140392451</v>
      </c>
      <c r="Q27" s="55">
        <f t="shared" ref="Q27:R27" si="26">Q23*4</f>
        <v>59.611551755059565</v>
      </c>
      <c r="R27" s="55">
        <f t="shared" si="26"/>
        <v>63.884511533976024</v>
      </c>
      <c r="T27" s="55"/>
      <c r="U27" s="100" t="s">
        <v>56</v>
      </c>
      <c r="V27" s="55">
        <f>V23*4</f>
        <v>24.481706357261757</v>
      </c>
      <c r="W27" s="55">
        <f t="shared" ref="W27:X27" si="27">W23*4</f>
        <v>23.975889235867825</v>
      </c>
      <c r="X27" s="55">
        <f t="shared" si="27"/>
        <v>25.91870276827747</v>
      </c>
      <c r="Z27" s="55"/>
    </row>
    <row r="28" spans="3:27" x14ac:dyDescent="0.25">
      <c r="O28" s="100" t="s">
        <v>57</v>
      </c>
      <c r="P28" s="55">
        <f>P24*4.1</f>
        <v>13.583597002497918</v>
      </c>
      <c r="Q28" s="55">
        <f t="shared" ref="Q28:R28" si="28">Q24*4.1</f>
        <v>13.583597002497918</v>
      </c>
      <c r="R28" s="55">
        <f t="shared" si="28"/>
        <v>13.897668609492086</v>
      </c>
      <c r="S28" s="71" t="s">
        <v>17</v>
      </c>
      <c r="T28" s="51" t="s">
        <v>51</v>
      </c>
      <c r="Z28" s="55"/>
    </row>
    <row r="29" spans="3:27" x14ac:dyDescent="0.25">
      <c r="O29" s="100" t="s">
        <v>58</v>
      </c>
      <c r="P29" s="55">
        <f>(P27-V27-P28)</f>
        <v>17.153916780632777</v>
      </c>
      <c r="Q29" s="55">
        <f t="shared" ref="Q29:R29" si="29">(Q27-W27-Q28)</f>
        <v>22.052065516693823</v>
      </c>
      <c r="R29" s="55">
        <f t="shared" si="29"/>
        <v>24.068140156206468</v>
      </c>
      <c r="S29" s="102">
        <f>AVERAGE(P29:R29)</f>
        <v>21.091374151177689</v>
      </c>
      <c r="T29" s="26">
        <f>MEDIAN(P29:R29)</f>
        <v>22.052065516693823</v>
      </c>
    </row>
    <row r="30" spans="3:27" x14ac:dyDescent="0.25">
      <c r="O30" s="100" t="s">
        <v>53</v>
      </c>
      <c r="P30" s="55">
        <f>(P27-V27-P28)/P27*100</f>
        <v>31.065119603318724</v>
      </c>
      <c r="Q30" s="55">
        <f t="shared" ref="Q30:R30" si="30">(Q27-W27-Q28)/Q27*100</f>
        <v>36.992939904172417</v>
      </c>
      <c r="R30" s="55">
        <f t="shared" si="30"/>
        <v>37.674452818514844</v>
      </c>
      <c r="S30" s="103">
        <f>AVERAGE(P30:R30)</f>
        <v>35.244170775335327</v>
      </c>
      <c r="T30" s="47">
        <f>MEDIAN(P30:R30)</f>
        <v>36.992939904172417</v>
      </c>
    </row>
    <row r="31" spans="3:27" x14ac:dyDescent="0.25">
      <c r="K31" s="9" t="s">
        <v>59</v>
      </c>
      <c r="O31" s="100" t="s">
        <v>60</v>
      </c>
      <c r="P31" s="55">
        <f>P29/4</f>
        <v>4.2884791951581942</v>
      </c>
      <c r="Q31" s="55">
        <f t="shared" ref="Q31:R31" si="31">Q29/4</f>
        <v>5.5130163791734557</v>
      </c>
      <c r="R31" s="55">
        <f t="shared" si="31"/>
        <v>6.017035039051617</v>
      </c>
      <c r="S31" s="24"/>
      <c r="T31" s="24"/>
    </row>
    <row r="32" spans="3:27" x14ac:dyDescent="0.25">
      <c r="O32" s="100" t="s">
        <v>61</v>
      </c>
      <c r="P32" s="55">
        <f>P31/P16</f>
        <v>53.888906699650597</v>
      </c>
      <c r="Q32" s="55">
        <f>Q31/Q16</f>
        <v>69.276405870488261</v>
      </c>
      <c r="R32" s="55">
        <f>R31/R16</f>
        <v>73.901191833107561</v>
      </c>
      <c r="S32" s="71" t="s">
        <v>17</v>
      </c>
      <c r="T32" s="51" t="s">
        <v>51</v>
      </c>
    </row>
    <row r="33" spans="15:20" x14ac:dyDescent="0.25">
      <c r="O33" s="100" t="s">
        <v>62</v>
      </c>
      <c r="P33" s="55">
        <f>D15*P32</f>
        <v>18.10209002895153</v>
      </c>
      <c r="Q33" s="55">
        <f>E15*Q32</f>
        <v>23.110511497892109</v>
      </c>
      <c r="R33" s="55">
        <f>F15*R32</f>
        <v>26.29923517600103</v>
      </c>
      <c r="S33" s="103">
        <f>AVERAGE(P33:R33)</f>
        <v>22.503945567614892</v>
      </c>
      <c r="T33" s="47">
        <f>MEDIAN(P33:R33)</f>
        <v>23.110511497892109</v>
      </c>
    </row>
  </sheetData>
  <mergeCells count="4">
    <mergeCell ref="D4:I4"/>
    <mergeCell ref="J4:O4"/>
    <mergeCell ref="P4:U4"/>
    <mergeCell ref="V4:AA4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F6365-E57F-417E-BB3D-4B56ED289A45}">
  <dimension ref="A1:AC32"/>
  <sheetViews>
    <sheetView zoomScaleNormal="100" workbookViewId="0"/>
  </sheetViews>
  <sheetFormatPr defaultColWidth="8.7109375" defaultRowHeight="15" x14ac:dyDescent="0.25"/>
  <cols>
    <col min="1" max="1" width="9.28515625" style="5" customWidth="1"/>
    <col min="2" max="2" width="14.85546875" style="5" bestFit="1" customWidth="1"/>
    <col min="3" max="9" width="8.7109375" style="5"/>
    <col min="10" max="10" width="11.85546875" style="5" bestFit="1" customWidth="1"/>
    <col min="11" max="16384" width="8.7109375" style="5"/>
  </cols>
  <sheetData>
    <row r="1" spans="1:27" x14ac:dyDescent="0.25">
      <c r="A1" s="8" t="s">
        <v>194</v>
      </c>
      <c r="D1" s="5">
        <v>20170119</v>
      </c>
    </row>
    <row r="2" spans="1:27" x14ac:dyDescent="0.25">
      <c r="A2" s="9" t="s">
        <v>191</v>
      </c>
    </row>
    <row r="3" spans="1:27" x14ac:dyDescent="0.25">
      <c r="A3" s="9" t="s">
        <v>64</v>
      </c>
    </row>
    <row r="4" spans="1:27" x14ac:dyDescent="0.25">
      <c r="A4" s="10"/>
      <c r="D4" s="382" t="s">
        <v>12</v>
      </c>
      <c r="E4" s="383"/>
      <c r="F4" s="383"/>
      <c r="G4" s="383"/>
      <c r="H4" s="383"/>
      <c r="I4" s="384"/>
      <c r="J4" s="383" t="s">
        <v>5</v>
      </c>
      <c r="K4" s="383"/>
      <c r="L4" s="383"/>
      <c r="M4" s="383"/>
      <c r="N4" s="383"/>
      <c r="O4" s="384"/>
      <c r="P4" s="382" t="s">
        <v>13</v>
      </c>
      <c r="Q4" s="383"/>
      <c r="R4" s="383"/>
      <c r="S4" s="383"/>
      <c r="T4" s="383"/>
      <c r="U4" s="384"/>
      <c r="V4" s="382" t="s">
        <v>14</v>
      </c>
      <c r="W4" s="383"/>
      <c r="X4" s="383"/>
      <c r="Y4" s="383"/>
      <c r="Z4" s="383"/>
      <c r="AA4" s="384"/>
    </row>
    <row r="5" spans="1:27" x14ac:dyDescent="0.25">
      <c r="B5" s="73" t="s">
        <v>15</v>
      </c>
      <c r="C5" s="13" t="s">
        <v>16</v>
      </c>
      <c r="D5" s="12">
        <v>1</v>
      </c>
      <c r="E5" s="13">
        <v>2</v>
      </c>
      <c r="F5" s="13">
        <v>3</v>
      </c>
      <c r="G5" s="13" t="s">
        <v>4</v>
      </c>
      <c r="H5" s="14" t="s">
        <v>17</v>
      </c>
      <c r="I5" s="15" t="s">
        <v>18</v>
      </c>
      <c r="J5" s="13">
        <v>1</v>
      </c>
      <c r="K5" s="13">
        <v>2</v>
      </c>
      <c r="L5" s="13">
        <v>3</v>
      </c>
      <c r="M5" s="13" t="s">
        <v>4</v>
      </c>
      <c r="N5" s="14" t="s">
        <v>17</v>
      </c>
      <c r="O5" s="15" t="s">
        <v>18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5" t="s">
        <v>18</v>
      </c>
      <c r="V5" s="12">
        <v>1</v>
      </c>
      <c r="W5" s="13">
        <v>2</v>
      </c>
      <c r="X5" s="13">
        <v>3</v>
      </c>
      <c r="Y5" s="13" t="s">
        <v>4</v>
      </c>
      <c r="Z5" s="14" t="s">
        <v>17</v>
      </c>
      <c r="AA5" s="15" t="s">
        <v>18</v>
      </c>
    </row>
    <row r="6" spans="1:27" x14ac:dyDescent="0.25">
      <c r="A6" s="5" t="s">
        <v>19</v>
      </c>
      <c r="B6" s="17">
        <v>42754.30972222222</v>
      </c>
      <c r="C6" s="108">
        <f t="shared" ref="C6:C13" si="0">(B6-$B$6)*24</f>
        <v>0</v>
      </c>
      <c r="D6" s="109">
        <v>2.4E-2</v>
      </c>
      <c r="E6" s="109">
        <v>2.4E-2</v>
      </c>
      <c r="F6" s="109">
        <v>2.5000000000000001E-2</v>
      </c>
      <c r="G6" s="109">
        <v>0</v>
      </c>
      <c r="H6" s="87">
        <f>AVERAGE(D6:F6)</f>
        <v>2.4333333333333335E-2</v>
      </c>
      <c r="I6" s="110">
        <f>STDEV(D6:F6)</f>
        <v>5.7735026918962634E-4</v>
      </c>
      <c r="J6" s="55">
        <v>7.46</v>
      </c>
      <c r="K6" s="55">
        <v>7.46</v>
      </c>
      <c r="L6" s="55">
        <v>7.47</v>
      </c>
      <c r="M6" s="55">
        <v>7.5</v>
      </c>
      <c r="N6" s="111">
        <f>AVERAGE(J6:L6)</f>
        <v>7.4633333333333338</v>
      </c>
      <c r="O6" s="51">
        <f>STDEV(J6:L6)</f>
        <v>5.7735026918961348E-3</v>
      </c>
      <c r="P6" s="84"/>
      <c r="Q6" s="49"/>
      <c r="R6" s="49"/>
      <c r="S6" s="49"/>
      <c r="T6" s="85"/>
      <c r="U6" s="86"/>
      <c r="V6" s="84"/>
      <c r="W6" s="49"/>
      <c r="X6" s="49"/>
      <c r="Y6" s="49"/>
      <c r="Z6" s="85"/>
      <c r="AA6" s="86"/>
    </row>
    <row r="7" spans="1:27" x14ac:dyDescent="0.25">
      <c r="A7" s="5" t="s">
        <v>20</v>
      </c>
      <c r="B7" s="17">
        <v>42754.366666666669</v>
      </c>
      <c r="C7" s="112">
        <f t="shared" si="0"/>
        <v>1.3666666667559184</v>
      </c>
      <c r="D7" s="113">
        <v>4.3999999999999997E-2</v>
      </c>
      <c r="E7" s="113">
        <v>4.2999999999999997E-2</v>
      </c>
      <c r="F7" s="113">
        <v>4.2999999999999997E-2</v>
      </c>
      <c r="G7" s="113">
        <v>1E-3</v>
      </c>
      <c r="H7" s="114">
        <f t="shared" ref="H7:H15" si="1">AVERAGE(D7:F7)</f>
        <v>4.3333333333333335E-2</v>
      </c>
      <c r="I7" s="32">
        <f t="shared" ref="I7:I15" si="2">STDEV(D7:F7)</f>
        <v>5.7735026918962634E-4</v>
      </c>
      <c r="J7" s="115">
        <v>7.31</v>
      </c>
      <c r="K7" s="115">
        <v>7.32</v>
      </c>
      <c r="L7" s="115">
        <v>7.3</v>
      </c>
      <c r="M7" s="115">
        <v>7.45</v>
      </c>
      <c r="N7" s="116">
        <f t="shared" ref="N7:N13" si="3">AVERAGE(J7:L7)</f>
        <v>7.31</v>
      </c>
      <c r="O7" s="36">
        <f t="shared" ref="O7:O13" si="4">STDEV(J7:L7)</f>
        <v>1.0000000000000231E-2</v>
      </c>
      <c r="P7" s="115">
        <v>28.510108112710647</v>
      </c>
      <c r="Q7" s="115">
        <v>28.558484654101811</v>
      </c>
      <c r="R7" s="115">
        <v>28.658745772464513</v>
      </c>
      <c r="S7" s="115">
        <v>28.830445475782</v>
      </c>
      <c r="T7" s="35">
        <f>AVERAGE(P7:R7)</f>
        <v>28.575779513092325</v>
      </c>
      <c r="U7" s="36">
        <f>STDEV(P7:R7)</f>
        <v>7.5813076608872973E-2</v>
      </c>
      <c r="V7" s="115">
        <v>0.13241439027997287</v>
      </c>
      <c r="W7" s="115">
        <v>0.13553530559475763</v>
      </c>
      <c r="X7" s="115">
        <v>0.14947427966936211</v>
      </c>
      <c r="Y7" s="90" t="s">
        <v>21</v>
      </c>
      <c r="Z7" s="35">
        <f>AVERAGE(V7:X7)</f>
        <v>0.13914132518136421</v>
      </c>
      <c r="AA7" s="36">
        <f>STDEV(V7:X7)</f>
        <v>9.0836385572518E-3</v>
      </c>
    </row>
    <row r="8" spans="1:27" x14ac:dyDescent="0.25">
      <c r="A8" s="5" t="s">
        <v>22</v>
      </c>
      <c r="B8" s="17">
        <v>42754.438888888886</v>
      </c>
      <c r="C8" s="112">
        <f t="shared" si="0"/>
        <v>3.0999999999767169</v>
      </c>
      <c r="D8" s="113">
        <v>6.2E-2</v>
      </c>
      <c r="E8" s="113">
        <v>6.0999999999999999E-2</v>
      </c>
      <c r="F8" s="113">
        <v>6.4000000000000001E-2</v>
      </c>
      <c r="G8" s="113">
        <v>1E-3</v>
      </c>
      <c r="H8" s="114">
        <f t="shared" si="1"/>
        <v>6.2333333333333331E-2</v>
      </c>
      <c r="I8" s="32">
        <f t="shared" si="2"/>
        <v>1.5275252316519481E-3</v>
      </c>
      <c r="J8" s="115">
        <v>7.16</v>
      </c>
      <c r="K8" s="115">
        <v>7.15</v>
      </c>
      <c r="L8" s="115">
        <v>7.13</v>
      </c>
      <c r="M8" s="115">
        <v>7.4</v>
      </c>
      <c r="N8" s="116">
        <f t="shared" si="3"/>
        <v>7.1466666666666674</v>
      </c>
      <c r="O8" s="36">
        <f t="shared" si="4"/>
        <v>1.5275252316519626E-2</v>
      </c>
      <c r="P8" s="33"/>
      <c r="Q8" s="34"/>
      <c r="R8" s="34"/>
      <c r="S8" s="34"/>
      <c r="T8" s="35"/>
      <c r="U8" s="36"/>
      <c r="V8" s="33"/>
      <c r="W8" s="34"/>
      <c r="X8" s="34"/>
      <c r="Y8" s="90"/>
      <c r="Z8" s="35"/>
      <c r="AA8" s="36"/>
    </row>
    <row r="9" spans="1:27" x14ac:dyDescent="0.25">
      <c r="A9" s="5" t="s">
        <v>23</v>
      </c>
      <c r="B9" s="17">
        <v>42754.50277777778</v>
      </c>
      <c r="C9" s="112">
        <f t="shared" si="0"/>
        <v>4.6333333334187046</v>
      </c>
      <c r="D9" s="113">
        <v>7.2999999999999995E-2</v>
      </c>
      <c r="E9" s="113">
        <v>7.3999999999999996E-2</v>
      </c>
      <c r="F9" s="113">
        <v>8.1000000000000003E-2</v>
      </c>
      <c r="G9" s="113">
        <v>0</v>
      </c>
      <c r="H9" s="114">
        <f t="shared" si="1"/>
        <v>7.5999999999999998E-2</v>
      </c>
      <c r="I9" s="32">
        <f t="shared" si="2"/>
        <v>4.3588989435406778E-3</v>
      </c>
      <c r="J9" s="115">
        <v>7</v>
      </c>
      <c r="K9" s="115">
        <v>6.99</v>
      </c>
      <c r="L9" s="115">
        <v>6.96</v>
      </c>
      <c r="M9" s="115">
        <v>7.36</v>
      </c>
      <c r="N9" s="116">
        <f t="shared" si="3"/>
        <v>6.9833333333333334</v>
      </c>
      <c r="O9" s="36">
        <f t="shared" si="4"/>
        <v>2.0816659994661382E-2</v>
      </c>
      <c r="P9" s="33"/>
      <c r="Q9" s="34"/>
      <c r="R9" s="34"/>
      <c r="S9" s="34"/>
      <c r="T9" s="35"/>
      <c r="U9" s="36"/>
      <c r="V9" s="33"/>
      <c r="W9" s="34"/>
      <c r="X9" s="34"/>
      <c r="Y9" s="90"/>
      <c r="Z9" s="35"/>
      <c r="AA9" s="36"/>
    </row>
    <row r="10" spans="1:27" x14ac:dyDescent="0.25">
      <c r="A10" s="5" t="s">
        <v>24</v>
      </c>
      <c r="B10" s="17">
        <v>42754.566666666666</v>
      </c>
      <c r="C10" s="112">
        <f t="shared" si="0"/>
        <v>6.1666666666860692</v>
      </c>
      <c r="D10" s="113">
        <v>0.127</v>
      </c>
      <c r="E10" s="113">
        <v>0.14399999999999999</v>
      </c>
      <c r="F10" s="113">
        <v>0.15</v>
      </c>
      <c r="G10" s="113">
        <v>1E-3</v>
      </c>
      <c r="H10" s="114">
        <f t="shared" si="1"/>
        <v>0.14033333333333334</v>
      </c>
      <c r="I10" s="32">
        <f t="shared" si="2"/>
        <v>1.1930353445448849E-2</v>
      </c>
      <c r="J10" s="115">
        <v>6.7</v>
      </c>
      <c r="K10" s="115">
        <v>6.64</v>
      </c>
      <c r="L10" s="115">
        <v>6.6</v>
      </c>
      <c r="M10" s="115">
        <v>7.32</v>
      </c>
      <c r="N10" s="116">
        <f t="shared" si="3"/>
        <v>6.6466666666666656</v>
      </c>
      <c r="O10" s="36">
        <f t="shared" si="4"/>
        <v>5.0332229568471942E-2</v>
      </c>
      <c r="P10" s="33"/>
      <c r="Q10" s="34"/>
      <c r="R10" s="34"/>
      <c r="S10" s="34"/>
      <c r="T10" s="35"/>
      <c r="U10" s="36"/>
      <c r="V10" s="33"/>
      <c r="W10" s="34"/>
      <c r="X10" s="34"/>
      <c r="Y10" s="90"/>
      <c r="Z10" s="35"/>
      <c r="AA10" s="36"/>
    </row>
    <row r="11" spans="1:27" x14ac:dyDescent="0.25">
      <c r="A11" s="5" t="s">
        <v>40</v>
      </c>
      <c r="B11" s="17">
        <v>42754.631944444445</v>
      </c>
      <c r="C11" s="112">
        <f t="shared" si="0"/>
        <v>7.7333333333954215</v>
      </c>
      <c r="D11" s="113">
        <v>0.16600000000000001</v>
      </c>
      <c r="E11" s="113">
        <v>0.19400000000000001</v>
      </c>
      <c r="F11" s="113">
        <v>0.193</v>
      </c>
      <c r="G11" s="113">
        <v>0</v>
      </c>
      <c r="H11" s="114">
        <f t="shared" si="1"/>
        <v>0.18433333333333332</v>
      </c>
      <c r="I11" s="32">
        <f t="shared" si="2"/>
        <v>1.5885003409925137E-2</v>
      </c>
      <c r="J11" s="115">
        <v>6.42</v>
      </c>
      <c r="K11" s="115">
        <v>6.3</v>
      </c>
      <c r="L11" s="115">
        <v>6.23</v>
      </c>
      <c r="M11" s="115">
        <v>7.39</v>
      </c>
      <c r="N11" s="116">
        <f t="shared" si="3"/>
        <v>6.3166666666666664</v>
      </c>
      <c r="O11" s="36">
        <f t="shared" si="4"/>
        <v>9.6090235369330271E-2</v>
      </c>
      <c r="P11" s="115">
        <v>26.707037780300894</v>
      </c>
      <c r="Q11" s="115">
        <v>26.592182929848249</v>
      </c>
      <c r="R11" s="115">
        <v>26.336815329560153</v>
      </c>
      <c r="S11" s="115">
        <v>29.158019101938503</v>
      </c>
      <c r="T11" s="35">
        <f t="shared" ref="T11" si="5">AVERAGE(P11:R11)</f>
        <v>26.545345346569764</v>
      </c>
      <c r="U11" s="36">
        <f t="shared" ref="U11" si="6">STDEV(P11:R11)</f>
        <v>0.18950325897895989</v>
      </c>
      <c r="V11" s="115">
        <v>2.3929725598068137</v>
      </c>
      <c r="W11" s="115">
        <v>2.8869884146523406</v>
      </c>
      <c r="X11" s="115">
        <v>2.97127461402272</v>
      </c>
      <c r="Y11" s="90" t="s">
        <v>21</v>
      </c>
      <c r="Z11" s="35">
        <f t="shared" ref="Z11" si="7">AVERAGE(V11:X11)</f>
        <v>2.7504118628272916</v>
      </c>
      <c r="AA11" s="36">
        <f t="shared" ref="AA11" si="8">STDEV(V11:X11)</f>
        <v>0.31240707795903011</v>
      </c>
    </row>
    <row r="12" spans="1:27" x14ac:dyDescent="0.25">
      <c r="A12" s="5" t="s">
        <v>46</v>
      </c>
      <c r="B12" s="17">
        <v>42754.697222222225</v>
      </c>
      <c r="C12" s="117">
        <f t="shared" si="0"/>
        <v>9.3000000001047738</v>
      </c>
      <c r="D12" s="109">
        <v>0.17799999999999999</v>
      </c>
      <c r="E12" s="109">
        <v>0.20399999999999999</v>
      </c>
      <c r="F12" s="109">
        <v>0.20100000000000001</v>
      </c>
      <c r="G12" s="109">
        <v>0</v>
      </c>
      <c r="H12" s="87">
        <f t="shared" si="1"/>
        <v>0.19433333333333333</v>
      </c>
      <c r="I12" s="22">
        <f t="shared" si="2"/>
        <v>1.4224392195567915E-2</v>
      </c>
      <c r="J12" s="55">
        <v>6.02</v>
      </c>
      <c r="K12" s="55">
        <v>5.78</v>
      </c>
      <c r="L12" s="55">
        <v>5.68</v>
      </c>
      <c r="M12" s="55">
        <v>7.38</v>
      </c>
      <c r="N12" s="111">
        <f t="shared" si="3"/>
        <v>5.8266666666666671</v>
      </c>
      <c r="O12" s="26">
        <f t="shared" si="4"/>
        <v>0.17473789896108194</v>
      </c>
      <c r="P12" s="84"/>
      <c r="Q12" s="49"/>
      <c r="R12" s="49"/>
      <c r="S12" s="49"/>
      <c r="T12" s="85"/>
      <c r="U12" s="86"/>
      <c r="V12" s="84"/>
      <c r="W12" s="49"/>
      <c r="X12" s="49"/>
      <c r="Y12" s="49"/>
      <c r="Z12" s="25"/>
      <c r="AA12" s="26"/>
    </row>
    <row r="13" spans="1:27" x14ac:dyDescent="0.25">
      <c r="A13" s="5" t="s">
        <v>65</v>
      </c>
      <c r="B13" s="17">
        <v>42754.814583333333</v>
      </c>
      <c r="C13" s="118">
        <f t="shared" si="0"/>
        <v>12.116666666697711</v>
      </c>
      <c r="D13" s="41">
        <v>0.17799999999999999</v>
      </c>
      <c r="E13" s="41">
        <v>0.19900000000000001</v>
      </c>
      <c r="F13" s="41">
        <v>0.19700000000000001</v>
      </c>
      <c r="G13" s="41">
        <v>1E-3</v>
      </c>
      <c r="H13" s="42">
        <f t="shared" si="1"/>
        <v>0.19133333333333336</v>
      </c>
      <c r="I13" s="43">
        <f t="shared" si="2"/>
        <v>1.1590225767142484E-2</v>
      </c>
      <c r="J13" s="45">
        <v>5.12</v>
      </c>
      <c r="K13" s="45">
        <v>4.99</v>
      </c>
      <c r="L13" s="45">
        <v>4.95</v>
      </c>
      <c r="M13" s="45">
        <v>7.34</v>
      </c>
      <c r="N13" s="46">
        <f t="shared" si="3"/>
        <v>5.0199999999999996</v>
      </c>
      <c r="O13" s="47">
        <f t="shared" si="4"/>
        <v>8.8881944173155841E-2</v>
      </c>
      <c r="P13" s="64"/>
      <c r="Q13" s="49"/>
      <c r="R13" s="62"/>
      <c r="S13" s="62"/>
      <c r="T13" s="104"/>
      <c r="U13" s="80"/>
      <c r="V13" s="64"/>
      <c r="W13" s="49"/>
      <c r="X13" s="62"/>
      <c r="Y13" s="62"/>
      <c r="Z13" s="46"/>
      <c r="AA13" s="47"/>
    </row>
    <row r="14" spans="1:27" ht="18.75" x14ac:dyDescent="0.35">
      <c r="C14" s="48" t="s">
        <v>25</v>
      </c>
      <c r="D14" s="55">
        <f>LN(LOGEST(D7:D11,$C$7:$C$11))</f>
        <v>0.21313166742847789</v>
      </c>
      <c r="E14" s="55">
        <f>LN(LOGEST(E7:E11,$C$7:$C$11))</f>
        <v>0.24453499379245988</v>
      </c>
      <c r="F14" s="55">
        <f t="shared" ref="F14" si="9">LN(LOGEST(F7:F11,$C$7:$C$11))</f>
        <v>0.24368465626435684</v>
      </c>
      <c r="G14" s="55"/>
      <c r="H14" s="25">
        <f t="shared" si="1"/>
        <v>0.23378377249509821</v>
      </c>
      <c r="I14" s="51">
        <f t="shared" si="2"/>
        <v>1.7890300479309128E-2</v>
      </c>
      <c r="M14" s="127"/>
      <c r="N14" s="81"/>
      <c r="O14" s="50" t="s">
        <v>26</v>
      </c>
      <c r="P14" s="23">
        <f>P7-P11</f>
        <v>1.803070332409753</v>
      </c>
      <c r="Q14" s="119">
        <f t="shared" ref="Q14:R14" si="10">Q7-Q11</f>
        <v>1.9663017242535616</v>
      </c>
      <c r="R14" s="24">
        <f t="shared" si="10"/>
        <v>2.3219304429043603</v>
      </c>
      <c r="S14" s="49"/>
      <c r="T14" s="25">
        <f>AVERAGE(P14:R14)</f>
        <v>2.0304341665225585</v>
      </c>
      <c r="U14" s="26">
        <f>STDEV(P14:R14)</f>
        <v>0.26530865266545278</v>
      </c>
      <c r="V14" s="23">
        <f>V11-V7</f>
        <v>2.2605581695268406</v>
      </c>
      <c r="W14" s="119">
        <f t="shared" ref="W14:X14" si="11">W11-W7</f>
        <v>2.7514531090575831</v>
      </c>
      <c r="X14" s="24">
        <f t="shared" si="11"/>
        <v>2.821800334353358</v>
      </c>
      <c r="Y14" s="49"/>
      <c r="Z14" s="25">
        <f t="shared" ref="Z14" si="12">AVERAGE(V14:X14)</f>
        <v>2.6112705376459275</v>
      </c>
      <c r="AA14" s="26">
        <f t="shared" ref="AA14" si="13">STDEV(V14:X14)</f>
        <v>0.30575571440363453</v>
      </c>
    </row>
    <row r="15" spans="1:27" ht="18" x14ac:dyDescent="0.35">
      <c r="A15" s="52" t="s">
        <v>27</v>
      </c>
      <c r="B15" s="53"/>
      <c r="C15" s="54" t="s">
        <v>28</v>
      </c>
      <c r="D15" s="55">
        <f>D12*0.46</f>
        <v>8.1879999999999994E-2</v>
      </c>
      <c r="E15" s="55">
        <f t="shared" ref="E15:F15" si="14">E12*0.46</f>
        <v>9.3839999999999993E-2</v>
      </c>
      <c r="F15" s="55">
        <f t="shared" si="14"/>
        <v>9.2460000000000014E-2</v>
      </c>
      <c r="G15" s="55"/>
      <c r="H15" s="25">
        <f t="shared" si="1"/>
        <v>8.9393333333333325E-2</v>
      </c>
      <c r="I15" s="26">
        <f t="shared" si="2"/>
        <v>6.5432204099612435E-3</v>
      </c>
      <c r="M15" s="127"/>
      <c r="N15" s="81"/>
      <c r="O15" s="50" t="s">
        <v>29</v>
      </c>
      <c r="P15" s="23">
        <f>(D11-D7)*0.46</f>
        <v>5.612000000000001E-2</v>
      </c>
      <c r="Q15" s="24">
        <f>(E11-E7)*0.46</f>
        <v>6.9460000000000008E-2</v>
      </c>
      <c r="R15" s="24">
        <f t="shared" ref="R15" si="15">(F11-F7)*0.46</f>
        <v>6.900000000000002E-2</v>
      </c>
      <c r="S15" s="24"/>
      <c r="T15" s="25">
        <f>AVERAGE(P15:R15)</f>
        <v>6.4860000000000015E-2</v>
      </c>
      <c r="U15" s="26">
        <f>STDEV(P15:R15)</f>
        <v>7.5725557112509929E-3</v>
      </c>
      <c r="V15" s="84"/>
      <c r="W15" s="49"/>
      <c r="X15" s="49"/>
      <c r="Y15" s="49"/>
      <c r="Z15" s="25"/>
      <c r="AA15" s="26"/>
    </row>
    <row r="16" spans="1:27" ht="18" x14ac:dyDescent="0.35">
      <c r="C16" s="59"/>
      <c r="H16" s="55"/>
      <c r="I16" s="59"/>
      <c r="M16" s="127"/>
      <c r="N16" s="81"/>
      <c r="O16" s="50" t="s">
        <v>30</v>
      </c>
      <c r="P16" s="23">
        <f>P15/(P14/1000*180.16)</f>
        <v>0.17276136293760375</v>
      </c>
      <c r="Q16" s="24">
        <f t="shared" ref="Q16:R16" si="16">Q15/(Q14/1000*180.16)</f>
        <v>0.19607681589083209</v>
      </c>
      <c r="R16" s="24">
        <f t="shared" si="16"/>
        <v>0.16494589507392854</v>
      </c>
      <c r="S16" s="49"/>
      <c r="T16" s="25">
        <f>AVERAGE(P16:R16)</f>
        <v>0.17792802463412147</v>
      </c>
      <c r="U16" s="26">
        <f>STDEV(P16:R16)</f>
        <v>1.6195812808926176E-2</v>
      </c>
      <c r="V16" s="23">
        <f>(V14/1000*59.04)/(P14/1000*180.16)</f>
        <v>0.4108572878845152</v>
      </c>
      <c r="W16" s="24">
        <f t="shared" ref="W16:X16" si="17">(W14/1000*59.04)/(Q14/1000*180.16)</f>
        <v>0.45856397298743745</v>
      </c>
      <c r="X16" s="24">
        <f t="shared" si="17"/>
        <v>0.39825849718252876</v>
      </c>
      <c r="Y16" s="49"/>
      <c r="Z16" s="25">
        <f t="shared" ref="Z16:Z19" si="18">AVERAGE(V16:X16)</f>
        <v>0.42255991935149378</v>
      </c>
      <c r="AA16" s="26">
        <f t="shared" ref="AA16:AA19" si="19">STDEV(V16:X16)</f>
        <v>3.1810395949328343E-2</v>
      </c>
    </row>
    <row r="17" spans="3:29" ht="18" x14ac:dyDescent="0.35">
      <c r="C17" s="59"/>
      <c r="I17" s="59"/>
      <c r="M17" s="217"/>
      <c r="O17" s="98" t="s">
        <v>31</v>
      </c>
      <c r="P17" s="84"/>
      <c r="Q17" s="49"/>
      <c r="R17" s="49"/>
      <c r="S17" s="49"/>
      <c r="T17" s="25"/>
      <c r="U17" s="26"/>
      <c r="V17" s="23">
        <f>(V14/1000*59.04)/P15</f>
        <v>2.3781780885399972</v>
      </c>
      <c r="W17" s="24">
        <f t="shared" ref="W17:X17" si="20">(W14/1000*59.04)/Q15</f>
        <v>2.3386955306472741</v>
      </c>
      <c r="X17" s="24">
        <f t="shared" si="20"/>
        <v>2.414479590438003</v>
      </c>
      <c r="Y17" s="49"/>
      <c r="Z17" s="25">
        <f t="shared" si="18"/>
        <v>2.377117736541758</v>
      </c>
      <c r="AA17" s="26">
        <f t="shared" si="19"/>
        <v>3.7903155401118258E-2</v>
      </c>
    </row>
    <row r="18" spans="3:29" ht="18.75" x14ac:dyDescent="0.35">
      <c r="C18" s="59"/>
      <c r="I18" s="59"/>
      <c r="M18" s="217"/>
      <c r="O18" s="54" t="s">
        <v>32</v>
      </c>
      <c r="P18" s="23">
        <f>D14*(P14)</f>
        <v>0.38429138643731053</v>
      </c>
      <c r="Q18" s="24">
        <f t="shared" ref="Q18:R18" si="21">E14*(Q14)</f>
        <v>0.48082957993444786</v>
      </c>
      <c r="R18" s="24">
        <f t="shared" si="21"/>
        <v>0.56581882184889487</v>
      </c>
      <c r="S18" s="49"/>
      <c r="T18" s="25">
        <f t="shared" ref="T18:T19" si="22">AVERAGE(P18:R18)</f>
        <v>0.47697992940688438</v>
      </c>
      <c r="U18" s="26">
        <f t="shared" ref="U18:U19" si="23">STDEV(P18:R18)</f>
        <v>9.0824926692318855E-2</v>
      </c>
      <c r="V18" s="23">
        <f>D14*(V14)</f>
        <v>0.48179653199032335</v>
      </c>
      <c r="W18" s="24">
        <f t="shared" ref="W18:X18" si="24">E14*(W14)</f>
        <v>0.67282656894364057</v>
      </c>
      <c r="X18" s="24">
        <f t="shared" si="24"/>
        <v>0.68762944452354524</v>
      </c>
      <c r="Y18" s="49"/>
      <c r="Z18" s="25">
        <f t="shared" si="18"/>
        <v>0.61408418181916968</v>
      </c>
      <c r="AA18" s="26">
        <f t="shared" si="19"/>
        <v>0.11480330136493526</v>
      </c>
    </row>
    <row r="19" spans="3:29" ht="18.75" x14ac:dyDescent="0.35">
      <c r="C19" s="63"/>
      <c r="D19" s="62"/>
      <c r="E19" s="62"/>
      <c r="F19" s="62"/>
      <c r="G19" s="62"/>
      <c r="H19" s="62"/>
      <c r="I19" s="63"/>
      <c r="J19" s="62"/>
      <c r="K19" s="62"/>
      <c r="L19" s="62"/>
      <c r="M19" s="11"/>
      <c r="N19" s="62"/>
      <c r="O19" s="65" t="s">
        <v>33</v>
      </c>
      <c r="P19" s="44">
        <f>D14*(P14/P15)</f>
        <v>6.847672602232902</v>
      </c>
      <c r="Q19" s="45">
        <f t="shared" ref="Q19:R19" si="25">E14*(Q14/Q15)</f>
        <v>6.92239533450112</v>
      </c>
      <c r="R19" s="45">
        <f t="shared" si="25"/>
        <v>8.2002727804187643</v>
      </c>
      <c r="S19" s="45"/>
      <c r="T19" s="46">
        <f t="shared" si="22"/>
        <v>7.3234469057175957</v>
      </c>
      <c r="U19" s="47">
        <f t="shared" si="23"/>
        <v>0.76027204511839663</v>
      </c>
      <c r="V19" s="44">
        <f>D14*(V14/P15)</f>
        <v>8.5851128294783194</v>
      </c>
      <c r="W19" s="45">
        <f t="shared" ref="W19:X19" si="26">E14*(W14/Q15)</f>
        <v>9.6865328094391074</v>
      </c>
      <c r="X19" s="45">
        <f t="shared" si="26"/>
        <v>9.9656441235296374</v>
      </c>
      <c r="Y19" s="62"/>
      <c r="Z19" s="46">
        <f t="shared" si="18"/>
        <v>9.4124299208156881</v>
      </c>
      <c r="AA19" s="47">
        <f t="shared" si="19"/>
        <v>0.72994243514644952</v>
      </c>
    </row>
    <row r="20" spans="3:29" x14ac:dyDescent="0.25">
      <c r="I20" s="54" t="s">
        <v>34</v>
      </c>
      <c r="J20" s="55">
        <f>P15/(J7-J11)</f>
        <v>6.3056179775280927E-2</v>
      </c>
      <c r="K20" s="55">
        <f>Q15/(K7-K11)</f>
        <v>6.8098039215686246E-2</v>
      </c>
      <c r="L20" s="55">
        <f>R15/(L7-L11)</f>
        <v>6.4485981308411267E-2</v>
      </c>
      <c r="N20" s="111">
        <f>AVERAGE(J20:L20)</f>
        <v>6.5213400099792818E-2</v>
      </c>
      <c r="O20" s="26">
        <f>STDEV(J20:L20)</f>
        <v>2.5984495815278581E-3</v>
      </c>
      <c r="T20" s="55"/>
      <c r="U20" s="55"/>
    </row>
    <row r="21" spans="3:29" x14ac:dyDescent="0.25">
      <c r="T21" s="55"/>
      <c r="Z21" s="55"/>
    </row>
    <row r="22" spans="3:29" x14ac:dyDescent="0.25">
      <c r="O22" s="9" t="s">
        <v>35</v>
      </c>
      <c r="P22" s="5">
        <f>P14/1000*6</f>
        <v>1.0818421994458519E-2</v>
      </c>
      <c r="Q22" s="5">
        <f>Q14/1000*6</f>
        <v>1.1797810345521371E-2</v>
      </c>
      <c r="R22" s="5">
        <f>R14/1000*6</f>
        <v>1.393158265742616E-2</v>
      </c>
      <c r="V22" s="5">
        <f>V14/1000*2</f>
        <v>4.5211163390536813E-3</v>
      </c>
      <c r="W22" s="5">
        <f>W14/1000*2</f>
        <v>5.5029062181151658E-3</v>
      </c>
      <c r="X22" s="5">
        <f>X14/1000*2</f>
        <v>5.6436006687067162E-3</v>
      </c>
    </row>
    <row r="23" spans="3:29" x14ac:dyDescent="0.25">
      <c r="O23" s="9" t="s">
        <v>36</v>
      </c>
      <c r="P23" s="5">
        <f>P15*0.5/12.01</f>
        <v>2.3363863447127399E-3</v>
      </c>
      <c r="Q23" s="5">
        <f>Q15*0.5/12.01</f>
        <v>2.8917568692756039E-3</v>
      </c>
      <c r="R23" s="5">
        <f>R15*0.5/12.01</f>
        <v>2.8726061615320575E-3</v>
      </c>
      <c r="T23" s="71" t="s">
        <v>17</v>
      </c>
      <c r="U23" s="120" t="s">
        <v>18</v>
      </c>
    </row>
    <row r="24" spans="3:29" x14ac:dyDescent="0.25">
      <c r="O24" s="9" t="s">
        <v>37</v>
      </c>
      <c r="P24" s="5">
        <f>(P22-V22-P23)/P22</f>
        <v>0.36612727001414669</v>
      </c>
      <c r="Q24" s="5">
        <f t="shared" ref="Q24:R24" si="27">(Q22-W22-Q23)/Q22</f>
        <v>0.28845583701237304</v>
      </c>
      <c r="R24" s="5">
        <f t="shared" si="27"/>
        <v>0.38871217724145263</v>
      </c>
      <c r="T24" s="72">
        <f>AVERAGE(P24:R24)</f>
        <v>0.34776509475599077</v>
      </c>
      <c r="U24" s="80">
        <f>STDEV(P24:R24)</f>
        <v>5.2590023285701913E-2</v>
      </c>
    </row>
    <row r="32" spans="3:29" x14ac:dyDescent="0.25">
      <c r="AC32" s="106"/>
    </row>
  </sheetData>
  <mergeCells count="4">
    <mergeCell ref="D4:I4"/>
    <mergeCell ref="J4:O4"/>
    <mergeCell ref="P4:U4"/>
    <mergeCell ref="V4:AA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C786C-6D8E-407C-AF20-1247AEF1A7E1}">
  <dimension ref="A1:AV84"/>
  <sheetViews>
    <sheetView zoomScaleNormal="100" workbookViewId="0"/>
  </sheetViews>
  <sheetFormatPr defaultColWidth="8.7109375" defaultRowHeight="15" x14ac:dyDescent="0.25"/>
  <cols>
    <col min="1" max="1" width="8.7109375" style="5"/>
    <col min="2" max="2" width="14.85546875" style="5" customWidth="1"/>
    <col min="3" max="8" width="8.7109375" style="5"/>
    <col min="9" max="9" width="12.28515625" style="5" customWidth="1"/>
    <col min="10" max="13" width="8.7109375" style="5"/>
    <col min="14" max="14" width="10" style="5" customWidth="1"/>
    <col min="15" max="16" width="8.7109375" style="5"/>
    <col min="17" max="18" width="11.140625" style="5" bestFit="1" customWidth="1"/>
    <col min="19" max="20" width="8.7109375" style="5"/>
    <col min="21" max="23" width="11.140625" style="5" bestFit="1" customWidth="1"/>
    <col min="24" max="25" width="8.7109375" style="5"/>
    <col min="26" max="26" width="11.140625" style="5" bestFit="1" customWidth="1"/>
    <col min="27" max="29" width="8.7109375" style="5"/>
    <col min="30" max="30" width="12.140625" style="5" bestFit="1" customWidth="1"/>
    <col min="31" max="16384" width="8.7109375" style="5"/>
  </cols>
  <sheetData>
    <row r="1" spans="1:47" x14ac:dyDescent="0.25">
      <c r="A1" s="8" t="s">
        <v>195</v>
      </c>
      <c r="D1" s="5">
        <v>20170213</v>
      </c>
    </row>
    <row r="2" spans="1:47" x14ac:dyDescent="0.25">
      <c r="A2" s="9" t="s">
        <v>196</v>
      </c>
    </row>
    <row r="3" spans="1:47" x14ac:dyDescent="0.25">
      <c r="A3" s="10" t="s">
        <v>197</v>
      </c>
    </row>
    <row r="5" spans="1:47" x14ac:dyDescent="0.25">
      <c r="C5" s="59"/>
      <c r="D5" s="383" t="s">
        <v>12</v>
      </c>
      <c r="E5" s="383"/>
      <c r="F5" s="383"/>
      <c r="G5" s="383"/>
      <c r="H5" s="383"/>
      <c r="I5" s="384"/>
      <c r="J5" s="382" t="s">
        <v>5</v>
      </c>
      <c r="K5" s="383"/>
      <c r="L5" s="383"/>
      <c r="M5" s="383"/>
      <c r="N5" s="383"/>
      <c r="O5" s="384"/>
      <c r="P5" s="382" t="s">
        <v>13</v>
      </c>
      <c r="Q5" s="383"/>
      <c r="R5" s="383"/>
      <c r="S5" s="383"/>
      <c r="T5" s="383"/>
      <c r="U5" s="384"/>
      <c r="V5" s="382" t="s">
        <v>14</v>
      </c>
      <c r="W5" s="385"/>
      <c r="X5" s="385"/>
      <c r="Y5" s="385"/>
      <c r="Z5" s="385"/>
      <c r="AA5" s="384"/>
      <c r="AB5" s="382" t="s">
        <v>198</v>
      </c>
      <c r="AC5" s="383"/>
      <c r="AD5" s="383"/>
      <c r="AE5" s="383"/>
      <c r="AF5" s="384"/>
      <c r="AG5" s="382" t="s">
        <v>84</v>
      </c>
      <c r="AH5" s="383"/>
      <c r="AI5" s="383"/>
      <c r="AJ5" s="383"/>
      <c r="AK5" s="384"/>
      <c r="AL5" s="382" t="s">
        <v>199</v>
      </c>
      <c r="AM5" s="383"/>
      <c r="AN5" s="383"/>
      <c r="AO5" s="383"/>
      <c r="AP5" s="384"/>
      <c r="AQ5" s="383" t="s">
        <v>86</v>
      </c>
      <c r="AR5" s="383"/>
      <c r="AS5" s="383"/>
      <c r="AT5" s="383"/>
      <c r="AU5" s="384"/>
    </row>
    <row r="6" spans="1:47" x14ac:dyDescent="0.25">
      <c r="B6" s="9" t="s">
        <v>15</v>
      </c>
      <c r="C6" s="190" t="s">
        <v>16</v>
      </c>
      <c r="D6" s="13">
        <v>1</v>
      </c>
      <c r="E6" s="13">
        <v>2</v>
      </c>
      <c r="F6" s="13">
        <v>3</v>
      </c>
      <c r="G6" s="13" t="s">
        <v>4</v>
      </c>
      <c r="H6" s="14" t="s">
        <v>17</v>
      </c>
      <c r="I6" s="15" t="s">
        <v>18</v>
      </c>
      <c r="J6" s="12">
        <v>1</v>
      </c>
      <c r="K6" s="13">
        <v>2</v>
      </c>
      <c r="L6" s="13">
        <v>3</v>
      </c>
      <c r="M6" s="13" t="s">
        <v>4</v>
      </c>
      <c r="N6" s="14" t="s">
        <v>17</v>
      </c>
      <c r="O6" s="15" t="s">
        <v>18</v>
      </c>
      <c r="P6" s="12">
        <v>1</v>
      </c>
      <c r="Q6" s="13">
        <v>2</v>
      </c>
      <c r="R6" s="13">
        <v>3</v>
      </c>
      <c r="S6" s="13" t="s">
        <v>4</v>
      </c>
      <c r="T6" s="14" t="s">
        <v>17</v>
      </c>
      <c r="U6" s="15" t="s">
        <v>18</v>
      </c>
      <c r="V6" s="12">
        <v>1</v>
      </c>
      <c r="W6" s="13">
        <v>2</v>
      </c>
      <c r="X6" s="13">
        <v>3</v>
      </c>
      <c r="Y6" s="13" t="s">
        <v>4</v>
      </c>
      <c r="Z6" s="14" t="s">
        <v>17</v>
      </c>
      <c r="AA6" s="15" t="s">
        <v>18</v>
      </c>
      <c r="AB6" s="12">
        <v>1</v>
      </c>
      <c r="AC6" s="13">
        <v>2</v>
      </c>
      <c r="AD6" s="13">
        <v>3</v>
      </c>
      <c r="AE6" s="14" t="s">
        <v>17</v>
      </c>
      <c r="AF6" s="15" t="s">
        <v>18</v>
      </c>
      <c r="AG6" s="12">
        <v>1</v>
      </c>
      <c r="AH6" s="13">
        <v>2</v>
      </c>
      <c r="AI6" s="13">
        <v>3</v>
      </c>
      <c r="AJ6" s="14" t="s">
        <v>17</v>
      </c>
      <c r="AK6" s="15" t="s">
        <v>18</v>
      </c>
      <c r="AL6" s="12">
        <v>1</v>
      </c>
      <c r="AM6" s="13">
        <v>2</v>
      </c>
      <c r="AN6" s="13">
        <v>3</v>
      </c>
      <c r="AO6" s="14" t="s">
        <v>17</v>
      </c>
      <c r="AP6" s="15" t="s">
        <v>18</v>
      </c>
      <c r="AQ6" s="13">
        <v>1</v>
      </c>
      <c r="AR6" s="13">
        <v>2</v>
      </c>
      <c r="AS6" s="13">
        <v>3</v>
      </c>
      <c r="AT6" s="14" t="s">
        <v>17</v>
      </c>
      <c r="AU6" s="15" t="s">
        <v>18</v>
      </c>
    </row>
    <row r="7" spans="1:47" x14ac:dyDescent="0.25">
      <c r="A7" s="5" t="s">
        <v>19</v>
      </c>
      <c r="B7" s="17">
        <v>42779.324305555558</v>
      </c>
      <c r="C7" s="117">
        <f t="shared" ref="C7:C15" si="0">(B7-$B$7)*24</f>
        <v>0</v>
      </c>
      <c r="D7" s="20">
        <v>4.3999999999999997E-2</v>
      </c>
      <c r="E7" s="20">
        <v>4.3999999999999997E-2</v>
      </c>
      <c r="F7" s="20">
        <v>4.3999999999999997E-2</v>
      </c>
      <c r="G7" s="20">
        <v>0</v>
      </c>
      <c r="H7" s="21">
        <f>AVERAGE(D7:F7)</f>
        <v>4.4000000000000004E-2</v>
      </c>
      <c r="I7" s="22">
        <f>STDEV(D7:F7)</f>
        <v>8.4983747219407389E-18</v>
      </c>
      <c r="J7" s="23">
        <v>6.04</v>
      </c>
      <c r="K7" s="24">
        <v>6.02</v>
      </c>
      <c r="L7" s="24">
        <v>6.02</v>
      </c>
      <c r="M7" s="24">
        <v>6.06</v>
      </c>
      <c r="N7" s="25">
        <f>AVERAGE(J7:L7)</f>
        <v>6.0266666666666664</v>
      </c>
      <c r="O7" s="26">
        <f>STDEV(J7:L7)</f>
        <v>1.1547005383792781E-2</v>
      </c>
      <c r="P7" s="84"/>
      <c r="Q7" s="49"/>
      <c r="R7" s="49"/>
      <c r="S7" s="49"/>
      <c r="T7" s="85"/>
      <c r="U7" s="86"/>
      <c r="Z7" s="81"/>
      <c r="AA7" s="81"/>
      <c r="AB7" s="133">
        <f>X46</f>
        <v>31000000</v>
      </c>
      <c r="AC7" s="134">
        <f>X47</f>
        <v>29000000</v>
      </c>
      <c r="AD7" s="134">
        <f>X48</f>
        <v>39000000</v>
      </c>
      <c r="AE7" s="135">
        <f>AVERAGE(AB7:AD7)</f>
        <v>33000000</v>
      </c>
      <c r="AF7" s="136">
        <f>STDEV(AB7:AD7)</f>
        <v>5291502.6221291814</v>
      </c>
      <c r="AG7" s="133">
        <f>X66</f>
        <v>45000000</v>
      </c>
      <c r="AH7" s="134">
        <f>X67</f>
        <v>41000000</v>
      </c>
      <c r="AI7" s="134">
        <f>X68</f>
        <v>39000000</v>
      </c>
      <c r="AJ7" s="135">
        <f>AVERAGE(AG7:AI7)</f>
        <v>41666666.666666664</v>
      </c>
      <c r="AK7" s="136">
        <f>STDEV(AG7:AI7)</f>
        <v>3055050.4633038933</v>
      </c>
      <c r="AL7" s="23">
        <f>AB7/(AB7+AG7)</f>
        <v>0.40789473684210525</v>
      </c>
      <c r="AM7" s="24">
        <f t="shared" ref="AM7:AN12" si="1">AC7/(AC7+AH7)</f>
        <v>0.41428571428571431</v>
      </c>
      <c r="AN7" s="24">
        <f t="shared" si="1"/>
        <v>0.5</v>
      </c>
      <c r="AO7" s="25">
        <f>AVERAGE(AL7:AN7)</f>
        <v>0.44072681704260647</v>
      </c>
      <c r="AP7" s="26">
        <f>STDEV(AL7:AN7)</f>
        <v>5.1431447691044629E-2</v>
      </c>
      <c r="AQ7" s="24">
        <f>AG7/(AB7+AG7)</f>
        <v>0.59210526315789469</v>
      </c>
      <c r="AR7" s="24">
        <f t="shared" ref="AR7:AS12" si="2">AH7/(AC7+AH7)</f>
        <v>0.58571428571428574</v>
      </c>
      <c r="AS7" s="24">
        <f t="shared" si="2"/>
        <v>0.5</v>
      </c>
      <c r="AT7" s="25">
        <f>AVERAGE(AQ7:AS7)</f>
        <v>0.55927318295739348</v>
      </c>
      <c r="AU7" s="26">
        <f>STDEV(AQ7:AS7)</f>
        <v>5.1431447691044629E-2</v>
      </c>
    </row>
    <row r="8" spans="1:47" x14ac:dyDescent="0.25">
      <c r="A8" s="5" t="s">
        <v>20</v>
      </c>
      <c r="B8" s="17">
        <v>42779.393055555556</v>
      </c>
      <c r="C8" s="112">
        <f t="shared" si="0"/>
        <v>1.6499999999650754</v>
      </c>
      <c r="D8" s="30">
        <v>5.0999999999999997E-2</v>
      </c>
      <c r="E8" s="30">
        <v>0.05</v>
      </c>
      <c r="F8" s="30">
        <v>4.9000000000000002E-2</v>
      </c>
      <c r="G8" s="30">
        <v>0</v>
      </c>
      <c r="H8" s="31">
        <f t="shared" ref="H8:H15" si="3">AVERAGE(D8:F8)</f>
        <v>5.000000000000001E-2</v>
      </c>
      <c r="I8" s="32">
        <f t="shared" ref="I8:I14" si="4">STDEV(D8:F8)</f>
        <v>9.9999999999999742E-4</v>
      </c>
      <c r="J8" s="33">
        <v>6.02</v>
      </c>
      <c r="K8" s="34">
        <v>6.01</v>
      </c>
      <c r="L8" s="34">
        <v>6.01</v>
      </c>
      <c r="M8" s="34">
        <v>6.05</v>
      </c>
      <c r="N8" s="35">
        <f t="shared" ref="N8:N14" si="5">AVERAGE(J8:L8)</f>
        <v>6.0133333333333328</v>
      </c>
      <c r="O8" s="36">
        <f t="shared" ref="O8:O14" si="6">STDEV(J8:L8)</f>
        <v>5.7735026918961348E-3</v>
      </c>
      <c r="P8" s="115">
        <v>29.539064410959195</v>
      </c>
      <c r="Q8" s="115">
        <v>29.495504609882996</v>
      </c>
      <c r="R8" s="115">
        <v>29.728059752850584</v>
      </c>
      <c r="S8" s="115">
        <v>29.735553732091038</v>
      </c>
      <c r="T8" s="35">
        <f>AVERAGE(P8:R8)</f>
        <v>29.587542924564257</v>
      </c>
      <c r="U8" s="36">
        <f>STDEV(P8:R8)</f>
        <v>0.12362482898344486</v>
      </c>
      <c r="V8" s="143" t="s">
        <v>21</v>
      </c>
      <c r="W8" s="143" t="s">
        <v>21</v>
      </c>
      <c r="X8" s="143" t="s">
        <v>21</v>
      </c>
      <c r="Y8" s="143" t="s">
        <v>21</v>
      </c>
      <c r="Z8" s="138"/>
      <c r="AA8" s="138"/>
      <c r="AB8" s="139">
        <f>X49</f>
        <v>22000000</v>
      </c>
      <c r="AC8" s="140">
        <f>X50</f>
        <v>30000000</v>
      </c>
      <c r="AD8" s="140">
        <f>X51</f>
        <v>31000000</v>
      </c>
      <c r="AE8" s="141">
        <f t="shared" ref="AE8:AE12" si="7">AVERAGE(AB8:AD8)</f>
        <v>27666666.666666668</v>
      </c>
      <c r="AF8" s="142">
        <f t="shared" ref="AF8:AF12" si="8">STDEV(AB8:AD8)</f>
        <v>4932882.8623162387</v>
      </c>
      <c r="AG8" s="139">
        <f>X69</f>
        <v>47000000</v>
      </c>
      <c r="AH8" s="140">
        <f>X70</f>
        <v>53000000</v>
      </c>
      <c r="AI8" s="140">
        <f>X71</f>
        <v>49000000</v>
      </c>
      <c r="AJ8" s="141">
        <f t="shared" ref="AJ8:AJ12" si="9">AVERAGE(AG8:AI8)</f>
        <v>49666666.666666664</v>
      </c>
      <c r="AK8" s="142">
        <f t="shared" ref="AK8:AK12" si="10">STDEV(AG8:AI8)</f>
        <v>3055050.4633038933</v>
      </c>
      <c r="AL8" s="33">
        <f t="shared" ref="AL8:AL12" si="11">AB8/(AB8+AG8)</f>
        <v>0.3188405797101449</v>
      </c>
      <c r="AM8" s="34">
        <f t="shared" si="1"/>
        <v>0.36144578313253012</v>
      </c>
      <c r="AN8" s="34">
        <f t="shared" si="1"/>
        <v>0.38750000000000001</v>
      </c>
      <c r="AO8" s="35">
        <f t="shared" ref="AO8:AO12" si="12">AVERAGE(AL8:AN8)</f>
        <v>0.35592878761422497</v>
      </c>
      <c r="AP8" s="36">
        <f t="shared" ref="AP8:AP12" si="13">STDEV(AL8:AN8)</f>
        <v>3.4660596190724861E-2</v>
      </c>
      <c r="AQ8" s="34">
        <f t="shared" ref="AQ8:AQ12" si="14">AG8/(AB8+AG8)</f>
        <v>0.6811594202898551</v>
      </c>
      <c r="AR8" s="34">
        <f t="shared" si="2"/>
        <v>0.63855421686746983</v>
      </c>
      <c r="AS8" s="34">
        <f t="shared" si="2"/>
        <v>0.61250000000000004</v>
      </c>
      <c r="AT8" s="35">
        <f t="shared" ref="AT8:AT12" si="15">AVERAGE(AQ8:AS8)</f>
        <v>0.64407121238577492</v>
      </c>
      <c r="AU8" s="36">
        <f t="shared" ref="AU8:AU12" si="16">STDEV(AQ8:AS8)</f>
        <v>3.4660596190724841E-2</v>
      </c>
    </row>
    <row r="9" spans="1:47" x14ac:dyDescent="0.25">
      <c r="A9" s="5" t="s">
        <v>22</v>
      </c>
      <c r="B9" s="17">
        <v>42779.466666666667</v>
      </c>
      <c r="C9" s="112">
        <f t="shared" si="0"/>
        <v>3.4166666666278616</v>
      </c>
      <c r="D9" s="30">
        <v>6.7000000000000004E-2</v>
      </c>
      <c r="E9" s="30">
        <v>6.3E-2</v>
      </c>
      <c r="F9" s="30">
        <v>5.8999999999999997E-2</v>
      </c>
      <c r="G9" s="30">
        <v>0</v>
      </c>
      <c r="H9" s="31">
        <f t="shared" si="3"/>
        <v>6.3E-2</v>
      </c>
      <c r="I9" s="32">
        <f t="shared" si="4"/>
        <v>4.0000000000000036E-3</v>
      </c>
      <c r="J9" s="33">
        <v>5.93</v>
      </c>
      <c r="K9" s="34">
        <v>5.97</v>
      </c>
      <c r="L9" s="34">
        <v>5.96</v>
      </c>
      <c r="M9" s="34">
        <v>6.04</v>
      </c>
      <c r="N9" s="35">
        <f t="shared" si="5"/>
        <v>5.9533333333333331</v>
      </c>
      <c r="O9" s="36">
        <f t="shared" si="6"/>
        <v>2.0816659994661379E-2</v>
      </c>
      <c r="P9" s="33"/>
      <c r="Q9" s="34"/>
      <c r="R9" s="34"/>
      <c r="S9" s="34"/>
      <c r="T9" s="35"/>
      <c r="U9" s="36"/>
      <c r="V9" s="143"/>
      <c r="W9" s="143"/>
      <c r="X9" s="143"/>
      <c r="Y9" s="143"/>
      <c r="Z9" s="138"/>
      <c r="AA9" s="138"/>
      <c r="AB9" s="139">
        <f>X52</f>
        <v>35000000</v>
      </c>
      <c r="AC9" s="140">
        <f>X53</f>
        <v>26000000</v>
      </c>
      <c r="AD9" s="140">
        <f>X54</f>
        <v>20000000</v>
      </c>
      <c r="AE9" s="141">
        <f t="shared" si="7"/>
        <v>27000000</v>
      </c>
      <c r="AF9" s="142">
        <f t="shared" si="8"/>
        <v>7549834.43527075</v>
      </c>
      <c r="AG9" s="139">
        <f>X72</f>
        <v>55000000</v>
      </c>
      <c r="AH9" s="140">
        <f>X73</f>
        <v>52000000</v>
      </c>
      <c r="AI9" s="140">
        <f>X74</f>
        <v>46000000</v>
      </c>
      <c r="AJ9" s="141">
        <f t="shared" si="9"/>
        <v>51000000</v>
      </c>
      <c r="AK9" s="142">
        <f t="shared" si="10"/>
        <v>4582575.6949558398</v>
      </c>
      <c r="AL9" s="33">
        <f t="shared" si="11"/>
        <v>0.3888888888888889</v>
      </c>
      <c r="AM9" s="34">
        <f t="shared" si="1"/>
        <v>0.33333333333333331</v>
      </c>
      <c r="AN9" s="34">
        <f t="shared" si="1"/>
        <v>0.30303030303030304</v>
      </c>
      <c r="AO9" s="35">
        <f t="shared" si="12"/>
        <v>0.34175084175084175</v>
      </c>
      <c r="AP9" s="36">
        <f t="shared" si="13"/>
        <v>4.354382880935205E-2</v>
      </c>
      <c r="AQ9" s="34">
        <f t="shared" si="14"/>
        <v>0.61111111111111116</v>
      </c>
      <c r="AR9" s="34">
        <f t="shared" si="2"/>
        <v>0.66666666666666663</v>
      </c>
      <c r="AS9" s="34">
        <f t="shared" si="2"/>
        <v>0.69696969696969702</v>
      </c>
      <c r="AT9" s="35">
        <f t="shared" si="15"/>
        <v>0.65824915824915819</v>
      </c>
      <c r="AU9" s="36">
        <f t="shared" si="16"/>
        <v>4.354382880935205E-2</v>
      </c>
    </row>
    <row r="10" spans="1:47" x14ac:dyDescent="0.25">
      <c r="A10" s="5" t="s">
        <v>23</v>
      </c>
      <c r="B10" s="17">
        <v>42779.538888888892</v>
      </c>
      <c r="C10" s="112">
        <f t="shared" si="0"/>
        <v>5.1500000000232831</v>
      </c>
      <c r="D10" s="30">
        <v>9.7000000000000003E-2</v>
      </c>
      <c r="E10" s="30">
        <v>8.5000000000000006E-2</v>
      </c>
      <c r="F10" s="30">
        <v>7.4999999999999997E-2</v>
      </c>
      <c r="G10" s="30">
        <v>0</v>
      </c>
      <c r="H10" s="31">
        <f t="shared" si="3"/>
        <v>8.5666666666666669E-2</v>
      </c>
      <c r="I10" s="32">
        <f t="shared" si="4"/>
        <v>1.1015141094572252E-2</v>
      </c>
      <c r="J10" s="33">
        <v>5.65</v>
      </c>
      <c r="K10" s="34">
        <v>5.8</v>
      </c>
      <c r="L10" s="34">
        <v>5.9</v>
      </c>
      <c r="M10" s="34">
        <v>6.04</v>
      </c>
      <c r="N10" s="35">
        <f t="shared" si="5"/>
        <v>5.7833333333333341</v>
      </c>
      <c r="O10" s="36">
        <f t="shared" si="6"/>
        <v>0.12583057392117913</v>
      </c>
      <c r="P10" s="33"/>
      <c r="Q10" s="34"/>
      <c r="R10" s="34"/>
      <c r="S10" s="34"/>
      <c r="T10" s="35"/>
      <c r="U10" s="36"/>
      <c r="V10" s="143"/>
      <c r="W10" s="143"/>
      <c r="X10" s="143"/>
      <c r="Y10" s="143"/>
      <c r="Z10" s="138"/>
      <c r="AA10" s="138"/>
      <c r="AB10" s="139">
        <f>X55</f>
        <v>45000000</v>
      </c>
      <c r="AC10" s="140">
        <f>X56</f>
        <v>38000000</v>
      </c>
      <c r="AD10" s="140">
        <f>X57</f>
        <v>27000000</v>
      </c>
      <c r="AE10" s="141">
        <f t="shared" si="7"/>
        <v>36666666.666666664</v>
      </c>
      <c r="AF10" s="142">
        <f t="shared" si="8"/>
        <v>9073771.725877462</v>
      </c>
      <c r="AG10" s="139">
        <f>X75</f>
        <v>68000000</v>
      </c>
      <c r="AH10" s="140">
        <f>X76</f>
        <v>67000000</v>
      </c>
      <c r="AI10" s="140">
        <f>X77</f>
        <v>64000000</v>
      </c>
      <c r="AJ10" s="141">
        <f t="shared" si="9"/>
        <v>66333333.333333336</v>
      </c>
      <c r="AK10" s="142">
        <f t="shared" si="10"/>
        <v>2081665.9994661328</v>
      </c>
      <c r="AL10" s="33">
        <f t="shared" si="11"/>
        <v>0.39823008849557523</v>
      </c>
      <c r="AM10" s="34">
        <f t="shared" si="1"/>
        <v>0.3619047619047619</v>
      </c>
      <c r="AN10" s="34">
        <f t="shared" si="1"/>
        <v>0.2967032967032967</v>
      </c>
      <c r="AO10" s="35">
        <f t="shared" si="12"/>
        <v>0.35227938236787798</v>
      </c>
      <c r="AP10" s="36">
        <f t="shared" si="13"/>
        <v>5.1443253312071183E-2</v>
      </c>
      <c r="AQ10" s="34">
        <f t="shared" si="14"/>
        <v>0.60176991150442483</v>
      </c>
      <c r="AR10" s="34">
        <f t="shared" si="2"/>
        <v>0.63809523809523805</v>
      </c>
      <c r="AS10" s="34">
        <f t="shared" si="2"/>
        <v>0.70329670329670335</v>
      </c>
      <c r="AT10" s="35">
        <f t="shared" si="15"/>
        <v>0.64772061763212208</v>
      </c>
      <c r="AU10" s="36">
        <f t="shared" si="16"/>
        <v>5.144325331207162E-2</v>
      </c>
    </row>
    <row r="11" spans="1:47" x14ac:dyDescent="0.25">
      <c r="A11" s="5" t="s">
        <v>24</v>
      </c>
      <c r="B11" s="17">
        <v>42779.616666666669</v>
      </c>
      <c r="C11" s="112">
        <f t="shared" si="0"/>
        <v>7.0166666666627862</v>
      </c>
      <c r="D11" s="30">
        <v>0.14699999999999999</v>
      </c>
      <c r="E11" s="30">
        <v>0.13800000000000001</v>
      </c>
      <c r="F11" s="30">
        <v>0.11799999999999999</v>
      </c>
      <c r="G11" s="30">
        <v>0</v>
      </c>
      <c r="H11" s="31">
        <f t="shared" si="3"/>
        <v>0.13433333333333333</v>
      </c>
      <c r="I11" s="32">
        <f t="shared" si="4"/>
        <v>1.484362938547488E-2</v>
      </c>
      <c r="J11" s="33">
        <v>4.8</v>
      </c>
      <c r="K11" s="34">
        <v>5.0199999999999996</v>
      </c>
      <c r="L11" s="34">
        <v>5.44</v>
      </c>
      <c r="M11" s="34">
        <v>6.05</v>
      </c>
      <c r="N11" s="35">
        <f t="shared" si="5"/>
        <v>5.0866666666666669</v>
      </c>
      <c r="O11" s="36">
        <f t="shared" si="6"/>
        <v>0.32516662395352564</v>
      </c>
      <c r="P11" s="33"/>
      <c r="Q11" s="34"/>
      <c r="R11" s="34"/>
      <c r="S11" s="34"/>
      <c r="T11" s="35"/>
      <c r="U11" s="36"/>
      <c r="V11" s="143"/>
      <c r="W11" s="143"/>
      <c r="X11" s="143"/>
      <c r="Y11" s="143"/>
      <c r="Z11" s="138"/>
      <c r="AA11" s="138"/>
      <c r="AB11" s="139">
        <f>X58</f>
        <v>85000000</v>
      </c>
      <c r="AC11" s="140">
        <f>X59</f>
        <v>73000000</v>
      </c>
      <c r="AD11" s="140">
        <f>X60</f>
        <v>44000000</v>
      </c>
      <c r="AE11" s="141">
        <f t="shared" si="7"/>
        <v>67333333.333333328</v>
      </c>
      <c r="AF11" s="142">
        <f t="shared" si="8"/>
        <v>21079215.671683162</v>
      </c>
      <c r="AG11" s="139">
        <f>X78</f>
        <v>107000000</v>
      </c>
      <c r="AH11" s="140">
        <f>X79</f>
        <v>98000000</v>
      </c>
      <c r="AI11" s="140">
        <f>X80</f>
        <v>105000000</v>
      </c>
      <c r="AJ11" s="141">
        <f t="shared" si="9"/>
        <v>103333333.33333333</v>
      </c>
      <c r="AK11" s="142">
        <f t="shared" si="10"/>
        <v>4725815.6262526084</v>
      </c>
      <c r="AL11" s="33">
        <f t="shared" si="11"/>
        <v>0.44270833333333331</v>
      </c>
      <c r="AM11" s="34">
        <f t="shared" si="1"/>
        <v>0.42690058479532161</v>
      </c>
      <c r="AN11" s="34">
        <f t="shared" si="1"/>
        <v>0.29530201342281881</v>
      </c>
      <c r="AO11" s="35">
        <f t="shared" si="12"/>
        <v>0.38830364385049121</v>
      </c>
      <c r="AP11" s="36">
        <f t="shared" si="13"/>
        <v>8.0928664112997317E-2</v>
      </c>
      <c r="AQ11" s="34">
        <f t="shared" si="14"/>
        <v>0.55729166666666663</v>
      </c>
      <c r="AR11" s="34">
        <f t="shared" si="2"/>
        <v>0.57309941520467833</v>
      </c>
      <c r="AS11" s="34">
        <f t="shared" si="2"/>
        <v>0.70469798657718119</v>
      </c>
      <c r="AT11" s="35">
        <f t="shared" si="15"/>
        <v>0.61169635614950868</v>
      </c>
      <c r="AU11" s="36">
        <f t="shared" si="16"/>
        <v>8.0928664112997137E-2</v>
      </c>
    </row>
    <row r="12" spans="1:47" x14ac:dyDescent="0.25">
      <c r="A12" s="5" t="s">
        <v>40</v>
      </c>
      <c r="B12" s="17">
        <v>42779.688194444447</v>
      </c>
      <c r="C12" s="112">
        <f t="shared" si="0"/>
        <v>8.7333333333372138</v>
      </c>
      <c r="D12" s="30">
        <v>0.16500000000000001</v>
      </c>
      <c r="E12" s="30">
        <v>0.17499999999999999</v>
      </c>
      <c r="F12" s="30">
        <v>0.17599999999999999</v>
      </c>
      <c r="G12" s="30">
        <v>-2E-3</v>
      </c>
      <c r="H12" s="31">
        <f t="shared" si="3"/>
        <v>0.17200000000000001</v>
      </c>
      <c r="I12" s="32">
        <f t="shared" si="4"/>
        <v>6.0827625302982092E-3</v>
      </c>
      <c r="J12" s="33">
        <v>4.4000000000000004</v>
      </c>
      <c r="K12" s="34">
        <v>4.4000000000000004</v>
      </c>
      <c r="L12" s="34">
        <v>4.4800000000000004</v>
      </c>
      <c r="M12" s="34">
        <v>6.04</v>
      </c>
      <c r="N12" s="35">
        <f t="shared" si="5"/>
        <v>4.4266666666666667</v>
      </c>
      <c r="O12" s="36">
        <f t="shared" si="6"/>
        <v>4.6188021535170098E-2</v>
      </c>
      <c r="P12" s="115">
        <v>28.315623451856272</v>
      </c>
      <c r="Q12" s="115">
        <v>28.405901082436856</v>
      </c>
      <c r="R12" s="115">
        <v>28.426974969507235</v>
      </c>
      <c r="S12" s="115">
        <v>29.665913560777778</v>
      </c>
      <c r="T12" s="35">
        <f t="shared" ref="T12" si="17">AVERAGE(P12:R12)</f>
        <v>28.382833167933455</v>
      </c>
      <c r="U12" s="36">
        <f t="shared" ref="U12" si="18">STDEV(P12:R12)</f>
        <v>5.9151387392396462E-2</v>
      </c>
      <c r="V12" s="115">
        <v>0.98934732209481135</v>
      </c>
      <c r="W12" s="115">
        <v>0.82676473152702057</v>
      </c>
      <c r="X12" s="115">
        <v>0.65464456939761462</v>
      </c>
      <c r="Y12" s="143" t="s">
        <v>21</v>
      </c>
      <c r="Z12" s="116">
        <f>AVERAGE(V12:X12)</f>
        <v>0.82358554100648218</v>
      </c>
      <c r="AA12" s="116">
        <f>STDEV(V12:X12)</f>
        <v>0.1673740230891424</v>
      </c>
      <c r="AB12" s="139">
        <f>X61</f>
        <v>97000000</v>
      </c>
      <c r="AC12" s="140">
        <f>X62</f>
        <v>104000000</v>
      </c>
      <c r="AD12" s="140">
        <f>X63</f>
        <v>110000000</v>
      </c>
      <c r="AE12" s="141">
        <f t="shared" si="7"/>
        <v>103666666.66666667</v>
      </c>
      <c r="AF12" s="142">
        <f t="shared" si="8"/>
        <v>6506407.0986477109</v>
      </c>
      <c r="AG12" s="139">
        <f>X81</f>
        <v>131000000</v>
      </c>
      <c r="AH12" s="140">
        <f>X82</f>
        <v>128000000</v>
      </c>
      <c r="AI12" s="140">
        <f>X83</f>
        <v>140000000</v>
      </c>
      <c r="AJ12" s="141">
        <f t="shared" si="9"/>
        <v>133000000</v>
      </c>
      <c r="AK12" s="142">
        <f t="shared" si="10"/>
        <v>6244997.998398398</v>
      </c>
      <c r="AL12" s="33">
        <f t="shared" si="11"/>
        <v>0.42543859649122806</v>
      </c>
      <c r="AM12" s="34">
        <f t="shared" si="1"/>
        <v>0.44827586206896552</v>
      </c>
      <c r="AN12" s="34">
        <f t="shared" si="1"/>
        <v>0.44</v>
      </c>
      <c r="AO12" s="35">
        <f t="shared" si="12"/>
        <v>0.43790481952006455</v>
      </c>
      <c r="AP12" s="36">
        <f t="shared" si="13"/>
        <v>1.156189909572191E-2</v>
      </c>
      <c r="AQ12" s="34">
        <f t="shared" si="14"/>
        <v>0.57456140350877194</v>
      </c>
      <c r="AR12" s="34">
        <f t="shared" si="2"/>
        <v>0.55172413793103448</v>
      </c>
      <c r="AS12" s="34">
        <f t="shared" si="2"/>
        <v>0.56000000000000005</v>
      </c>
      <c r="AT12" s="35">
        <f t="shared" si="15"/>
        <v>0.56209518047993556</v>
      </c>
      <c r="AU12" s="36">
        <f t="shared" si="16"/>
        <v>1.1561899095721905E-2</v>
      </c>
    </row>
    <row r="13" spans="1:47" x14ac:dyDescent="0.25">
      <c r="A13" s="5" t="s">
        <v>46</v>
      </c>
      <c r="B13" s="17">
        <v>42779.770138888889</v>
      </c>
      <c r="C13" s="266">
        <f t="shared" si="0"/>
        <v>10.699999999953434</v>
      </c>
      <c r="D13" s="20">
        <v>0.16900000000000001</v>
      </c>
      <c r="E13" s="20">
        <v>0.184</v>
      </c>
      <c r="F13" s="20">
        <v>0.19400000000000001</v>
      </c>
      <c r="G13" s="20">
        <v>1E-3</v>
      </c>
      <c r="H13" s="21">
        <f t="shared" si="3"/>
        <v>0.18233333333333332</v>
      </c>
      <c r="I13" s="22">
        <f t="shared" si="4"/>
        <v>1.2583057392117913E-2</v>
      </c>
      <c r="J13" s="23">
        <v>4.24</v>
      </c>
      <c r="K13" s="24">
        <v>4.2</v>
      </c>
      <c r="L13" s="24">
        <v>4.12</v>
      </c>
      <c r="M13" s="24">
        <v>6.03</v>
      </c>
      <c r="N13" s="25">
        <f t="shared" si="5"/>
        <v>4.1866666666666674</v>
      </c>
      <c r="O13" s="26">
        <f t="shared" si="6"/>
        <v>6.1101009266077921E-2</v>
      </c>
      <c r="P13" s="84"/>
      <c r="Q13" s="49"/>
      <c r="R13" s="49"/>
      <c r="S13" s="49"/>
      <c r="T13" s="25"/>
      <c r="U13" s="26"/>
      <c r="Z13" s="111"/>
      <c r="AA13" s="111"/>
      <c r="AB13" s="84"/>
      <c r="AC13" s="49"/>
      <c r="AD13" s="49"/>
      <c r="AE13" s="85"/>
      <c r="AF13" s="86"/>
      <c r="AG13" s="84"/>
      <c r="AH13" s="49"/>
      <c r="AI13" s="49"/>
      <c r="AJ13" s="85"/>
      <c r="AK13" s="86"/>
      <c r="AL13" s="84"/>
      <c r="AM13" s="49"/>
      <c r="AN13" s="49"/>
      <c r="AO13" s="49"/>
      <c r="AP13" s="59"/>
      <c r="AQ13" s="49"/>
      <c r="AR13" s="49"/>
      <c r="AS13" s="49"/>
      <c r="AT13" s="25"/>
      <c r="AU13" s="26"/>
    </row>
    <row r="14" spans="1:47" x14ac:dyDescent="0.25">
      <c r="A14" s="5" t="s">
        <v>65</v>
      </c>
      <c r="B14" s="17">
        <v>42779.915972222225</v>
      </c>
      <c r="C14" s="266">
        <f t="shared" si="0"/>
        <v>14.200000000011642</v>
      </c>
      <c r="D14" s="20">
        <v>0.17</v>
      </c>
      <c r="E14" s="20">
        <v>0.185</v>
      </c>
      <c r="F14" s="20">
        <v>0.19600000000000001</v>
      </c>
      <c r="G14" s="20">
        <v>1E-3</v>
      </c>
      <c r="H14" s="21">
        <f t="shared" si="3"/>
        <v>0.18366666666666664</v>
      </c>
      <c r="I14" s="22">
        <f t="shared" si="4"/>
        <v>1.305118130030126E-2</v>
      </c>
      <c r="J14" s="23">
        <v>4.13</v>
      </c>
      <c r="K14" s="24">
        <v>4.08</v>
      </c>
      <c r="L14" s="24">
        <v>4.05</v>
      </c>
      <c r="M14" s="24">
        <v>6.04</v>
      </c>
      <c r="N14" s="25">
        <f t="shared" si="5"/>
        <v>4.0866666666666669</v>
      </c>
      <c r="O14" s="26">
        <f t="shared" si="6"/>
        <v>4.0414518843273822E-2</v>
      </c>
      <c r="P14" s="55">
        <v>26.988602085087642</v>
      </c>
      <c r="Q14" s="55">
        <v>26.858014951651612</v>
      </c>
      <c r="R14" s="55">
        <v>26.590076975645673</v>
      </c>
      <c r="S14" s="55">
        <v>28.596896908151543</v>
      </c>
      <c r="T14" s="25">
        <f t="shared" ref="T14" si="19">AVERAGE(P14:R14)</f>
        <v>26.81223133746164</v>
      </c>
      <c r="U14" s="26">
        <f t="shared" ref="U14" si="20">STDEV(P14:R14)</f>
        <v>0.20316906804470858</v>
      </c>
      <c r="V14" s="55">
        <v>2.453188573102203</v>
      </c>
      <c r="W14" s="55">
        <v>2.2670823548280672</v>
      </c>
      <c r="X14" s="55">
        <v>2.0880181027397233</v>
      </c>
      <c r="Y14" s="5" t="s">
        <v>21</v>
      </c>
      <c r="Z14" s="111">
        <f t="shared" ref="Z14" si="21">AVERAGE(V14:X14)</f>
        <v>2.269429676889998</v>
      </c>
      <c r="AA14" s="111">
        <f t="shared" ref="AA14" si="22">STDEV(V14:X14)</f>
        <v>0.18259655130049821</v>
      </c>
      <c r="AB14" s="84"/>
      <c r="AC14" s="49"/>
      <c r="AD14" s="49"/>
      <c r="AE14" s="49"/>
      <c r="AF14" s="59"/>
      <c r="AG14" s="84"/>
      <c r="AH14" s="49"/>
      <c r="AI14" s="49"/>
      <c r="AJ14" s="49"/>
      <c r="AK14" s="59"/>
      <c r="AL14" s="84"/>
      <c r="AM14" s="49"/>
      <c r="AN14" s="49"/>
      <c r="AO14" s="49"/>
      <c r="AP14" s="59"/>
      <c r="AQ14" s="49"/>
      <c r="AR14" s="49"/>
      <c r="AS14" s="49"/>
      <c r="AT14" s="85"/>
      <c r="AU14" s="86"/>
    </row>
    <row r="15" spans="1:47" x14ac:dyDescent="0.25">
      <c r="A15" s="5" t="s">
        <v>66</v>
      </c>
      <c r="B15" s="17">
        <v>42780.430555555555</v>
      </c>
      <c r="C15" s="267">
        <f t="shared" si="0"/>
        <v>26.549999999930151</v>
      </c>
      <c r="D15" s="41">
        <v>0.16200000000000001</v>
      </c>
      <c r="E15" s="41">
        <v>0.17399999999999999</v>
      </c>
      <c r="F15" s="41">
        <v>0.182</v>
      </c>
      <c r="G15" s="41">
        <v>0</v>
      </c>
      <c r="H15" s="42">
        <f t="shared" si="3"/>
        <v>0.17266666666666666</v>
      </c>
      <c r="I15" s="43">
        <f>STDEV(D15:F15)</f>
        <v>1.0066445913694327E-2</v>
      </c>
      <c r="J15" s="64"/>
      <c r="K15" s="62"/>
      <c r="L15" s="62"/>
      <c r="M15" s="62"/>
      <c r="N15" s="104"/>
      <c r="O15" s="80"/>
      <c r="P15" s="64"/>
      <c r="Q15" s="62"/>
      <c r="R15" s="62"/>
      <c r="S15" s="62"/>
      <c r="T15" s="46"/>
      <c r="U15" s="47"/>
      <c r="V15" s="64"/>
      <c r="W15" s="62"/>
      <c r="X15" s="62"/>
      <c r="Y15" s="62"/>
      <c r="Z15" s="46"/>
      <c r="AA15" s="47"/>
      <c r="AB15" s="64"/>
      <c r="AC15" s="62"/>
      <c r="AD15" s="62"/>
      <c r="AE15" s="62"/>
      <c r="AF15" s="63"/>
      <c r="AG15" s="64"/>
      <c r="AH15" s="62"/>
      <c r="AI15" s="62"/>
      <c r="AJ15" s="62"/>
      <c r="AK15" s="63"/>
      <c r="AL15" s="64"/>
      <c r="AM15" s="62"/>
      <c r="AN15" s="62"/>
      <c r="AO15" s="62"/>
      <c r="AP15" s="63"/>
      <c r="AQ15" s="62"/>
      <c r="AR15" s="62"/>
      <c r="AS15" s="62"/>
      <c r="AT15" s="62"/>
      <c r="AU15" s="63"/>
    </row>
    <row r="16" spans="1:47" ht="18.75" x14ac:dyDescent="0.35">
      <c r="C16" s="268" t="s">
        <v>25</v>
      </c>
      <c r="D16" s="55">
        <f>LN(LOGEST(D8:D12,$C$8:$C$12))</f>
        <v>0.17655890955468642</v>
      </c>
      <c r="E16" s="55">
        <f t="shared" ref="E16:F16" si="23">LN(LOGEST(E8:E12,$C$8:$C$12))</f>
        <v>0.18537610581903055</v>
      </c>
      <c r="F16" s="55">
        <f t="shared" si="23"/>
        <v>0.18310325406138642</v>
      </c>
      <c r="G16" s="55"/>
      <c r="H16" s="70">
        <f>AVERAGE(D16:F16)</f>
        <v>0.18167942314503446</v>
      </c>
      <c r="I16" s="51">
        <f>STDEV(D16:F16)</f>
        <v>4.577795140650218E-3</v>
      </c>
      <c r="M16" s="50"/>
      <c r="N16" s="81"/>
      <c r="O16" s="123" t="s">
        <v>87</v>
      </c>
      <c r="P16" s="55">
        <f>P8-P12</f>
        <v>1.2234409591029234</v>
      </c>
      <c r="Q16" s="55">
        <f t="shared" ref="Q16:R16" si="24">Q8-Q12</f>
        <v>1.0896035274461404</v>
      </c>
      <c r="R16" s="55">
        <f t="shared" si="24"/>
        <v>1.3010847833433488</v>
      </c>
      <c r="T16" s="25">
        <f t="shared" ref="T16:T18" si="25">AVERAGE(P16:R16)</f>
        <v>1.2047097566308043</v>
      </c>
      <c r="U16" s="51">
        <f t="shared" ref="U16:U18" si="26">STDEV(P16:R16)</f>
        <v>0.10697767925368251</v>
      </c>
      <c r="V16" s="55">
        <f>V12</f>
        <v>0.98934732209481135</v>
      </c>
      <c r="W16" s="55">
        <f t="shared" ref="W16:X16" si="27">W12</f>
        <v>0.82676473152702057</v>
      </c>
      <c r="X16" s="55">
        <f t="shared" si="27"/>
        <v>0.65464456939761462</v>
      </c>
      <c r="Z16" s="111">
        <f t="shared" ref="Z16" si="28">AVERAGE(V16:X16)</f>
        <v>0.82358554100648218</v>
      </c>
      <c r="AA16" s="51">
        <f t="shared" ref="AA16" si="29">STDEV(V16:X16)</f>
        <v>0.1673740230891424</v>
      </c>
      <c r="AF16" s="215"/>
      <c r="AK16" s="215"/>
      <c r="AL16" s="84"/>
      <c r="AM16" s="49"/>
      <c r="AN16" s="49"/>
      <c r="AO16" s="49"/>
      <c r="AP16" s="59"/>
      <c r="AQ16" s="49"/>
      <c r="AR16" s="49"/>
      <c r="AS16" s="49"/>
      <c r="AT16" s="49"/>
      <c r="AU16" s="59"/>
    </row>
    <row r="17" spans="1:47" ht="18" x14ac:dyDescent="0.35">
      <c r="A17" s="52" t="s">
        <v>27</v>
      </c>
      <c r="B17" s="53"/>
      <c r="C17" s="54" t="s">
        <v>28</v>
      </c>
      <c r="D17" s="55">
        <f>D14*0.46</f>
        <v>7.8200000000000006E-2</v>
      </c>
      <c r="E17" s="55">
        <f t="shared" ref="E17:F17" si="30">E14*0.46</f>
        <v>8.5100000000000009E-2</v>
      </c>
      <c r="F17" s="55">
        <f t="shared" si="30"/>
        <v>9.0160000000000004E-2</v>
      </c>
      <c r="G17" s="55"/>
      <c r="H17" s="70">
        <f>AVERAGE(D17:F17)</f>
        <v>8.4486666666666668E-2</v>
      </c>
      <c r="I17" s="26">
        <f>STDEV(D17:F17)</f>
        <v>6.0035433981385795E-3</v>
      </c>
      <c r="M17" s="50"/>
      <c r="N17" s="81"/>
      <c r="O17" s="54" t="s">
        <v>29</v>
      </c>
      <c r="P17" s="55">
        <f>(D12-D8)*0.46</f>
        <v>5.2440000000000007E-2</v>
      </c>
      <c r="Q17" s="55">
        <f t="shared" ref="Q17:R17" si="31">(E12-E8)*0.46</f>
        <v>5.7499999999999996E-2</v>
      </c>
      <c r="R17" s="55">
        <f t="shared" si="31"/>
        <v>5.8420000000000007E-2</v>
      </c>
      <c r="T17" s="25">
        <f t="shared" si="25"/>
        <v>5.6120000000000003E-2</v>
      </c>
      <c r="U17" s="26">
        <f t="shared" si="26"/>
        <v>3.2199999999999972E-3</v>
      </c>
      <c r="Z17" s="111"/>
      <c r="AA17" s="26"/>
      <c r="AF17" s="59"/>
      <c r="AK17" s="59"/>
      <c r="AL17" s="84"/>
      <c r="AM17" s="49"/>
      <c r="AN17" s="49"/>
      <c r="AO17" s="49"/>
      <c r="AP17" s="59"/>
      <c r="AQ17" s="49"/>
      <c r="AR17" s="49"/>
      <c r="AS17" s="49"/>
      <c r="AT17" s="49"/>
      <c r="AU17" s="59"/>
    </row>
    <row r="18" spans="1:47" ht="18" x14ac:dyDescent="0.35">
      <c r="C18" s="59"/>
      <c r="H18" s="55"/>
      <c r="I18" s="59"/>
      <c r="M18" s="50"/>
      <c r="N18" s="81"/>
      <c r="O18" s="54" t="s">
        <v>30</v>
      </c>
      <c r="P18" s="55">
        <f>P17/(P16/1000*180.16)</f>
        <v>0.23791470948354351</v>
      </c>
      <c r="Q18" s="55">
        <f t="shared" ref="Q18:R18" si="32">Q17/(Q16/1000*180.16)</f>
        <v>0.29291456751394251</v>
      </c>
      <c r="R18" s="55">
        <f t="shared" si="32"/>
        <v>0.24922843006921633</v>
      </c>
      <c r="T18" s="25">
        <f t="shared" si="25"/>
        <v>0.26001923568890078</v>
      </c>
      <c r="U18" s="26">
        <f t="shared" si="26"/>
        <v>2.9044400670049497E-2</v>
      </c>
      <c r="V18" s="55">
        <f>(V16/1000*59.04)/(P16/1000*180.16)</f>
        <v>0.26500480117056824</v>
      </c>
      <c r="W18" s="55">
        <f t="shared" ref="W18:X18" si="33">(W16/1000*59.04)/(Q16/1000*180.16)</f>
        <v>0.24865741651897227</v>
      </c>
      <c r="X18" s="55">
        <f t="shared" si="33"/>
        <v>0.16488758131299899</v>
      </c>
      <c r="Z18" s="111">
        <f t="shared" ref="Z18:Z21" si="34">AVERAGE(V18:X18)</f>
        <v>0.22618326633417982</v>
      </c>
      <c r="AA18" s="26">
        <f t="shared" ref="AA18:AA21" si="35">STDEV(V18:X18)</f>
        <v>5.3709217066521098E-2</v>
      </c>
      <c r="AF18" s="59"/>
      <c r="AK18" s="59"/>
      <c r="AL18" s="84"/>
      <c r="AM18" s="49"/>
      <c r="AN18" s="49"/>
      <c r="AO18" s="49"/>
      <c r="AP18" s="59"/>
      <c r="AQ18" s="49"/>
      <c r="AR18" s="49"/>
      <c r="AS18" s="49"/>
      <c r="AT18" s="49"/>
      <c r="AU18" s="59"/>
    </row>
    <row r="19" spans="1:47" ht="18" x14ac:dyDescent="0.35">
      <c r="C19" s="59"/>
      <c r="I19" s="59"/>
      <c r="M19" s="98"/>
      <c r="O19" s="60" t="s">
        <v>31</v>
      </c>
      <c r="P19" s="55"/>
      <c r="Q19" s="55"/>
      <c r="R19" s="55"/>
      <c r="T19" s="25"/>
      <c r="U19" s="26"/>
      <c r="V19" s="55">
        <f>(V16/1000*59.04)/P17</f>
        <v>1.1138647196124647</v>
      </c>
      <c r="W19" s="55">
        <f t="shared" ref="W19:X19" si="36">(W16/1000*59.04)/Q17</f>
        <v>0.84890764781487482</v>
      </c>
      <c r="X19" s="55">
        <f t="shared" si="36"/>
        <v>0.66159218379382334</v>
      </c>
      <c r="Z19" s="111">
        <f t="shared" si="34"/>
        <v>0.87478818374038758</v>
      </c>
      <c r="AA19" s="26">
        <f t="shared" si="35"/>
        <v>0.22724428104751024</v>
      </c>
      <c r="AF19" s="59"/>
      <c r="AK19" s="59"/>
      <c r="AL19" s="84"/>
      <c r="AM19" s="49"/>
      <c r="AN19" s="49"/>
      <c r="AO19" s="49"/>
      <c r="AP19" s="59"/>
      <c r="AQ19" s="49"/>
      <c r="AR19" s="49"/>
      <c r="AS19" s="49"/>
      <c r="AT19" s="49"/>
      <c r="AU19" s="59"/>
    </row>
    <row r="20" spans="1:47" ht="18.75" x14ac:dyDescent="0.35">
      <c r="C20" s="59"/>
      <c r="I20" s="59"/>
      <c r="M20" s="98"/>
      <c r="O20" s="54" t="s">
        <v>32</v>
      </c>
      <c r="P20" s="55">
        <f>D16*(P16)</f>
        <v>0.21600940164375185</v>
      </c>
      <c r="Q20" s="55">
        <f t="shared" ref="Q20:R20" si="37">E16*(Q16)</f>
        <v>0.20198645880464469</v>
      </c>
      <c r="R20" s="55">
        <f t="shared" si="37"/>
        <v>0.23823285763992108</v>
      </c>
      <c r="T20" s="25">
        <f t="shared" ref="T20:T21" si="38">AVERAGE(P20:R20)</f>
        <v>0.21874290602943922</v>
      </c>
      <c r="U20" s="26">
        <f t="shared" ref="U20:U21" si="39">STDEV(P20:R20)</f>
        <v>1.8277154915396717E-2</v>
      </c>
      <c r="V20" s="55">
        <f>D16*(V16)</f>
        <v>0.174678084359909</v>
      </c>
      <c r="W20" s="55">
        <f t="shared" ref="W20:X20" si="40">E16*(W16)</f>
        <v>0.15326242635899534</v>
      </c>
      <c r="X20" s="55">
        <f t="shared" si="40"/>
        <v>0.11986755091031834</v>
      </c>
      <c r="Z20" s="111">
        <f t="shared" si="34"/>
        <v>0.14926935387640758</v>
      </c>
      <c r="AA20" s="26">
        <f t="shared" si="35"/>
        <v>2.762258342634839E-2</v>
      </c>
      <c r="AF20" s="59"/>
      <c r="AK20" s="59"/>
      <c r="AL20" s="84"/>
      <c r="AM20" s="49"/>
      <c r="AN20" s="49"/>
      <c r="AO20" s="49"/>
      <c r="AP20" s="59"/>
      <c r="AQ20" s="49"/>
      <c r="AR20" s="49"/>
      <c r="AS20" s="49"/>
      <c r="AT20" s="49"/>
      <c r="AU20" s="59"/>
    </row>
    <row r="21" spans="1:47" ht="18.75" x14ac:dyDescent="0.35">
      <c r="C21" s="63"/>
      <c r="D21" s="62"/>
      <c r="E21" s="62"/>
      <c r="F21" s="62"/>
      <c r="G21" s="62"/>
      <c r="H21" s="62"/>
      <c r="I21" s="63"/>
      <c r="J21" s="62"/>
      <c r="K21" s="62"/>
      <c r="L21" s="62"/>
      <c r="M21" s="65"/>
      <c r="N21" s="62"/>
      <c r="O21" s="124" t="s">
        <v>33</v>
      </c>
      <c r="P21" s="45">
        <f>D16*(P16/P17)</f>
        <v>4.1191724188358476</v>
      </c>
      <c r="Q21" s="45">
        <f t="shared" ref="Q21:R21" si="41">E16*(Q16/Q17)</f>
        <v>3.5128079792112126</v>
      </c>
      <c r="R21" s="45">
        <f t="shared" si="41"/>
        <v>4.0779332016419216</v>
      </c>
      <c r="S21" s="45"/>
      <c r="T21" s="46">
        <f t="shared" si="38"/>
        <v>3.9033045332296603</v>
      </c>
      <c r="U21" s="47">
        <f t="shared" si="39"/>
        <v>0.33880796520138656</v>
      </c>
      <c r="V21" s="44">
        <f>D16*(V16/P17)</f>
        <v>3.3310084736824748</v>
      </c>
      <c r="W21" s="45">
        <f t="shared" ref="W21:X21" si="42">E16*(W16/Q17)</f>
        <v>2.6654335018955715</v>
      </c>
      <c r="X21" s="45">
        <f t="shared" si="42"/>
        <v>2.0518238772735078</v>
      </c>
      <c r="Y21" s="62"/>
      <c r="Z21" s="46">
        <f t="shared" si="34"/>
        <v>2.6827552842838513</v>
      </c>
      <c r="AA21" s="47">
        <f t="shared" si="35"/>
        <v>0.63976819320072764</v>
      </c>
      <c r="AB21" s="62"/>
      <c r="AC21" s="62"/>
      <c r="AD21" s="62"/>
      <c r="AE21" s="62"/>
      <c r="AF21" s="63"/>
      <c r="AG21" s="62"/>
      <c r="AH21" s="62"/>
      <c r="AI21" s="62"/>
      <c r="AJ21" s="62"/>
      <c r="AK21" s="63"/>
      <c r="AL21" s="64"/>
      <c r="AM21" s="62"/>
      <c r="AN21" s="62"/>
      <c r="AO21" s="62"/>
      <c r="AP21" s="63"/>
      <c r="AQ21" s="62"/>
      <c r="AR21" s="62"/>
      <c r="AS21" s="62"/>
      <c r="AT21" s="62"/>
      <c r="AU21" s="63"/>
    </row>
    <row r="22" spans="1:47" x14ac:dyDescent="0.25">
      <c r="I22" s="54" t="s">
        <v>34</v>
      </c>
      <c r="J22" s="55">
        <f>P17/(J8-J12)</f>
        <v>3.237037037037039E-2</v>
      </c>
      <c r="K22" s="55">
        <f>Q17/(K8-K12)</f>
        <v>3.5714285714285726E-2</v>
      </c>
      <c r="L22" s="55">
        <f>R17/(L8-L12)</f>
        <v>3.8183006535947736E-2</v>
      </c>
      <c r="N22" s="111">
        <f>AVERAGE(J22:L22)</f>
        <v>3.5422554206867948E-2</v>
      </c>
      <c r="O22" s="26">
        <f>STDEV(J22:L22)</f>
        <v>2.9172787409946989E-3</v>
      </c>
    </row>
    <row r="23" spans="1:47" x14ac:dyDescent="0.25">
      <c r="T23" s="55"/>
      <c r="Z23" s="55"/>
    </row>
    <row r="24" spans="1:47" x14ac:dyDescent="0.25">
      <c r="O24" s="9" t="s">
        <v>35</v>
      </c>
      <c r="P24" s="5">
        <f>P16/1000*6</f>
        <v>7.3406457546175401E-3</v>
      </c>
      <c r="Q24" s="5">
        <f t="shared" ref="Q24:R24" si="43">Q16/1000*6</f>
        <v>6.537621164676842E-3</v>
      </c>
      <c r="R24" s="5">
        <f t="shared" si="43"/>
        <v>7.8065087000600934E-3</v>
      </c>
      <c r="V24" s="5">
        <f>V16/1000*2</f>
        <v>1.9786946441896227E-3</v>
      </c>
      <c r="W24" s="5">
        <f t="shared" ref="W24:X24" si="44">W16/1000*2</f>
        <v>1.6535294630540412E-3</v>
      </c>
      <c r="X24" s="5">
        <f t="shared" si="44"/>
        <v>1.3092891387952292E-3</v>
      </c>
    </row>
    <row r="25" spans="1:47" x14ac:dyDescent="0.25">
      <c r="O25" s="9" t="s">
        <v>36</v>
      </c>
      <c r="P25" s="5">
        <f>P17*0.5/12.01</f>
        <v>2.1831806827643636E-3</v>
      </c>
      <c r="Q25" s="5">
        <f t="shared" ref="Q25:R25" si="45">Q17*0.5/12.01</f>
        <v>2.3938384679433804E-3</v>
      </c>
      <c r="R25" s="5">
        <f t="shared" si="45"/>
        <v>2.4321398834304749E-3</v>
      </c>
      <c r="T25" s="71" t="s">
        <v>17</v>
      </c>
      <c r="U25" s="120" t="s">
        <v>18</v>
      </c>
    </row>
    <row r="26" spans="1:47" x14ac:dyDescent="0.25">
      <c r="O26" s="9" t="s">
        <v>37</v>
      </c>
      <c r="P26" s="5">
        <f>(P24-V24-P25)/P24</f>
        <v>0.43303689265538908</v>
      </c>
      <c r="Q26" s="5">
        <f t="shared" ref="Q26:R26" si="46">(Q24-W24-Q25)/Q24</f>
        <v>0.38091121693230062</v>
      </c>
      <c r="R26" s="5">
        <f t="shared" si="46"/>
        <v>0.52072953916045694</v>
      </c>
      <c r="T26" s="72">
        <f>AVERAGE(P26:R26)</f>
        <v>0.44489254958271557</v>
      </c>
      <c r="U26" s="80">
        <f>STDEV(P26:R26)</f>
        <v>7.0659098908477214E-2</v>
      </c>
    </row>
    <row r="44" spans="1:48" x14ac:dyDescent="0.25">
      <c r="A44" s="145" t="s">
        <v>113</v>
      </c>
    </row>
    <row r="45" spans="1:48" x14ac:dyDescent="0.25">
      <c r="B45" s="73" t="s">
        <v>90</v>
      </c>
      <c r="C45" s="73">
        <v>1</v>
      </c>
      <c r="D45" s="73">
        <v>2</v>
      </c>
      <c r="E45" s="73">
        <v>3</v>
      </c>
      <c r="F45" s="73">
        <v>4</v>
      </c>
      <c r="G45" s="73">
        <v>5</v>
      </c>
      <c r="H45" s="73">
        <v>6</v>
      </c>
      <c r="I45" s="73">
        <v>7</v>
      </c>
      <c r="J45" s="73">
        <v>8</v>
      </c>
      <c r="K45" s="73">
        <v>9</v>
      </c>
      <c r="L45" s="73">
        <v>10</v>
      </c>
      <c r="N45" s="73">
        <v>1</v>
      </c>
      <c r="O45" s="73">
        <v>2</v>
      </c>
      <c r="P45" s="73">
        <v>3</v>
      </c>
      <c r="Q45" s="73">
        <v>4</v>
      </c>
      <c r="R45" s="73">
        <v>5</v>
      </c>
      <c r="S45" s="73">
        <v>6</v>
      </c>
      <c r="T45" s="73">
        <v>7</v>
      </c>
      <c r="U45" s="73">
        <v>8</v>
      </c>
      <c r="V45" s="73">
        <v>9</v>
      </c>
      <c r="W45" s="73">
        <v>10</v>
      </c>
      <c r="X45" s="73" t="s">
        <v>17</v>
      </c>
      <c r="Z45" s="73" t="s">
        <v>90</v>
      </c>
      <c r="AA45" s="73">
        <v>1</v>
      </c>
      <c r="AB45" s="73">
        <v>2</v>
      </c>
      <c r="AC45" s="73">
        <v>3</v>
      </c>
      <c r="AD45" s="73">
        <v>4</v>
      </c>
      <c r="AE45" s="73">
        <v>5</v>
      </c>
      <c r="AF45" s="73">
        <v>6</v>
      </c>
      <c r="AG45" s="73">
        <v>7</v>
      </c>
      <c r="AH45" s="73">
        <v>8</v>
      </c>
      <c r="AI45" s="73">
        <v>9</v>
      </c>
      <c r="AJ45" s="73">
        <v>10</v>
      </c>
      <c r="AK45" s="73"/>
      <c r="AL45" s="73">
        <v>1</v>
      </c>
      <c r="AM45" s="73">
        <v>2</v>
      </c>
      <c r="AN45" s="73">
        <v>3</v>
      </c>
      <c r="AO45" s="73">
        <v>4</v>
      </c>
      <c r="AP45" s="73">
        <v>5</v>
      </c>
      <c r="AQ45" s="73">
        <v>6</v>
      </c>
      <c r="AR45" s="73">
        <v>7</v>
      </c>
      <c r="AS45" s="73">
        <v>8</v>
      </c>
      <c r="AT45" s="73">
        <v>9</v>
      </c>
      <c r="AU45" s="73">
        <v>10</v>
      </c>
      <c r="AV45" s="73" t="s">
        <v>17</v>
      </c>
    </row>
    <row r="46" spans="1:48" x14ac:dyDescent="0.25">
      <c r="A46" s="9" t="s">
        <v>92</v>
      </c>
      <c r="B46" s="5">
        <v>5</v>
      </c>
      <c r="C46" s="5">
        <v>1</v>
      </c>
      <c r="D46" s="5">
        <v>5</v>
      </c>
      <c r="E46" s="5">
        <v>3</v>
      </c>
      <c r="F46" s="5">
        <v>3</v>
      </c>
      <c r="G46" s="5">
        <v>1</v>
      </c>
      <c r="H46" s="5">
        <v>5</v>
      </c>
      <c r="I46" s="5">
        <v>4</v>
      </c>
      <c r="J46" s="5">
        <v>2</v>
      </c>
      <c r="K46" s="5">
        <v>3</v>
      </c>
      <c r="L46" s="5">
        <v>4</v>
      </c>
      <c r="N46" s="146">
        <f>(C46/0.01)*10^($B$46)</f>
        <v>10000000</v>
      </c>
      <c r="O46" s="146">
        <f t="shared" ref="O46:W46" si="47">(D46/0.01)*10^($B$46)</f>
        <v>50000000</v>
      </c>
      <c r="P46" s="146">
        <f t="shared" si="47"/>
        <v>30000000</v>
      </c>
      <c r="Q46" s="146">
        <f t="shared" si="47"/>
        <v>30000000</v>
      </c>
      <c r="R46" s="146">
        <f t="shared" si="47"/>
        <v>10000000</v>
      </c>
      <c r="S46" s="146">
        <f t="shared" si="47"/>
        <v>50000000</v>
      </c>
      <c r="T46" s="146">
        <f t="shared" si="47"/>
        <v>40000000</v>
      </c>
      <c r="U46" s="146">
        <f t="shared" si="47"/>
        <v>20000000</v>
      </c>
      <c r="V46" s="146">
        <f t="shared" si="47"/>
        <v>30000000</v>
      </c>
      <c r="W46" s="146">
        <f t="shared" si="47"/>
        <v>40000000</v>
      </c>
      <c r="X46" s="146">
        <f>AVERAGE(N46:W46)</f>
        <v>31000000</v>
      </c>
      <c r="Y46" s="9" t="s">
        <v>92</v>
      </c>
      <c r="Z46" s="5">
        <v>4</v>
      </c>
      <c r="AA46" s="5">
        <v>28</v>
      </c>
      <c r="AB46" s="5">
        <v>20</v>
      </c>
      <c r="AC46" s="5">
        <v>18</v>
      </c>
      <c r="AD46" s="5">
        <v>22</v>
      </c>
      <c r="AE46" s="5">
        <v>28</v>
      </c>
      <c r="AF46" s="5">
        <v>27</v>
      </c>
      <c r="AG46" s="5">
        <v>20</v>
      </c>
      <c r="AH46" s="5">
        <v>25</v>
      </c>
      <c r="AI46" s="5">
        <v>21</v>
      </c>
      <c r="AJ46" s="5">
        <v>33</v>
      </c>
      <c r="AL46" s="146">
        <f>(AA46/0.01)*10^($Z$46)</f>
        <v>28000000</v>
      </c>
      <c r="AM46" s="146">
        <f t="shared" ref="AM46:AU46" si="48">(AB46/0.01)*10^($Z$46)</f>
        <v>20000000</v>
      </c>
      <c r="AN46" s="146">
        <f t="shared" si="48"/>
        <v>18000000</v>
      </c>
      <c r="AO46" s="146">
        <f t="shared" si="48"/>
        <v>22000000</v>
      </c>
      <c r="AP46" s="146">
        <f t="shared" si="48"/>
        <v>28000000</v>
      </c>
      <c r="AQ46" s="146">
        <f t="shared" si="48"/>
        <v>27000000</v>
      </c>
      <c r="AR46" s="146">
        <f t="shared" si="48"/>
        <v>20000000</v>
      </c>
      <c r="AS46" s="146">
        <f t="shared" si="48"/>
        <v>25000000</v>
      </c>
      <c r="AT46" s="146">
        <f t="shared" si="48"/>
        <v>21000000</v>
      </c>
      <c r="AU46" s="146">
        <f t="shared" si="48"/>
        <v>33000000</v>
      </c>
      <c r="AV46" s="146">
        <f>AVERAGE(AL46:AU46)</f>
        <v>24200000</v>
      </c>
    </row>
    <row r="47" spans="1:48" x14ac:dyDescent="0.25">
      <c r="A47" s="9" t="s">
        <v>93</v>
      </c>
      <c r="B47" s="5">
        <v>5</v>
      </c>
      <c r="C47" s="5">
        <v>1</v>
      </c>
      <c r="D47" s="5">
        <v>3</v>
      </c>
      <c r="E47" s="5">
        <v>3</v>
      </c>
      <c r="F47" s="5">
        <v>4</v>
      </c>
      <c r="G47" s="5">
        <v>3</v>
      </c>
      <c r="H47" s="5">
        <v>4</v>
      </c>
      <c r="I47" s="5">
        <v>3</v>
      </c>
      <c r="J47" s="5">
        <v>4</v>
      </c>
      <c r="K47" s="5">
        <v>1</v>
      </c>
      <c r="L47" s="5">
        <v>3</v>
      </c>
      <c r="N47" s="146">
        <f>(C47/0.01)*10^($B$47)</f>
        <v>10000000</v>
      </c>
      <c r="O47" s="146">
        <f t="shared" ref="O47:W47" si="49">(D47/0.01)*10^($B$47)</f>
        <v>30000000</v>
      </c>
      <c r="P47" s="146">
        <f t="shared" si="49"/>
        <v>30000000</v>
      </c>
      <c r="Q47" s="146">
        <f t="shared" si="49"/>
        <v>40000000</v>
      </c>
      <c r="R47" s="146">
        <f t="shared" si="49"/>
        <v>30000000</v>
      </c>
      <c r="S47" s="146">
        <f t="shared" si="49"/>
        <v>40000000</v>
      </c>
      <c r="T47" s="146">
        <f t="shared" si="49"/>
        <v>30000000</v>
      </c>
      <c r="U47" s="146">
        <f t="shared" si="49"/>
        <v>40000000</v>
      </c>
      <c r="V47" s="146">
        <f t="shared" si="49"/>
        <v>10000000</v>
      </c>
      <c r="W47" s="146">
        <f t="shared" si="49"/>
        <v>30000000</v>
      </c>
      <c r="X47" s="146">
        <f t="shared" ref="X47:X83" si="50">AVERAGE(N47:W47)</f>
        <v>29000000</v>
      </c>
      <c r="Y47" s="9" t="s">
        <v>93</v>
      </c>
      <c r="Z47" s="5">
        <v>4</v>
      </c>
      <c r="AA47" s="5">
        <v>29</v>
      </c>
      <c r="AB47" s="5">
        <v>31</v>
      </c>
      <c r="AC47" s="5">
        <v>22</v>
      </c>
      <c r="AD47" s="5">
        <v>29</v>
      </c>
      <c r="AE47" s="5">
        <v>20</v>
      </c>
      <c r="AF47" s="5">
        <v>24</v>
      </c>
      <c r="AG47" s="5">
        <v>19</v>
      </c>
      <c r="AH47" s="5">
        <v>25</v>
      </c>
      <c r="AI47" s="5">
        <v>22</v>
      </c>
      <c r="AJ47" s="5">
        <v>23</v>
      </c>
      <c r="AL47" s="146">
        <f>(AA47/0.01)*10^($Z$47)</f>
        <v>29000000</v>
      </c>
      <c r="AM47" s="146">
        <f t="shared" ref="AM47:AU47" si="51">(AB47/0.01)*10^($Z$47)</f>
        <v>31000000</v>
      </c>
      <c r="AN47" s="146">
        <f t="shared" si="51"/>
        <v>22000000</v>
      </c>
      <c r="AO47" s="146">
        <f t="shared" si="51"/>
        <v>29000000</v>
      </c>
      <c r="AP47" s="146">
        <f t="shared" si="51"/>
        <v>20000000</v>
      </c>
      <c r="AQ47" s="146">
        <f t="shared" si="51"/>
        <v>24000000</v>
      </c>
      <c r="AR47" s="146">
        <f t="shared" si="51"/>
        <v>19000000</v>
      </c>
      <c r="AS47" s="146">
        <f t="shared" si="51"/>
        <v>25000000</v>
      </c>
      <c r="AT47" s="146">
        <f t="shared" si="51"/>
        <v>22000000</v>
      </c>
      <c r="AU47" s="146">
        <f t="shared" si="51"/>
        <v>23000000</v>
      </c>
      <c r="AV47" s="146">
        <f t="shared" ref="AV47:AV57" si="52">AVERAGE(AL47:AU47)</f>
        <v>24400000</v>
      </c>
    </row>
    <row r="48" spans="1:48" x14ac:dyDescent="0.25">
      <c r="A48" s="9" t="s">
        <v>94</v>
      </c>
      <c r="B48" s="5">
        <v>5</v>
      </c>
      <c r="C48" s="5">
        <v>2</v>
      </c>
      <c r="D48" s="5">
        <v>8</v>
      </c>
      <c r="E48" s="5">
        <v>4</v>
      </c>
      <c r="F48" s="5">
        <v>5</v>
      </c>
      <c r="G48" s="5">
        <v>3</v>
      </c>
      <c r="H48" s="5">
        <v>5</v>
      </c>
      <c r="I48" s="5">
        <v>2</v>
      </c>
      <c r="J48" s="5">
        <v>1</v>
      </c>
      <c r="K48" s="5">
        <v>4</v>
      </c>
      <c r="L48" s="5">
        <v>5</v>
      </c>
      <c r="N48" s="146">
        <f>(C48/0.01)*10^($B$48)</f>
        <v>20000000</v>
      </c>
      <c r="O48" s="146">
        <f t="shared" ref="O48:W48" si="53">(D48/0.01)*10^($B$48)</f>
        <v>80000000</v>
      </c>
      <c r="P48" s="146">
        <f t="shared" si="53"/>
        <v>40000000</v>
      </c>
      <c r="Q48" s="146">
        <f t="shared" si="53"/>
        <v>50000000</v>
      </c>
      <c r="R48" s="146">
        <f t="shared" si="53"/>
        <v>30000000</v>
      </c>
      <c r="S48" s="146">
        <f t="shared" si="53"/>
        <v>50000000</v>
      </c>
      <c r="T48" s="146">
        <f t="shared" si="53"/>
        <v>20000000</v>
      </c>
      <c r="U48" s="146">
        <f t="shared" si="53"/>
        <v>10000000</v>
      </c>
      <c r="V48" s="146">
        <f t="shared" si="53"/>
        <v>40000000</v>
      </c>
      <c r="W48" s="146">
        <f t="shared" si="53"/>
        <v>50000000</v>
      </c>
      <c r="X48" s="146">
        <f t="shared" si="50"/>
        <v>39000000</v>
      </c>
      <c r="Y48" s="9" t="s">
        <v>94</v>
      </c>
      <c r="Z48" s="5">
        <v>4</v>
      </c>
      <c r="AA48" s="5">
        <v>14</v>
      </c>
      <c r="AB48" s="5">
        <v>30</v>
      </c>
      <c r="AC48" s="5">
        <v>21</v>
      </c>
      <c r="AD48" s="5">
        <v>24</v>
      </c>
      <c r="AE48" s="5">
        <v>23</v>
      </c>
      <c r="AF48" s="5">
        <v>12</v>
      </c>
      <c r="AG48" s="5">
        <v>22</v>
      </c>
      <c r="AH48" s="5">
        <v>26</v>
      </c>
      <c r="AI48" s="5">
        <v>18</v>
      </c>
      <c r="AJ48" s="5">
        <v>15</v>
      </c>
      <c r="AL48" s="146">
        <f>(AA48/0.01)*10^($Z$48)</f>
        <v>14000000</v>
      </c>
      <c r="AM48" s="146">
        <f t="shared" ref="AM48:AU48" si="54">(AB48/0.01)*10^($Z$48)</f>
        <v>30000000</v>
      </c>
      <c r="AN48" s="146">
        <f t="shared" si="54"/>
        <v>21000000</v>
      </c>
      <c r="AO48" s="146">
        <f t="shared" si="54"/>
        <v>24000000</v>
      </c>
      <c r="AP48" s="146">
        <f t="shared" si="54"/>
        <v>23000000</v>
      </c>
      <c r="AQ48" s="146">
        <f t="shared" si="54"/>
        <v>12000000</v>
      </c>
      <c r="AR48" s="146">
        <f t="shared" si="54"/>
        <v>22000000</v>
      </c>
      <c r="AS48" s="146">
        <f t="shared" si="54"/>
        <v>26000000</v>
      </c>
      <c r="AT48" s="146">
        <f t="shared" si="54"/>
        <v>18000000</v>
      </c>
      <c r="AU48" s="146">
        <f t="shared" si="54"/>
        <v>15000000</v>
      </c>
      <c r="AV48" s="146">
        <f t="shared" si="52"/>
        <v>20500000</v>
      </c>
    </row>
    <row r="49" spans="1:48" x14ac:dyDescent="0.25">
      <c r="A49" s="9" t="s">
        <v>95</v>
      </c>
      <c r="B49" s="5">
        <v>5</v>
      </c>
      <c r="C49" s="5">
        <v>4</v>
      </c>
      <c r="D49" s="5">
        <v>1</v>
      </c>
      <c r="E49" s="5">
        <v>2</v>
      </c>
      <c r="F49" s="5">
        <v>4</v>
      </c>
      <c r="G49" s="5">
        <v>2</v>
      </c>
      <c r="H49" s="5">
        <v>1</v>
      </c>
      <c r="I49" s="5">
        <v>3</v>
      </c>
      <c r="J49" s="5">
        <v>1</v>
      </c>
      <c r="K49" s="5">
        <v>1</v>
      </c>
      <c r="L49" s="5">
        <v>3</v>
      </c>
      <c r="N49" s="146">
        <f>(C49/0.01)*10^($B$49)</f>
        <v>40000000</v>
      </c>
      <c r="O49" s="146">
        <f t="shared" ref="O49:W49" si="55">(D49/0.01)*10^($B$49)</f>
        <v>10000000</v>
      </c>
      <c r="P49" s="146">
        <f t="shared" si="55"/>
        <v>20000000</v>
      </c>
      <c r="Q49" s="146">
        <f t="shared" si="55"/>
        <v>40000000</v>
      </c>
      <c r="R49" s="146">
        <f t="shared" si="55"/>
        <v>20000000</v>
      </c>
      <c r="S49" s="146">
        <f t="shared" si="55"/>
        <v>10000000</v>
      </c>
      <c r="T49" s="146">
        <f t="shared" si="55"/>
        <v>30000000</v>
      </c>
      <c r="U49" s="146">
        <f t="shared" si="55"/>
        <v>10000000</v>
      </c>
      <c r="V49" s="146">
        <f t="shared" si="55"/>
        <v>10000000</v>
      </c>
      <c r="W49" s="146">
        <f t="shared" si="55"/>
        <v>30000000</v>
      </c>
      <c r="X49" s="146">
        <f t="shared" si="50"/>
        <v>22000000</v>
      </c>
      <c r="Y49" s="9" t="s">
        <v>95</v>
      </c>
      <c r="Z49" s="5">
        <v>4</v>
      </c>
      <c r="AA49" s="5">
        <v>20</v>
      </c>
      <c r="AB49" s="5">
        <v>19</v>
      </c>
      <c r="AC49" s="5">
        <v>23</v>
      </c>
      <c r="AD49" s="5">
        <v>24</v>
      </c>
      <c r="AE49" s="5">
        <v>26</v>
      </c>
      <c r="AF49" s="5">
        <v>14</v>
      </c>
      <c r="AG49" s="5">
        <v>21</v>
      </c>
      <c r="AH49" s="5">
        <v>15</v>
      </c>
      <c r="AI49" s="5">
        <v>32</v>
      </c>
      <c r="AJ49" s="5">
        <v>25</v>
      </c>
      <c r="AL49" s="146">
        <f>(AA49/0.01)*10^($Z$49)</f>
        <v>20000000</v>
      </c>
      <c r="AM49" s="146">
        <f t="shared" ref="AM49:AU49" si="56">(AB49/0.01)*10^($Z$49)</f>
        <v>19000000</v>
      </c>
      <c r="AN49" s="146">
        <f t="shared" si="56"/>
        <v>23000000</v>
      </c>
      <c r="AO49" s="146">
        <f t="shared" si="56"/>
        <v>24000000</v>
      </c>
      <c r="AP49" s="146">
        <f t="shared" si="56"/>
        <v>26000000</v>
      </c>
      <c r="AQ49" s="146">
        <f t="shared" si="56"/>
        <v>14000000</v>
      </c>
      <c r="AR49" s="146">
        <f t="shared" si="56"/>
        <v>21000000</v>
      </c>
      <c r="AS49" s="146">
        <f t="shared" si="56"/>
        <v>15000000</v>
      </c>
      <c r="AT49" s="146">
        <f t="shared" si="56"/>
        <v>32000000</v>
      </c>
      <c r="AU49" s="146">
        <f t="shared" si="56"/>
        <v>25000000</v>
      </c>
      <c r="AV49" s="146">
        <f t="shared" si="52"/>
        <v>21900000</v>
      </c>
    </row>
    <row r="50" spans="1:48" x14ac:dyDescent="0.25">
      <c r="A50" s="9" t="s">
        <v>96</v>
      </c>
      <c r="B50" s="5">
        <v>5</v>
      </c>
      <c r="C50" s="5">
        <v>4</v>
      </c>
      <c r="D50" s="5">
        <v>2</v>
      </c>
      <c r="E50" s="5">
        <v>2</v>
      </c>
      <c r="F50" s="5">
        <v>3</v>
      </c>
      <c r="G50" s="5">
        <v>5</v>
      </c>
      <c r="H50" s="5">
        <v>5</v>
      </c>
      <c r="I50" s="5">
        <v>1</v>
      </c>
      <c r="J50" s="5">
        <v>2</v>
      </c>
      <c r="K50" s="5">
        <v>2</v>
      </c>
      <c r="L50" s="5">
        <v>4</v>
      </c>
      <c r="N50" s="146">
        <f>(C50/0.01)*10^($B$50)</f>
        <v>40000000</v>
      </c>
      <c r="O50" s="146">
        <f t="shared" ref="O50:W50" si="57">(D50/0.01)*10^($B$50)</f>
        <v>20000000</v>
      </c>
      <c r="P50" s="146">
        <f t="shared" si="57"/>
        <v>20000000</v>
      </c>
      <c r="Q50" s="146">
        <f t="shared" si="57"/>
        <v>30000000</v>
      </c>
      <c r="R50" s="146">
        <f t="shared" si="57"/>
        <v>50000000</v>
      </c>
      <c r="S50" s="146">
        <f t="shared" si="57"/>
        <v>50000000</v>
      </c>
      <c r="T50" s="146">
        <f t="shared" si="57"/>
        <v>10000000</v>
      </c>
      <c r="U50" s="146">
        <f t="shared" si="57"/>
        <v>20000000</v>
      </c>
      <c r="V50" s="146">
        <f t="shared" si="57"/>
        <v>20000000</v>
      </c>
      <c r="W50" s="146">
        <f t="shared" si="57"/>
        <v>40000000</v>
      </c>
      <c r="X50" s="146">
        <f t="shared" si="50"/>
        <v>30000000</v>
      </c>
      <c r="Y50" s="9" t="s">
        <v>96</v>
      </c>
      <c r="Z50" s="5">
        <v>4</v>
      </c>
      <c r="AA50" s="5">
        <v>28</v>
      </c>
      <c r="AB50" s="5">
        <v>28</v>
      </c>
      <c r="AC50" s="5">
        <v>29</v>
      </c>
      <c r="AD50" s="5">
        <v>24</v>
      </c>
      <c r="AE50" s="5">
        <v>18</v>
      </c>
      <c r="AF50" s="5">
        <v>14</v>
      </c>
      <c r="AG50" s="5">
        <v>16</v>
      </c>
      <c r="AH50" s="5">
        <v>23</v>
      </c>
      <c r="AI50" s="5">
        <v>16</v>
      </c>
      <c r="AJ50" s="5">
        <v>25</v>
      </c>
      <c r="AL50" s="146">
        <f>(AA50/0.01)*10^($Z$50)</f>
        <v>28000000</v>
      </c>
      <c r="AM50" s="146">
        <f t="shared" ref="AM50:AU50" si="58">(AB50/0.01)*10^($Z$50)</f>
        <v>28000000</v>
      </c>
      <c r="AN50" s="146">
        <f t="shared" si="58"/>
        <v>29000000</v>
      </c>
      <c r="AO50" s="146">
        <f t="shared" si="58"/>
        <v>24000000</v>
      </c>
      <c r="AP50" s="146">
        <f t="shared" si="58"/>
        <v>18000000</v>
      </c>
      <c r="AQ50" s="146">
        <f t="shared" si="58"/>
        <v>14000000</v>
      </c>
      <c r="AR50" s="146">
        <f t="shared" si="58"/>
        <v>16000000</v>
      </c>
      <c r="AS50" s="146">
        <f t="shared" si="58"/>
        <v>23000000</v>
      </c>
      <c r="AT50" s="146">
        <f t="shared" si="58"/>
        <v>16000000</v>
      </c>
      <c r="AU50" s="146">
        <f t="shared" si="58"/>
        <v>25000000</v>
      </c>
      <c r="AV50" s="146">
        <f t="shared" si="52"/>
        <v>22100000</v>
      </c>
    </row>
    <row r="51" spans="1:48" x14ac:dyDescent="0.25">
      <c r="A51" s="9" t="s">
        <v>97</v>
      </c>
      <c r="B51" s="5">
        <v>5</v>
      </c>
      <c r="C51" s="5">
        <v>4</v>
      </c>
      <c r="D51" s="5">
        <v>3</v>
      </c>
      <c r="E51" s="5">
        <v>2</v>
      </c>
      <c r="F51" s="5">
        <v>0</v>
      </c>
      <c r="G51" s="5">
        <v>5</v>
      </c>
      <c r="H51" s="5">
        <v>3</v>
      </c>
      <c r="I51" s="5">
        <v>4</v>
      </c>
      <c r="J51" s="5">
        <v>3</v>
      </c>
      <c r="K51" s="5">
        <v>2</v>
      </c>
      <c r="L51" s="5">
        <v>5</v>
      </c>
      <c r="N51" s="146">
        <f>(C51/0.01)*10^($B$51)</f>
        <v>40000000</v>
      </c>
      <c r="O51" s="146">
        <f t="shared" ref="O51:W51" si="59">(D51/0.01)*10^($B$51)</f>
        <v>30000000</v>
      </c>
      <c r="P51" s="146">
        <f t="shared" si="59"/>
        <v>20000000</v>
      </c>
      <c r="Q51" s="146">
        <f t="shared" si="59"/>
        <v>0</v>
      </c>
      <c r="R51" s="146">
        <f t="shared" si="59"/>
        <v>50000000</v>
      </c>
      <c r="S51" s="146">
        <f t="shared" si="59"/>
        <v>30000000</v>
      </c>
      <c r="T51" s="146">
        <f t="shared" si="59"/>
        <v>40000000</v>
      </c>
      <c r="U51" s="146">
        <f t="shared" si="59"/>
        <v>30000000</v>
      </c>
      <c r="V51" s="146">
        <f t="shared" si="59"/>
        <v>20000000</v>
      </c>
      <c r="W51" s="146">
        <f t="shared" si="59"/>
        <v>50000000</v>
      </c>
      <c r="X51" s="146">
        <f t="shared" si="50"/>
        <v>31000000</v>
      </c>
      <c r="Y51" s="9" t="s">
        <v>97</v>
      </c>
      <c r="Z51" s="5">
        <v>4</v>
      </c>
      <c r="AA51" s="5">
        <v>29</v>
      </c>
      <c r="AB51" s="5">
        <v>29</v>
      </c>
      <c r="AC51" s="5">
        <v>19</v>
      </c>
      <c r="AD51" s="5">
        <v>17</v>
      </c>
      <c r="AE51" s="5">
        <v>21</v>
      </c>
      <c r="AF51" s="5">
        <v>25</v>
      </c>
      <c r="AG51" s="5">
        <v>18</v>
      </c>
      <c r="AH51" s="5">
        <v>23</v>
      </c>
      <c r="AI51" s="5">
        <v>27</v>
      </c>
      <c r="AJ51" s="5">
        <v>24</v>
      </c>
      <c r="AL51" s="146">
        <f>(AA51/0.01)*10^($Z$51)</f>
        <v>29000000</v>
      </c>
      <c r="AM51" s="146">
        <f t="shared" ref="AM51:AU51" si="60">(AB51/0.01)*10^($Z$51)</f>
        <v>29000000</v>
      </c>
      <c r="AN51" s="146">
        <f t="shared" si="60"/>
        <v>19000000</v>
      </c>
      <c r="AO51" s="146">
        <f t="shared" si="60"/>
        <v>17000000</v>
      </c>
      <c r="AP51" s="146">
        <f t="shared" si="60"/>
        <v>21000000</v>
      </c>
      <c r="AQ51" s="146">
        <f t="shared" si="60"/>
        <v>25000000</v>
      </c>
      <c r="AR51" s="146">
        <f t="shared" si="60"/>
        <v>18000000</v>
      </c>
      <c r="AS51" s="146">
        <f t="shared" si="60"/>
        <v>23000000</v>
      </c>
      <c r="AT51" s="146">
        <f t="shared" si="60"/>
        <v>27000000</v>
      </c>
      <c r="AU51" s="146">
        <f t="shared" si="60"/>
        <v>24000000</v>
      </c>
      <c r="AV51" s="146">
        <f t="shared" si="52"/>
        <v>23200000</v>
      </c>
    </row>
    <row r="52" spans="1:48" x14ac:dyDescent="0.25">
      <c r="A52" s="9" t="s">
        <v>98</v>
      </c>
      <c r="B52" s="5">
        <v>5</v>
      </c>
      <c r="C52" s="5">
        <v>2</v>
      </c>
      <c r="D52" s="5">
        <v>4</v>
      </c>
      <c r="E52" s="5">
        <v>5</v>
      </c>
      <c r="F52" s="5">
        <v>4</v>
      </c>
      <c r="G52" s="5">
        <v>3</v>
      </c>
      <c r="H52" s="5">
        <v>5</v>
      </c>
      <c r="I52" s="5">
        <v>2</v>
      </c>
      <c r="J52" s="5">
        <v>4</v>
      </c>
      <c r="K52" s="5">
        <v>2</v>
      </c>
      <c r="L52" s="5">
        <v>4</v>
      </c>
      <c r="N52" s="146">
        <f>(C52/0.01)*10^($B$52)</f>
        <v>20000000</v>
      </c>
      <c r="O52" s="146">
        <f t="shared" ref="O52:W52" si="61">(D52/0.01)*10^($B$52)</f>
        <v>40000000</v>
      </c>
      <c r="P52" s="146">
        <f t="shared" si="61"/>
        <v>50000000</v>
      </c>
      <c r="Q52" s="146">
        <f t="shared" si="61"/>
        <v>40000000</v>
      </c>
      <c r="R52" s="146">
        <f t="shared" si="61"/>
        <v>30000000</v>
      </c>
      <c r="S52" s="146">
        <f t="shared" si="61"/>
        <v>50000000</v>
      </c>
      <c r="T52" s="146">
        <f t="shared" si="61"/>
        <v>20000000</v>
      </c>
      <c r="U52" s="146">
        <f t="shared" si="61"/>
        <v>40000000</v>
      </c>
      <c r="V52" s="146">
        <f t="shared" si="61"/>
        <v>20000000</v>
      </c>
      <c r="W52" s="146">
        <f t="shared" si="61"/>
        <v>40000000</v>
      </c>
      <c r="X52" s="146">
        <f t="shared" si="50"/>
        <v>35000000</v>
      </c>
      <c r="Y52" s="9" t="s">
        <v>98</v>
      </c>
      <c r="Z52" s="5">
        <v>4</v>
      </c>
      <c r="AA52" s="5">
        <v>22</v>
      </c>
      <c r="AB52" s="5">
        <v>34</v>
      </c>
      <c r="AC52" s="5">
        <v>39</v>
      </c>
      <c r="AD52" s="5">
        <v>30</v>
      </c>
      <c r="AE52" s="5">
        <v>39</v>
      </c>
      <c r="AF52" s="5">
        <v>33</v>
      </c>
      <c r="AG52" s="5">
        <v>23</v>
      </c>
      <c r="AH52" s="5">
        <v>31</v>
      </c>
      <c r="AI52" s="5">
        <v>27</v>
      </c>
      <c r="AJ52" s="5">
        <v>33</v>
      </c>
      <c r="AL52" s="146">
        <f>(AA52/0.01)*10^($Z$52)</f>
        <v>22000000</v>
      </c>
      <c r="AM52" s="146">
        <f t="shared" ref="AM52:AU52" si="62">(AB52/0.01)*10^($Z$52)</f>
        <v>34000000</v>
      </c>
      <c r="AN52" s="146">
        <f t="shared" si="62"/>
        <v>39000000</v>
      </c>
      <c r="AO52" s="146">
        <f t="shared" si="62"/>
        <v>30000000</v>
      </c>
      <c r="AP52" s="146">
        <f t="shared" si="62"/>
        <v>39000000</v>
      </c>
      <c r="AQ52" s="146">
        <f t="shared" si="62"/>
        <v>33000000</v>
      </c>
      <c r="AR52" s="146">
        <f t="shared" si="62"/>
        <v>23000000</v>
      </c>
      <c r="AS52" s="146">
        <f t="shared" si="62"/>
        <v>31000000</v>
      </c>
      <c r="AT52" s="146">
        <f t="shared" si="62"/>
        <v>27000000</v>
      </c>
      <c r="AU52" s="146">
        <f t="shared" si="62"/>
        <v>33000000</v>
      </c>
      <c r="AV52" s="146">
        <f t="shared" si="52"/>
        <v>31100000</v>
      </c>
    </row>
    <row r="53" spans="1:48" x14ac:dyDescent="0.25">
      <c r="A53" s="9" t="s">
        <v>99</v>
      </c>
      <c r="B53" s="5">
        <v>5</v>
      </c>
      <c r="C53" s="5">
        <v>2</v>
      </c>
      <c r="D53" s="5">
        <v>2</v>
      </c>
      <c r="E53" s="5">
        <v>2</v>
      </c>
      <c r="F53" s="5">
        <v>3</v>
      </c>
      <c r="G53" s="5">
        <v>2</v>
      </c>
      <c r="H53" s="5">
        <v>6</v>
      </c>
      <c r="I53" s="5">
        <v>2</v>
      </c>
      <c r="J53" s="5">
        <v>2</v>
      </c>
      <c r="K53" s="5">
        <v>1</v>
      </c>
      <c r="L53" s="5">
        <v>4</v>
      </c>
      <c r="N53" s="146">
        <f>(C53/0.01)*10^($B$53)</f>
        <v>20000000</v>
      </c>
      <c r="O53" s="146">
        <f t="shared" ref="O53:W53" si="63">(D53/0.01)*10^($B$53)</f>
        <v>20000000</v>
      </c>
      <c r="P53" s="146">
        <f t="shared" si="63"/>
        <v>20000000</v>
      </c>
      <c r="Q53" s="146">
        <f t="shared" si="63"/>
        <v>30000000</v>
      </c>
      <c r="R53" s="146">
        <f t="shared" si="63"/>
        <v>20000000</v>
      </c>
      <c r="S53" s="146">
        <f>(H53/0.01)*10^($B$53)</f>
        <v>60000000</v>
      </c>
      <c r="T53" s="146">
        <f t="shared" si="63"/>
        <v>20000000</v>
      </c>
      <c r="U53" s="146">
        <f t="shared" si="63"/>
        <v>20000000</v>
      </c>
      <c r="V53" s="146">
        <f t="shared" si="63"/>
        <v>10000000</v>
      </c>
      <c r="W53" s="146">
        <f t="shared" si="63"/>
        <v>40000000</v>
      </c>
      <c r="X53" s="146">
        <f t="shared" si="50"/>
        <v>26000000</v>
      </c>
      <c r="Y53" s="9" t="s">
        <v>99</v>
      </c>
      <c r="Z53" s="5">
        <v>4</v>
      </c>
      <c r="AA53" s="5">
        <v>23</v>
      </c>
      <c r="AB53" s="5">
        <v>22</v>
      </c>
      <c r="AC53" s="5">
        <v>26</v>
      </c>
      <c r="AD53" s="5">
        <v>32</v>
      </c>
      <c r="AE53" s="5">
        <v>20</v>
      </c>
      <c r="AF53" s="5">
        <v>29</v>
      </c>
      <c r="AG53" s="5">
        <v>25</v>
      </c>
      <c r="AH53" s="5">
        <v>22</v>
      </c>
      <c r="AI53" s="5">
        <v>25</v>
      </c>
      <c r="AJ53" s="5">
        <v>36</v>
      </c>
      <c r="AL53" s="146">
        <f>(AA53/0.01)*10^($Z$53)</f>
        <v>23000000</v>
      </c>
      <c r="AM53" s="146">
        <f t="shared" ref="AM53:AU53" si="64">(AB53/0.01)*10^($Z$53)</f>
        <v>22000000</v>
      </c>
      <c r="AN53" s="146">
        <f t="shared" si="64"/>
        <v>26000000</v>
      </c>
      <c r="AO53" s="146">
        <f t="shared" si="64"/>
        <v>32000000</v>
      </c>
      <c r="AP53" s="146">
        <f t="shared" si="64"/>
        <v>20000000</v>
      </c>
      <c r="AQ53" s="146">
        <f t="shared" si="64"/>
        <v>29000000</v>
      </c>
      <c r="AR53" s="146">
        <f t="shared" si="64"/>
        <v>25000000</v>
      </c>
      <c r="AS53" s="146">
        <f t="shared" si="64"/>
        <v>22000000</v>
      </c>
      <c r="AT53" s="146">
        <f t="shared" si="64"/>
        <v>25000000</v>
      </c>
      <c r="AU53" s="146">
        <f t="shared" si="64"/>
        <v>36000000</v>
      </c>
      <c r="AV53" s="146">
        <f t="shared" si="52"/>
        <v>26000000</v>
      </c>
    </row>
    <row r="54" spans="1:48" x14ac:dyDescent="0.25">
      <c r="A54" s="9" t="s">
        <v>100</v>
      </c>
      <c r="B54" s="5">
        <v>5</v>
      </c>
      <c r="C54" s="5">
        <v>2</v>
      </c>
      <c r="D54" s="5">
        <v>2</v>
      </c>
      <c r="E54" s="5">
        <v>2</v>
      </c>
      <c r="F54" s="5">
        <v>1</v>
      </c>
      <c r="G54" s="5">
        <v>1</v>
      </c>
      <c r="H54" s="5">
        <v>3</v>
      </c>
      <c r="I54" s="5">
        <v>1</v>
      </c>
      <c r="J54" s="5">
        <v>1</v>
      </c>
      <c r="K54" s="5">
        <v>4</v>
      </c>
      <c r="L54" s="5">
        <v>3</v>
      </c>
      <c r="N54" s="146">
        <f>(C54/0.01)*10^($B$54)</f>
        <v>20000000</v>
      </c>
      <c r="O54" s="146">
        <f t="shared" ref="O54:W54" si="65">(D54/0.01)*10^($B$54)</f>
        <v>20000000</v>
      </c>
      <c r="P54" s="146">
        <f t="shared" si="65"/>
        <v>20000000</v>
      </c>
      <c r="Q54" s="146">
        <f t="shared" si="65"/>
        <v>10000000</v>
      </c>
      <c r="R54" s="146">
        <f t="shared" si="65"/>
        <v>10000000</v>
      </c>
      <c r="S54" s="146">
        <f t="shared" si="65"/>
        <v>30000000</v>
      </c>
      <c r="T54" s="146">
        <f t="shared" si="65"/>
        <v>10000000</v>
      </c>
      <c r="U54" s="146">
        <f t="shared" si="65"/>
        <v>10000000</v>
      </c>
      <c r="V54" s="146">
        <f t="shared" si="65"/>
        <v>40000000</v>
      </c>
      <c r="W54" s="146">
        <f t="shared" si="65"/>
        <v>30000000</v>
      </c>
      <c r="X54" s="146">
        <f t="shared" si="50"/>
        <v>20000000</v>
      </c>
      <c r="Y54" s="9" t="s">
        <v>100</v>
      </c>
      <c r="Z54" s="5">
        <v>4</v>
      </c>
      <c r="AA54" s="5">
        <v>25</v>
      </c>
      <c r="AB54" s="5">
        <v>23</v>
      </c>
      <c r="AC54" s="5">
        <v>32</v>
      </c>
      <c r="AD54" s="5">
        <v>20</v>
      </c>
      <c r="AE54" s="5">
        <v>22</v>
      </c>
      <c r="AF54" s="5">
        <v>18</v>
      </c>
      <c r="AG54" s="5">
        <v>25</v>
      </c>
      <c r="AH54" s="5">
        <v>26</v>
      </c>
      <c r="AI54" s="5">
        <v>25</v>
      </c>
      <c r="AJ54" s="5">
        <v>25</v>
      </c>
      <c r="AL54" s="146">
        <f>(AA54/0.01)*10^($Z$54)</f>
        <v>25000000</v>
      </c>
      <c r="AM54" s="146">
        <f t="shared" ref="AM54:AU54" si="66">(AB54/0.01)*10^($Z$54)</f>
        <v>23000000</v>
      </c>
      <c r="AN54" s="146">
        <f t="shared" si="66"/>
        <v>32000000</v>
      </c>
      <c r="AO54" s="146">
        <f t="shared" si="66"/>
        <v>20000000</v>
      </c>
      <c r="AP54" s="146">
        <f t="shared" si="66"/>
        <v>22000000</v>
      </c>
      <c r="AQ54" s="146">
        <f t="shared" si="66"/>
        <v>18000000</v>
      </c>
      <c r="AR54" s="146">
        <f t="shared" si="66"/>
        <v>25000000</v>
      </c>
      <c r="AS54" s="146">
        <f t="shared" si="66"/>
        <v>26000000</v>
      </c>
      <c r="AT54" s="146">
        <f t="shared" si="66"/>
        <v>25000000</v>
      </c>
      <c r="AU54" s="146">
        <f t="shared" si="66"/>
        <v>25000000</v>
      </c>
      <c r="AV54" s="146">
        <f t="shared" si="52"/>
        <v>24100000</v>
      </c>
    </row>
    <row r="55" spans="1:48" x14ac:dyDescent="0.25">
      <c r="A55" s="9" t="s">
        <v>101</v>
      </c>
      <c r="B55" s="5">
        <v>5</v>
      </c>
      <c r="C55" s="5">
        <v>4</v>
      </c>
      <c r="D55" s="5">
        <v>8</v>
      </c>
      <c r="E55" s="5">
        <v>6</v>
      </c>
      <c r="F55" s="5">
        <v>3</v>
      </c>
      <c r="G55" s="5">
        <v>4</v>
      </c>
      <c r="H55" s="5">
        <v>6</v>
      </c>
      <c r="I55" s="5">
        <v>5</v>
      </c>
      <c r="J55" s="5">
        <v>3</v>
      </c>
      <c r="K55" s="5">
        <v>3</v>
      </c>
      <c r="L55" s="5">
        <v>3</v>
      </c>
      <c r="N55" s="146">
        <f>(C55/0.01)*10^($B$55)</f>
        <v>40000000</v>
      </c>
      <c r="O55" s="146">
        <f t="shared" ref="O55:W55" si="67">(D55/0.01)*10^($B$55)</f>
        <v>80000000</v>
      </c>
      <c r="P55" s="146">
        <f t="shared" si="67"/>
        <v>60000000</v>
      </c>
      <c r="Q55" s="146">
        <f t="shared" si="67"/>
        <v>30000000</v>
      </c>
      <c r="R55" s="146">
        <f t="shared" si="67"/>
        <v>40000000</v>
      </c>
      <c r="S55" s="146">
        <f t="shared" si="67"/>
        <v>60000000</v>
      </c>
      <c r="T55" s="146">
        <f t="shared" si="67"/>
        <v>50000000</v>
      </c>
      <c r="U55" s="146">
        <f t="shared" si="67"/>
        <v>30000000</v>
      </c>
      <c r="V55" s="146">
        <f t="shared" si="67"/>
        <v>30000000</v>
      </c>
      <c r="W55" s="146">
        <f t="shared" si="67"/>
        <v>30000000</v>
      </c>
      <c r="X55" s="146">
        <f t="shared" si="50"/>
        <v>45000000</v>
      </c>
      <c r="Y55" s="9" t="s">
        <v>101</v>
      </c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  <c r="AV55" s="146"/>
    </row>
    <row r="56" spans="1:48" x14ac:dyDescent="0.25">
      <c r="A56" s="9" t="s">
        <v>102</v>
      </c>
      <c r="B56" s="5">
        <v>5</v>
      </c>
      <c r="C56" s="5">
        <v>2</v>
      </c>
      <c r="D56" s="5">
        <v>3</v>
      </c>
      <c r="E56" s="5">
        <v>3</v>
      </c>
      <c r="F56" s="5">
        <v>5</v>
      </c>
      <c r="G56" s="5">
        <v>5</v>
      </c>
      <c r="H56" s="5">
        <v>5</v>
      </c>
      <c r="I56" s="5">
        <v>3</v>
      </c>
      <c r="J56" s="5">
        <v>4</v>
      </c>
      <c r="K56" s="5">
        <v>3</v>
      </c>
      <c r="L56" s="5">
        <v>5</v>
      </c>
      <c r="N56" s="146">
        <f>(C56/0.01)*10^($B$56)</f>
        <v>20000000</v>
      </c>
      <c r="O56" s="146">
        <f t="shared" ref="O56:W56" si="68">(D56/0.01)*10^($B$56)</f>
        <v>30000000</v>
      </c>
      <c r="P56" s="146">
        <f t="shared" si="68"/>
        <v>30000000</v>
      </c>
      <c r="Q56" s="146">
        <f t="shared" si="68"/>
        <v>50000000</v>
      </c>
      <c r="R56" s="146">
        <f t="shared" si="68"/>
        <v>50000000</v>
      </c>
      <c r="S56" s="146">
        <f t="shared" si="68"/>
        <v>50000000</v>
      </c>
      <c r="T56" s="146">
        <f t="shared" si="68"/>
        <v>30000000</v>
      </c>
      <c r="U56" s="146">
        <f t="shared" si="68"/>
        <v>40000000</v>
      </c>
      <c r="V56" s="146">
        <f t="shared" si="68"/>
        <v>30000000</v>
      </c>
      <c r="W56" s="146">
        <f t="shared" si="68"/>
        <v>50000000</v>
      </c>
      <c r="X56" s="146">
        <f t="shared" si="50"/>
        <v>38000000</v>
      </c>
      <c r="Y56" s="9" t="s">
        <v>102</v>
      </c>
      <c r="AL56" s="146"/>
      <c r="AM56" s="146"/>
      <c r="AN56" s="146"/>
      <c r="AO56" s="146"/>
      <c r="AP56" s="146"/>
      <c r="AQ56" s="146"/>
      <c r="AR56" s="146"/>
      <c r="AS56" s="146"/>
      <c r="AT56" s="146"/>
      <c r="AU56" s="146"/>
      <c r="AV56" s="146"/>
    </row>
    <row r="57" spans="1:48" x14ac:dyDescent="0.25">
      <c r="A57" s="9" t="s">
        <v>103</v>
      </c>
      <c r="B57" s="5">
        <v>5</v>
      </c>
      <c r="C57" s="5">
        <v>3</v>
      </c>
      <c r="D57" s="5">
        <v>4</v>
      </c>
      <c r="E57" s="5">
        <v>1</v>
      </c>
      <c r="F57" s="5">
        <v>2</v>
      </c>
      <c r="G57" s="5">
        <v>3</v>
      </c>
      <c r="H57" s="5">
        <v>2</v>
      </c>
      <c r="I57" s="5">
        <v>2</v>
      </c>
      <c r="J57" s="5">
        <v>4</v>
      </c>
      <c r="K57" s="5">
        <v>2</v>
      </c>
      <c r="L57" s="5">
        <v>4</v>
      </c>
      <c r="N57" s="146">
        <f>(C57/0.01)*10^($B$57)</f>
        <v>30000000</v>
      </c>
      <c r="O57" s="146">
        <f t="shared" ref="O57:W57" si="69">(D57/0.01)*10^($B$57)</f>
        <v>40000000</v>
      </c>
      <c r="P57" s="146">
        <f t="shared" si="69"/>
        <v>10000000</v>
      </c>
      <c r="Q57" s="146">
        <f t="shared" si="69"/>
        <v>20000000</v>
      </c>
      <c r="R57" s="146">
        <f t="shared" si="69"/>
        <v>30000000</v>
      </c>
      <c r="S57" s="146">
        <f t="shared" si="69"/>
        <v>20000000</v>
      </c>
      <c r="T57" s="146">
        <f t="shared" si="69"/>
        <v>20000000</v>
      </c>
      <c r="U57" s="146">
        <f t="shared" si="69"/>
        <v>40000000</v>
      </c>
      <c r="V57" s="146">
        <f t="shared" si="69"/>
        <v>20000000</v>
      </c>
      <c r="W57" s="146">
        <f t="shared" si="69"/>
        <v>40000000</v>
      </c>
      <c r="X57" s="146">
        <f t="shared" si="50"/>
        <v>27000000</v>
      </c>
      <c r="Y57" s="9" t="s">
        <v>103</v>
      </c>
      <c r="Z57" s="5">
        <v>4</v>
      </c>
      <c r="AA57" s="5">
        <v>26</v>
      </c>
      <c r="AB57" s="5">
        <v>26</v>
      </c>
      <c r="AC57" s="5">
        <v>28</v>
      </c>
      <c r="AD57" s="5">
        <v>21</v>
      </c>
      <c r="AE57" s="5">
        <v>24</v>
      </c>
      <c r="AF57" s="5">
        <v>19</v>
      </c>
      <c r="AG57" s="5">
        <v>17</v>
      </c>
      <c r="AH57" s="5">
        <v>23</v>
      </c>
      <c r="AI57" s="5">
        <v>21</v>
      </c>
      <c r="AJ57" s="5">
        <v>21</v>
      </c>
      <c r="AL57" s="146">
        <f>(AA57/0.01)*10^($Z$57)</f>
        <v>26000000</v>
      </c>
      <c r="AM57" s="146">
        <f t="shared" ref="AM57:AU57" si="70">(AB57/0.01)*10^($Z$57)</f>
        <v>26000000</v>
      </c>
      <c r="AN57" s="146">
        <f t="shared" si="70"/>
        <v>28000000</v>
      </c>
      <c r="AO57" s="146">
        <f t="shared" si="70"/>
        <v>21000000</v>
      </c>
      <c r="AP57" s="146">
        <f t="shared" si="70"/>
        <v>24000000</v>
      </c>
      <c r="AQ57" s="146">
        <f t="shared" si="70"/>
        <v>19000000</v>
      </c>
      <c r="AR57" s="146">
        <f t="shared" si="70"/>
        <v>17000000</v>
      </c>
      <c r="AS57" s="146">
        <f t="shared" si="70"/>
        <v>23000000</v>
      </c>
      <c r="AT57" s="146">
        <f t="shared" si="70"/>
        <v>21000000</v>
      </c>
      <c r="AU57" s="146">
        <f t="shared" si="70"/>
        <v>21000000</v>
      </c>
      <c r="AV57" s="146">
        <f t="shared" si="52"/>
        <v>22600000</v>
      </c>
    </row>
    <row r="58" spans="1:48" x14ac:dyDescent="0.25">
      <c r="A58" s="9" t="s">
        <v>104</v>
      </c>
      <c r="B58" s="5">
        <v>5</v>
      </c>
      <c r="C58" s="5">
        <v>11</v>
      </c>
      <c r="D58" s="5">
        <v>7</v>
      </c>
      <c r="E58" s="5">
        <v>7</v>
      </c>
      <c r="F58" s="5">
        <v>12</v>
      </c>
      <c r="G58" s="5">
        <v>6</v>
      </c>
      <c r="H58" s="5">
        <v>10</v>
      </c>
      <c r="I58" s="5">
        <v>5</v>
      </c>
      <c r="J58" s="5">
        <v>9</v>
      </c>
      <c r="K58" s="5">
        <v>6</v>
      </c>
      <c r="L58" s="5">
        <v>12</v>
      </c>
      <c r="N58" s="146">
        <f>(C58/0.01)*10^($B$58)</f>
        <v>110000000</v>
      </c>
      <c r="O58" s="146">
        <f t="shared" ref="O58:W58" si="71">(D58/0.01)*10^($B$58)</f>
        <v>70000000</v>
      </c>
      <c r="P58" s="146">
        <f t="shared" si="71"/>
        <v>70000000</v>
      </c>
      <c r="Q58" s="146">
        <f t="shared" si="71"/>
        <v>120000000</v>
      </c>
      <c r="R58" s="146">
        <f t="shared" si="71"/>
        <v>60000000</v>
      </c>
      <c r="S58" s="146">
        <f t="shared" si="71"/>
        <v>100000000</v>
      </c>
      <c r="T58" s="146">
        <f t="shared" si="71"/>
        <v>50000000</v>
      </c>
      <c r="U58" s="146">
        <f t="shared" si="71"/>
        <v>90000000</v>
      </c>
      <c r="V58" s="146">
        <f t="shared" si="71"/>
        <v>60000000</v>
      </c>
      <c r="W58" s="146">
        <f t="shared" si="71"/>
        <v>120000000</v>
      </c>
      <c r="X58" s="146">
        <f t="shared" si="50"/>
        <v>85000000</v>
      </c>
      <c r="Y58" s="9" t="s">
        <v>104</v>
      </c>
    </row>
    <row r="59" spans="1:48" x14ac:dyDescent="0.25">
      <c r="A59" s="9" t="s">
        <v>105</v>
      </c>
      <c r="B59" s="5">
        <v>5</v>
      </c>
      <c r="C59" s="5">
        <v>8</v>
      </c>
      <c r="D59" s="5">
        <v>7</v>
      </c>
      <c r="E59" s="5">
        <v>14</v>
      </c>
      <c r="F59" s="5">
        <v>5</v>
      </c>
      <c r="G59" s="5">
        <v>6</v>
      </c>
      <c r="H59" s="5">
        <v>6</v>
      </c>
      <c r="I59" s="5">
        <v>5</v>
      </c>
      <c r="J59" s="5">
        <v>8</v>
      </c>
      <c r="K59" s="5">
        <v>7</v>
      </c>
      <c r="L59" s="5">
        <v>7</v>
      </c>
      <c r="N59" s="146">
        <f>(C59/0.01)*10^($B$59)</f>
        <v>80000000</v>
      </c>
      <c r="O59" s="146">
        <f t="shared" ref="O59:W59" si="72">(D59/0.01)*10^($B$59)</f>
        <v>70000000</v>
      </c>
      <c r="P59" s="146">
        <f t="shared" si="72"/>
        <v>140000000</v>
      </c>
      <c r="Q59" s="146">
        <f t="shared" si="72"/>
        <v>50000000</v>
      </c>
      <c r="R59" s="146">
        <f t="shared" si="72"/>
        <v>60000000</v>
      </c>
      <c r="S59" s="146">
        <f t="shared" si="72"/>
        <v>60000000</v>
      </c>
      <c r="T59" s="146">
        <f t="shared" si="72"/>
        <v>50000000</v>
      </c>
      <c r="U59" s="146">
        <f t="shared" si="72"/>
        <v>80000000</v>
      </c>
      <c r="V59" s="146">
        <f t="shared" si="72"/>
        <v>70000000</v>
      </c>
      <c r="W59" s="146">
        <f t="shared" si="72"/>
        <v>70000000</v>
      </c>
      <c r="X59" s="146">
        <f t="shared" si="50"/>
        <v>73000000</v>
      </c>
      <c r="Y59" s="9" t="s">
        <v>105</v>
      </c>
    </row>
    <row r="60" spans="1:48" x14ac:dyDescent="0.25">
      <c r="A60" s="9" t="s">
        <v>106</v>
      </c>
      <c r="B60" s="5">
        <v>5</v>
      </c>
      <c r="C60" s="5">
        <v>5</v>
      </c>
      <c r="D60" s="5">
        <v>2</v>
      </c>
      <c r="E60" s="5">
        <v>8</v>
      </c>
      <c r="F60" s="5">
        <v>4</v>
      </c>
      <c r="G60" s="5">
        <v>6</v>
      </c>
      <c r="H60" s="5">
        <v>4</v>
      </c>
      <c r="I60" s="5">
        <v>2</v>
      </c>
      <c r="J60" s="5">
        <v>2</v>
      </c>
      <c r="K60" s="5">
        <v>6</v>
      </c>
      <c r="L60" s="5">
        <v>5</v>
      </c>
      <c r="N60" s="146">
        <f>(C60/0.01)*10^($B$60)</f>
        <v>50000000</v>
      </c>
      <c r="O60" s="146">
        <f t="shared" ref="O60:W60" si="73">(D60/0.01)*10^($B$60)</f>
        <v>20000000</v>
      </c>
      <c r="P60" s="146">
        <f t="shared" si="73"/>
        <v>80000000</v>
      </c>
      <c r="Q60" s="146">
        <f t="shared" si="73"/>
        <v>40000000</v>
      </c>
      <c r="R60" s="146">
        <f t="shared" si="73"/>
        <v>60000000</v>
      </c>
      <c r="S60" s="146">
        <f t="shared" si="73"/>
        <v>40000000</v>
      </c>
      <c r="T60" s="146">
        <f t="shared" si="73"/>
        <v>20000000</v>
      </c>
      <c r="U60" s="146">
        <f t="shared" si="73"/>
        <v>20000000</v>
      </c>
      <c r="V60" s="146">
        <f t="shared" si="73"/>
        <v>60000000</v>
      </c>
      <c r="W60" s="146">
        <f t="shared" si="73"/>
        <v>50000000</v>
      </c>
      <c r="X60" s="146">
        <f t="shared" si="50"/>
        <v>44000000</v>
      </c>
      <c r="Y60" s="9" t="s">
        <v>106</v>
      </c>
    </row>
    <row r="61" spans="1:48" x14ac:dyDescent="0.25">
      <c r="A61" s="9" t="s">
        <v>107</v>
      </c>
      <c r="B61" s="5">
        <v>5</v>
      </c>
      <c r="C61" s="5">
        <v>7</v>
      </c>
      <c r="D61" s="5">
        <v>9</v>
      </c>
      <c r="E61" s="5">
        <v>6</v>
      </c>
      <c r="F61" s="5">
        <v>10</v>
      </c>
      <c r="G61" s="5">
        <v>10</v>
      </c>
      <c r="H61" s="5">
        <v>11</v>
      </c>
      <c r="I61" s="5">
        <v>5</v>
      </c>
      <c r="J61" s="5">
        <v>18</v>
      </c>
      <c r="K61" s="5">
        <v>11</v>
      </c>
      <c r="L61" s="5">
        <v>10</v>
      </c>
      <c r="N61" s="146">
        <f>(C61/0.01)*10^($B$61)</f>
        <v>70000000</v>
      </c>
      <c r="O61" s="146">
        <f t="shared" ref="O61:W61" si="74">(D61/0.01)*10^($B$61)</f>
        <v>90000000</v>
      </c>
      <c r="P61" s="146">
        <f t="shared" si="74"/>
        <v>60000000</v>
      </c>
      <c r="Q61" s="146">
        <f t="shared" si="74"/>
        <v>100000000</v>
      </c>
      <c r="R61" s="146">
        <f t="shared" si="74"/>
        <v>100000000</v>
      </c>
      <c r="S61" s="146">
        <f t="shared" si="74"/>
        <v>110000000</v>
      </c>
      <c r="T61" s="146">
        <f t="shared" si="74"/>
        <v>50000000</v>
      </c>
      <c r="U61" s="146">
        <f t="shared" si="74"/>
        <v>180000000</v>
      </c>
      <c r="V61" s="146">
        <f t="shared" si="74"/>
        <v>110000000</v>
      </c>
      <c r="W61" s="146">
        <f t="shared" si="74"/>
        <v>100000000</v>
      </c>
      <c r="X61" s="146">
        <f t="shared" si="50"/>
        <v>97000000</v>
      </c>
      <c r="Y61" s="9" t="s">
        <v>107</v>
      </c>
    </row>
    <row r="62" spans="1:48" x14ac:dyDescent="0.25">
      <c r="A62" s="9" t="s">
        <v>108</v>
      </c>
      <c r="B62" s="5">
        <v>5</v>
      </c>
      <c r="C62" s="5">
        <v>9</v>
      </c>
      <c r="D62" s="5">
        <v>10</v>
      </c>
      <c r="E62" s="5">
        <v>13</v>
      </c>
      <c r="F62" s="5">
        <v>7</v>
      </c>
      <c r="G62" s="5">
        <v>15</v>
      </c>
      <c r="H62" s="5">
        <v>6</v>
      </c>
      <c r="I62" s="5">
        <v>16</v>
      </c>
      <c r="J62" s="5">
        <v>9</v>
      </c>
      <c r="K62" s="5">
        <v>8</v>
      </c>
      <c r="L62" s="5">
        <v>11</v>
      </c>
      <c r="N62" s="146">
        <f>(C62/0.01)*10^($B$62)</f>
        <v>90000000</v>
      </c>
      <c r="O62" s="146">
        <f t="shared" ref="O62:W62" si="75">(D62/0.01)*10^($B$62)</f>
        <v>100000000</v>
      </c>
      <c r="P62" s="146">
        <f t="shared" si="75"/>
        <v>130000000</v>
      </c>
      <c r="Q62" s="146">
        <f t="shared" si="75"/>
        <v>70000000</v>
      </c>
      <c r="R62" s="146">
        <f t="shared" si="75"/>
        <v>150000000</v>
      </c>
      <c r="S62" s="146">
        <f t="shared" si="75"/>
        <v>60000000</v>
      </c>
      <c r="T62" s="146">
        <f t="shared" si="75"/>
        <v>160000000</v>
      </c>
      <c r="U62" s="146">
        <f t="shared" si="75"/>
        <v>90000000</v>
      </c>
      <c r="V62" s="146">
        <f t="shared" si="75"/>
        <v>80000000</v>
      </c>
      <c r="W62" s="146">
        <f t="shared" si="75"/>
        <v>110000000</v>
      </c>
      <c r="X62" s="146">
        <f t="shared" si="50"/>
        <v>104000000</v>
      </c>
      <c r="Y62" s="9" t="s">
        <v>108</v>
      </c>
    </row>
    <row r="63" spans="1:48" x14ac:dyDescent="0.25">
      <c r="A63" s="9" t="s">
        <v>109</v>
      </c>
      <c r="B63" s="5">
        <v>5</v>
      </c>
      <c r="C63" s="5">
        <v>7</v>
      </c>
      <c r="D63" s="5">
        <v>5</v>
      </c>
      <c r="E63" s="5">
        <v>7</v>
      </c>
      <c r="F63" s="5">
        <v>13</v>
      </c>
      <c r="G63" s="5">
        <v>16</v>
      </c>
      <c r="H63" s="5">
        <v>13</v>
      </c>
      <c r="I63" s="5">
        <v>13</v>
      </c>
      <c r="J63" s="5">
        <v>11</v>
      </c>
      <c r="K63" s="5">
        <v>12</v>
      </c>
      <c r="L63" s="5">
        <v>13</v>
      </c>
      <c r="N63" s="146">
        <f>(C63/0.01)*10^($B$63)</f>
        <v>70000000</v>
      </c>
      <c r="O63" s="146">
        <f t="shared" ref="O63:W63" si="76">(D63/0.01)*10^($B$63)</f>
        <v>50000000</v>
      </c>
      <c r="P63" s="146">
        <f t="shared" si="76"/>
        <v>70000000</v>
      </c>
      <c r="Q63" s="146">
        <f t="shared" si="76"/>
        <v>130000000</v>
      </c>
      <c r="R63" s="146">
        <f t="shared" si="76"/>
        <v>160000000</v>
      </c>
      <c r="S63" s="146">
        <f t="shared" si="76"/>
        <v>130000000</v>
      </c>
      <c r="T63" s="146">
        <f t="shared" si="76"/>
        <v>130000000</v>
      </c>
      <c r="U63" s="146">
        <f t="shared" si="76"/>
        <v>110000000</v>
      </c>
      <c r="V63" s="146">
        <f t="shared" si="76"/>
        <v>120000000</v>
      </c>
      <c r="W63" s="146">
        <f t="shared" si="76"/>
        <v>130000000</v>
      </c>
      <c r="X63" s="146">
        <f t="shared" si="50"/>
        <v>110000000</v>
      </c>
      <c r="Y63" s="9" t="s">
        <v>109</v>
      </c>
    </row>
    <row r="64" spans="1:48" x14ac:dyDescent="0.25"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</row>
    <row r="65" spans="1:25" x14ac:dyDescent="0.25">
      <c r="A65" s="145" t="s">
        <v>200</v>
      </c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</row>
    <row r="66" spans="1:25" x14ac:dyDescent="0.25">
      <c r="A66" s="9" t="s">
        <v>92</v>
      </c>
      <c r="B66" s="5">
        <v>5</v>
      </c>
      <c r="C66" s="5">
        <v>5</v>
      </c>
      <c r="D66" s="5">
        <v>9</v>
      </c>
      <c r="E66" s="5">
        <v>4</v>
      </c>
      <c r="F66" s="5">
        <v>0</v>
      </c>
      <c r="G66" s="5">
        <v>2</v>
      </c>
      <c r="H66" s="5">
        <v>8</v>
      </c>
      <c r="I66" s="5">
        <v>3</v>
      </c>
      <c r="J66" s="5">
        <v>6</v>
      </c>
      <c r="K66" s="5">
        <v>2</v>
      </c>
      <c r="L66" s="5">
        <v>6</v>
      </c>
      <c r="N66" s="146">
        <f>(C66/0.01)*10^($B$66)</f>
        <v>50000000</v>
      </c>
      <c r="O66" s="146">
        <f t="shared" ref="O66:W66" si="77">(D66/0.01)*10^($B$66)</f>
        <v>90000000</v>
      </c>
      <c r="P66" s="146">
        <f t="shared" si="77"/>
        <v>40000000</v>
      </c>
      <c r="Q66" s="146">
        <f t="shared" si="77"/>
        <v>0</v>
      </c>
      <c r="R66" s="146">
        <f t="shared" si="77"/>
        <v>20000000</v>
      </c>
      <c r="S66" s="146">
        <f t="shared" si="77"/>
        <v>80000000</v>
      </c>
      <c r="T66" s="146">
        <f t="shared" si="77"/>
        <v>30000000</v>
      </c>
      <c r="U66" s="146">
        <f t="shared" si="77"/>
        <v>60000000</v>
      </c>
      <c r="V66" s="146">
        <f t="shared" si="77"/>
        <v>20000000</v>
      </c>
      <c r="W66" s="146">
        <f t="shared" si="77"/>
        <v>60000000</v>
      </c>
      <c r="X66" s="146">
        <f t="shared" si="50"/>
        <v>45000000</v>
      </c>
      <c r="Y66" s="9" t="s">
        <v>92</v>
      </c>
    </row>
    <row r="67" spans="1:25" x14ac:dyDescent="0.25">
      <c r="A67" s="9" t="s">
        <v>93</v>
      </c>
      <c r="B67" s="5">
        <v>5</v>
      </c>
      <c r="C67" s="5">
        <v>2</v>
      </c>
      <c r="D67" s="5">
        <v>6</v>
      </c>
      <c r="E67" s="5">
        <v>4</v>
      </c>
      <c r="F67" s="5">
        <v>4</v>
      </c>
      <c r="G67" s="5">
        <v>1</v>
      </c>
      <c r="H67" s="5">
        <v>3</v>
      </c>
      <c r="I67" s="5">
        <v>6</v>
      </c>
      <c r="J67" s="5">
        <v>6</v>
      </c>
      <c r="K67" s="5">
        <v>4</v>
      </c>
      <c r="L67" s="5">
        <v>5</v>
      </c>
      <c r="N67" s="146">
        <f>(C67/0.01)*10^($B$67)</f>
        <v>20000000</v>
      </c>
      <c r="O67" s="146">
        <f t="shared" ref="O67:W67" si="78">(D67/0.01)*10^($B$67)</f>
        <v>60000000</v>
      </c>
      <c r="P67" s="146">
        <f t="shared" si="78"/>
        <v>40000000</v>
      </c>
      <c r="Q67" s="146">
        <f t="shared" si="78"/>
        <v>40000000</v>
      </c>
      <c r="R67" s="146">
        <f t="shared" si="78"/>
        <v>10000000</v>
      </c>
      <c r="S67" s="146">
        <f t="shared" si="78"/>
        <v>30000000</v>
      </c>
      <c r="T67" s="146">
        <f t="shared" si="78"/>
        <v>60000000</v>
      </c>
      <c r="U67" s="146">
        <f t="shared" si="78"/>
        <v>60000000</v>
      </c>
      <c r="V67" s="146">
        <f t="shared" si="78"/>
        <v>40000000</v>
      </c>
      <c r="W67" s="146">
        <f t="shared" si="78"/>
        <v>50000000</v>
      </c>
      <c r="X67" s="146">
        <f t="shared" si="50"/>
        <v>41000000</v>
      </c>
      <c r="Y67" s="9" t="s">
        <v>93</v>
      </c>
    </row>
    <row r="68" spans="1:25" x14ac:dyDescent="0.25">
      <c r="A68" s="9" t="s">
        <v>94</v>
      </c>
      <c r="B68" s="5">
        <v>5</v>
      </c>
      <c r="C68" s="5">
        <v>2</v>
      </c>
      <c r="D68" s="5">
        <v>6</v>
      </c>
      <c r="E68" s="5">
        <v>5</v>
      </c>
      <c r="F68" s="5">
        <v>0</v>
      </c>
      <c r="G68" s="5">
        <v>4</v>
      </c>
      <c r="H68" s="5">
        <v>4</v>
      </c>
      <c r="I68" s="5">
        <v>6</v>
      </c>
      <c r="J68" s="5">
        <v>2</v>
      </c>
      <c r="K68" s="5">
        <v>5</v>
      </c>
      <c r="L68" s="5">
        <v>5</v>
      </c>
      <c r="N68" s="146">
        <f>(C68/0.01)*10^($B$68)</f>
        <v>20000000</v>
      </c>
      <c r="O68" s="146">
        <f t="shared" ref="O68:W68" si="79">(D68/0.01)*10^($B$68)</f>
        <v>60000000</v>
      </c>
      <c r="P68" s="146">
        <f t="shared" si="79"/>
        <v>50000000</v>
      </c>
      <c r="Q68" s="146">
        <f t="shared" si="79"/>
        <v>0</v>
      </c>
      <c r="R68" s="146">
        <f t="shared" si="79"/>
        <v>40000000</v>
      </c>
      <c r="S68" s="146">
        <f t="shared" si="79"/>
        <v>40000000</v>
      </c>
      <c r="T68" s="146">
        <f t="shared" si="79"/>
        <v>60000000</v>
      </c>
      <c r="U68" s="146">
        <f t="shared" si="79"/>
        <v>20000000</v>
      </c>
      <c r="V68" s="146">
        <f t="shared" si="79"/>
        <v>50000000</v>
      </c>
      <c r="W68" s="146">
        <f t="shared" si="79"/>
        <v>50000000</v>
      </c>
      <c r="X68" s="146">
        <f t="shared" si="50"/>
        <v>39000000</v>
      </c>
      <c r="Y68" s="9" t="s">
        <v>94</v>
      </c>
    </row>
    <row r="69" spans="1:25" x14ac:dyDescent="0.25">
      <c r="A69" s="9" t="s">
        <v>95</v>
      </c>
      <c r="B69" s="5">
        <v>5</v>
      </c>
      <c r="C69" s="5">
        <v>3</v>
      </c>
      <c r="D69" s="5">
        <v>2</v>
      </c>
      <c r="E69" s="5">
        <v>5</v>
      </c>
      <c r="F69" s="5">
        <v>2</v>
      </c>
      <c r="G69" s="5">
        <v>7</v>
      </c>
      <c r="H69" s="5">
        <v>3</v>
      </c>
      <c r="I69" s="5">
        <v>6</v>
      </c>
      <c r="J69" s="5">
        <v>6</v>
      </c>
      <c r="K69" s="5">
        <v>9</v>
      </c>
      <c r="L69" s="5">
        <v>4</v>
      </c>
      <c r="N69" s="146">
        <f>(C69/0.01)*10^($B$69)</f>
        <v>30000000</v>
      </c>
      <c r="O69" s="146">
        <f t="shared" ref="O69:W69" si="80">(D69/0.01)*10^($B$69)</f>
        <v>20000000</v>
      </c>
      <c r="P69" s="146">
        <f t="shared" si="80"/>
        <v>50000000</v>
      </c>
      <c r="Q69" s="146">
        <f t="shared" si="80"/>
        <v>20000000</v>
      </c>
      <c r="R69" s="146">
        <f t="shared" si="80"/>
        <v>70000000</v>
      </c>
      <c r="S69" s="146">
        <f t="shared" si="80"/>
        <v>30000000</v>
      </c>
      <c r="T69" s="146">
        <f t="shared" si="80"/>
        <v>60000000</v>
      </c>
      <c r="U69" s="146">
        <f t="shared" si="80"/>
        <v>60000000</v>
      </c>
      <c r="V69" s="146">
        <f t="shared" si="80"/>
        <v>90000000</v>
      </c>
      <c r="W69" s="146">
        <f t="shared" si="80"/>
        <v>40000000</v>
      </c>
      <c r="X69" s="146">
        <f t="shared" si="50"/>
        <v>47000000</v>
      </c>
      <c r="Y69" s="9" t="s">
        <v>95</v>
      </c>
    </row>
    <row r="70" spans="1:25" x14ac:dyDescent="0.25">
      <c r="A70" s="9" t="s">
        <v>96</v>
      </c>
      <c r="B70" s="5">
        <v>5</v>
      </c>
      <c r="C70" s="5">
        <v>3</v>
      </c>
      <c r="D70" s="5">
        <v>8</v>
      </c>
      <c r="E70" s="5">
        <v>6</v>
      </c>
      <c r="F70" s="5">
        <v>4</v>
      </c>
      <c r="G70" s="5">
        <v>6</v>
      </c>
      <c r="H70" s="5">
        <v>5</v>
      </c>
      <c r="I70" s="5">
        <v>3</v>
      </c>
      <c r="J70" s="5">
        <v>8</v>
      </c>
      <c r="K70" s="5">
        <v>8</v>
      </c>
      <c r="L70" s="5">
        <v>2</v>
      </c>
      <c r="N70" s="146">
        <f>(C70/0.01)*10^($B$70)</f>
        <v>30000000</v>
      </c>
      <c r="O70" s="146">
        <f t="shared" ref="O70:W70" si="81">(D70/0.01)*10^($B$70)</f>
        <v>80000000</v>
      </c>
      <c r="P70" s="146">
        <f t="shared" si="81"/>
        <v>60000000</v>
      </c>
      <c r="Q70" s="146">
        <f t="shared" si="81"/>
        <v>40000000</v>
      </c>
      <c r="R70" s="146">
        <f t="shared" si="81"/>
        <v>60000000</v>
      </c>
      <c r="S70" s="146">
        <f t="shared" si="81"/>
        <v>50000000</v>
      </c>
      <c r="T70" s="146">
        <f t="shared" si="81"/>
        <v>30000000</v>
      </c>
      <c r="U70" s="146">
        <f t="shared" si="81"/>
        <v>80000000</v>
      </c>
      <c r="V70" s="146">
        <f t="shared" si="81"/>
        <v>80000000</v>
      </c>
      <c r="W70" s="146">
        <f t="shared" si="81"/>
        <v>20000000</v>
      </c>
      <c r="X70" s="146">
        <f t="shared" si="50"/>
        <v>53000000</v>
      </c>
      <c r="Y70" s="9" t="s">
        <v>96</v>
      </c>
    </row>
    <row r="71" spans="1:25" x14ac:dyDescent="0.25">
      <c r="A71" s="9" t="s">
        <v>97</v>
      </c>
      <c r="B71" s="5">
        <v>5</v>
      </c>
      <c r="C71" s="5">
        <v>5</v>
      </c>
      <c r="D71" s="5">
        <v>11</v>
      </c>
      <c r="E71" s="5">
        <v>4</v>
      </c>
      <c r="F71" s="5">
        <v>8</v>
      </c>
      <c r="G71" s="5">
        <v>2</v>
      </c>
      <c r="H71" s="5">
        <v>4</v>
      </c>
      <c r="I71" s="5">
        <v>4</v>
      </c>
      <c r="J71" s="5">
        <v>2</v>
      </c>
      <c r="K71" s="5">
        <v>4</v>
      </c>
      <c r="L71" s="5">
        <v>5</v>
      </c>
      <c r="N71" s="146">
        <f>(C71/0.01)*10^($B$71)</f>
        <v>50000000</v>
      </c>
      <c r="O71" s="146">
        <f t="shared" ref="O71:W71" si="82">(D71/0.01)*10^($B$71)</f>
        <v>110000000</v>
      </c>
      <c r="P71" s="146">
        <f t="shared" si="82"/>
        <v>40000000</v>
      </c>
      <c r="Q71" s="146">
        <f t="shared" si="82"/>
        <v>80000000</v>
      </c>
      <c r="R71" s="146">
        <f t="shared" si="82"/>
        <v>20000000</v>
      </c>
      <c r="S71" s="146">
        <f t="shared" si="82"/>
        <v>40000000</v>
      </c>
      <c r="T71" s="146">
        <f t="shared" si="82"/>
        <v>40000000</v>
      </c>
      <c r="U71" s="146">
        <f t="shared" si="82"/>
        <v>20000000</v>
      </c>
      <c r="V71" s="146">
        <f t="shared" si="82"/>
        <v>40000000</v>
      </c>
      <c r="W71" s="146">
        <f t="shared" si="82"/>
        <v>50000000</v>
      </c>
      <c r="X71" s="146">
        <f t="shared" si="50"/>
        <v>49000000</v>
      </c>
      <c r="Y71" s="9" t="s">
        <v>97</v>
      </c>
    </row>
    <row r="72" spans="1:25" x14ac:dyDescent="0.25">
      <c r="A72" s="9" t="s">
        <v>98</v>
      </c>
      <c r="B72" s="5">
        <v>5</v>
      </c>
      <c r="C72" s="5">
        <v>5</v>
      </c>
      <c r="D72" s="5">
        <v>6</v>
      </c>
      <c r="E72" s="5">
        <v>4</v>
      </c>
      <c r="F72" s="5">
        <v>2</v>
      </c>
      <c r="G72" s="5">
        <v>9</v>
      </c>
      <c r="H72" s="5">
        <v>6</v>
      </c>
      <c r="I72" s="5">
        <v>5</v>
      </c>
      <c r="J72" s="5">
        <v>4</v>
      </c>
      <c r="K72" s="5">
        <v>7</v>
      </c>
      <c r="L72" s="5">
        <v>7</v>
      </c>
      <c r="N72" s="146">
        <f>(C72/0.01)*10^($B$72)</f>
        <v>50000000</v>
      </c>
      <c r="O72" s="146">
        <f t="shared" ref="O72:W72" si="83">(D72/0.01)*10^($B$72)</f>
        <v>60000000</v>
      </c>
      <c r="P72" s="146">
        <f t="shared" si="83"/>
        <v>40000000</v>
      </c>
      <c r="Q72" s="146">
        <f t="shared" si="83"/>
        <v>20000000</v>
      </c>
      <c r="R72" s="146">
        <f t="shared" si="83"/>
        <v>90000000</v>
      </c>
      <c r="S72" s="146">
        <f t="shared" si="83"/>
        <v>60000000</v>
      </c>
      <c r="T72" s="146">
        <f t="shared" si="83"/>
        <v>50000000</v>
      </c>
      <c r="U72" s="146">
        <f t="shared" si="83"/>
        <v>40000000</v>
      </c>
      <c r="V72" s="146">
        <f t="shared" si="83"/>
        <v>70000000</v>
      </c>
      <c r="W72" s="146">
        <f t="shared" si="83"/>
        <v>70000000</v>
      </c>
      <c r="X72" s="146">
        <f t="shared" si="50"/>
        <v>55000000</v>
      </c>
      <c r="Y72" s="9" t="s">
        <v>98</v>
      </c>
    </row>
    <row r="73" spans="1:25" x14ac:dyDescent="0.25">
      <c r="A73" s="9" t="s">
        <v>99</v>
      </c>
      <c r="B73" s="5">
        <v>5</v>
      </c>
      <c r="C73" s="5">
        <v>9</v>
      </c>
      <c r="D73" s="5">
        <v>3</v>
      </c>
      <c r="E73" s="5">
        <v>6</v>
      </c>
      <c r="F73" s="5">
        <v>4</v>
      </c>
      <c r="G73" s="5">
        <v>6</v>
      </c>
      <c r="H73" s="5">
        <v>6</v>
      </c>
      <c r="I73" s="5">
        <v>5</v>
      </c>
      <c r="J73" s="5">
        <v>4</v>
      </c>
      <c r="K73" s="5">
        <v>2</v>
      </c>
      <c r="L73" s="5">
        <v>7</v>
      </c>
      <c r="N73" s="146">
        <f>(C73/0.01)*10^($B$73)</f>
        <v>90000000</v>
      </c>
      <c r="O73" s="146">
        <f t="shared" ref="O73:W73" si="84">(D73/0.01)*10^($B$73)</f>
        <v>30000000</v>
      </c>
      <c r="P73" s="146">
        <f t="shared" si="84"/>
        <v>60000000</v>
      </c>
      <c r="Q73" s="146">
        <f t="shared" si="84"/>
        <v>40000000</v>
      </c>
      <c r="R73" s="146">
        <f t="shared" si="84"/>
        <v>60000000</v>
      </c>
      <c r="S73" s="146">
        <f t="shared" si="84"/>
        <v>60000000</v>
      </c>
      <c r="T73" s="146">
        <f t="shared" si="84"/>
        <v>50000000</v>
      </c>
      <c r="U73" s="146">
        <f t="shared" si="84"/>
        <v>40000000</v>
      </c>
      <c r="V73" s="146">
        <f t="shared" si="84"/>
        <v>20000000</v>
      </c>
      <c r="W73" s="146">
        <f t="shared" si="84"/>
        <v>70000000</v>
      </c>
      <c r="X73" s="146">
        <f t="shared" si="50"/>
        <v>52000000</v>
      </c>
      <c r="Y73" s="9" t="s">
        <v>99</v>
      </c>
    </row>
    <row r="74" spans="1:25" x14ac:dyDescent="0.25">
      <c r="A74" s="9" t="s">
        <v>100</v>
      </c>
      <c r="B74" s="5">
        <v>5</v>
      </c>
      <c r="C74" s="5">
        <v>4</v>
      </c>
      <c r="D74" s="5">
        <v>5</v>
      </c>
      <c r="E74" s="5">
        <v>5</v>
      </c>
      <c r="F74" s="5">
        <v>2</v>
      </c>
      <c r="G74" s="5">
        <v>5</v>
      </c>
      <c r="H74" s="5">
        <v>7</v>
      </c>
      <c r="I74" s="5">
        <v>6</v>
      </c>
      <c r="J74" s="5">
        <v>6</v>
      </c>
      <c r="K74" s="5">
        <v>5</v>
      </c>
      <c r="L74" s="5">
        <v>1</v>
      </c>
      <c r="N74" s="146">
        <f>(C74/0.01)*10^($B$74)</f>
        <v>40000000</v>
      </c>
      <c r="O74" s="146">
        <f t="shared" ref="O74:W74" si="85">(D74/0.01)*10^($B$74)</f>
        <v>50000000</v>
      </c>
      <c r="P74" s="146">
        <f t="shared" si="85"/>
        <v>50000000</v>
      </c>
      <c r="Q74" s="146">
        <f t="shared" si="85"/>
        <v>20000000</v>
      </c>
      <c r="R74" s="146">
        <f t="shared" si="85"/>
        <v>50000000</v>
      </c>
      <c r="S74" s="146">
        <f t="shared" si="85"/>
        <v>70000000</v>
      </c>
      <c r="T74" s="146">
        <f t="shared" si="85"/>
        <v>60000000</v>
      </c>
      <c r="U74" s="146">
        <f t="shared" si="85"/>
        <v>60000000</v>
      </c>
      <c r="V74" s="146">
        <f t="shared" si="85"/>
        <v>50000000</v>
      </c>
      <c r="W74" s="146">
        <f t="shared" si="85"/>
        <v>10000000</v>
      </c>
      <c r="X74" s="146">
        <f t="shared" si="50"/>
        <v>46000000</v>
      </c>
      <c r="Y74" s="9" t="s">
        <v>100</v>
      </c>
    </row>
    <row r="75" spans="1:25" x14ac:dyDescent="0.25">
      <c r="A75" s="9" t="s">
        <v>101</v>
      </c>
      <c r="B75" s="5">
        <v>5</v>
      </c>
      <c r="C75" s="5">
        <v>6</v>
      </c>
      <c r="D75" s="5">
        <v>9</v>
      </c>
      <c r="E75" s="5">
        <v>2</v>
      </c>
      <c r="F75" s="5">
        <v>9</v>
      </c>
      <c r="G75" s="5">
        <v>11</v>
      </c>
      <c r="H75" s="5">
        <v>8</v>
      </c>
      <c r="I75" s="5">
        <v>4</v>
      </c>
      <c r="J75" s="5">
        <v>11</v>
      </c>
      <c r="K75" s="5">
        <v>4</v>
      </c>
      <c r="L75" s="5">
        <v>4</v>
      </c>
      <c r="N75" s="146">
        <f>(C75/0.01)*10^($B$75)</f>
        <v>60000000</v>
      </c>
      <c r="O75" s="146">
        <f t="shared" ref="O75:W75" si="86">(D75/0.01)*10^($B$75)</f>
        <v>90000000</v>
      </c>
      <c r="P75" s="146">
        <f t="shared" si="86"/>
        <v>20000000</v>
      </c>
      <c r="Q75" s="146">
        <f t="shared" si="86"/>
        <v>90000000</v>
      </c>
      <c r="R75" s="146">
        <f t="shared" si="86"/>
        <v>110000000</v>
      </c>
      <c r="S75" s="146">
        <f t="shared" si="86"/>
        <v>80000000</v>
      </c>
      <c r="T75" s="146">
        <f t="shared" si="86"/>
        <v>40000000</v>
      </c>
      <c r="U75" s="146">
        <f t="shared" si="86"/>
        <v>110000000</v>
      </c>
      <c r="V75" s="146">
        <f t="shared" si="86"/>
        <v>40000000</v>
      </c>
      <c r="W75" s="146">
        <f t="shared" si="86"/>
        <v>40000000</v>
      </c>
      <c r="X75" s="146">
        <f t="shared" si="50"/>
        <v>68000000</v>
      </c>
      <c r="Y75" s="9" t="s">
        <v>101</v>
      </c>
    </row>
    <row r="76" spans="1:25" x14ac:dyDescent="0.25">
      <c r="A76" s="9" t="s">
        <v>102</v>
      </c>
      <c r="B76" s="5">
        <v>5</v>
      </c>
      <c r="C76" s="5">
        <v>5</v>
      </c>
      <c r="D76" s="5">
        <v>7</v>
      </c>
      <c r="E76" s="5">
        <v>5</v>
      </c>
      <c r="F76" s="5">
        <v>7</v>
      </c>
      <c r="G76" s="5">
        <v>9</v>
      </c>
      <c r="H76" s="5">
        <v>9</v>
      </c>
      <c r="I76" s="5">
        <v>4</v>
      </c>
      <c r="J76" s="5">
        <v>5</v>
      </c>
      <c r="K76" s="5">
        <v>4</v>
      </c>
      <c r="L76" s="5">
        <v>12</v>
      </c>
      <c r="N76" s="146">
        <f>(C76/0.01)*10^($B$76)</f>
        <v>50000000</v>
      </c>
      <c r="O76" s="146">
        <f t="shared" ref="O76:W76" si="87">(D76/0.01)*10^($B$76)</f>
        <v>70000000</v>
      </c>
      <c r="P76" s="146">
        <f t="shared" si="87"/>
        <v>50000000</v>
      </c>
      <c r="Q76" s="146">
        <f t="shared" si="87"/>
        <v>70000000</v>
      </c>
      <c r="R76" s="146">
        <f t="shared" si="87"/>
        <v>90000000</v>
      </c>
      <c r="S76" s="146">
        <f t="shared" si="87"/>
        <v>90000000</v>
      </c>
      <c r="T76" s="146">
        <f t="shared" si="87"/>
        <v>40000000</v>
      </c>
      <c r="U76" s="146">
        <f t="shared" si="87"/>
        <v>50000000</v>
      </c>
      <c r="V76" s="146">
        <f t="shared" si="87"/>
        <v>40000000</v>
      </c>
      <c r="W76" s="146">
        <f t="shared" si="87"/>
        <v>120000000</v>
      </c>
      <c r="X76" s="146">
        <f t="shared" si="50"/>
        <v>67000000</v>
      </c>
      <c r="Y76" s="9" t="s">
        <v>102</v>
      </c>
    </row>
    <row r="77" spans="1:25" x14ac:dyDescent="0.25">
      <c r="A77" s="9" t="s">
        <v>103</v>
      </c>
      <c r="B77" s="5">
        <v>5</v>
      </c>
      <c r="C77" s="5">
        <v>4</v>
      </c>
      <c r="D77" s="5">
        <v>8</v>
      </c>
      <c r="E77" s="5">
        <v>2</v>
      </c>
      <c r="F77" s="5">
        <v>13</v>
      </c>
      <c r="G77" s="5">
        <v>3</v>
      </c>
      <c r="H77" s="5">
        <v>12</v>
      </c>
      <c r="I77" s="5">
        <v>7</v>
      </c>
      <c r="J77" s="5">
        <v>5</v>
      </c>
      <c r="K77" s="5">
        <v>5</v>
      </c>
      <c r="L77" s="5">
        <v>5</v>
      </c>
      <c r="N77" s="146">
        <f>(C77/0.01)*10^($B$77)</f>
        <v>40000000</v>
      </c>
      <c r="O77" s="146">
        <f t="shared" ref="O77:W77" si="88">(D77/0.01)*10^($B$77)</f>
        <v>80000000</v>
      </c>
      <c r="P77" s="146">
        <f t="shared" si="88"/>
        <v>20000000</v>
      </c>
      <c r="Q77" s="146">
        <f t="shared" si="88"/>
        <v>130000000</v>
      </c>
      <c r="R77" s="146">
        <f t="shared" si="88"/>
        <v>30000000</v>
      </c>
      <c r="S77" s="146">
        <f t="shared" si="88"/>
        <v>120000000</v>
      </c>
      <c r="T77" s="146">
        <f t="shared" si="88"/>
        <v>70000000</v>
      </c>
      <c r="U77" s="146">
        <f t="shared" si="88"/>
        <v>50000000</v>
      </c>
      <c r="V77" s="146">
        <f t="shared" si="88"/>
        <v>50000000</v>
      </c>
      <c r="W77" s="146">
        <f t="shared" si="88"/>
        <v>50000000</v>
      </c>
      <c r="X77" s="146">
        <f t="shared" si="50"/>
        <v>64000000</v>
      </c>
      <c r="Y77" s="9" t="s">
        <v>103</v>
      </c>
    </row>
    <row r="78" spans="1:25" x14ac:dyDescent="0.25">
      <c r="A78" s="9" t="s">
        <v>104</v>
      </c>
      <c r="B78" s="5">
        <v>5</v>
      </c>
      <c r="C78" s="5">
        <v>8</v>
      </c>
      <c r="D78" s="5">
        <v>13</v>
      </c>
      <c r="E78" s="5">
        <v>13</v>
      </c>
      <c r="F78" s="5">
        <v>8</v>
      </c>
      <c r="G78" s="5">
        <v>5</v>
      </c>
      <c r="H78" s="5">
        <v>13</v>
      </c>
      <c r="I78" s="5">
        <v>13</v>
      </c>
      <c r="J78" s="5">
        <v>13</v>
      </c>
      <c r="K78" s="5">
        <v>13</v>
      </c>
      <c r="L78" s="5">
        <v>8</v>
      </c>
      <c r="N78" s="146">
        <f>(C78/0.01)*10^($B$78)</f>
        <v>80000000</v>
      </c>
      <c r="O78" s="146">
        <f t="shared" ref="O78:W78" si="89">(D78/0.01)*10^($B$78)</f>
        <v>130000000</v>
      </c>
      <c r="P78" s="146">
        <f t="shared" si="89"/>
        <v>130000000</v>
      </c>
      <c r="Q78" s="146">
        <f t="shared" si="89"/>
        <v>80000000</v>
      </c>
      <c r="R78" s="146">
        <f t="shared" si="89"/>
        <v>50000000</v>
      </c>
      <c r="S78" s="146">
        <f t="shared" si="89"/>
        <v>130000000</v>
      </c>
      <c r="T78" s="146">
        <f t="shared" si="89"/>
        <v>130000000</v>
      </c>
      <c r="U78" s="146">
        <f t="shared" si="89"/>
        <v>130000000</v>
      </c>
      <c r="V78" s="146">
        <f t="shared" si="89"/>
        <v>130000000</v>
      </c>
      <c r="W78" s="146">
        <f t="shared" si="89"/>
        <v>80000000</v>
      </c>
      <c r="X78" s="146">
        <f t="shared" si="50"/>
        <v>107000000</v>
      </c>
      <c r="Y78" s="9" t="s">
        <v>104</v>
      </c>
    </row>
    <row r="79" spans="1:25" x14ac:dyDescent="0.25">
      <c r="A79" s="9" t="s">
        <v>105</v>
      </c>
      <c r="B79" s="5">
        <v>5</v>
      </c>
      <c r="C79" s="5">
        <v>8</v>
      </c>
      <c r="D79" s="5">
        <v>11</v>
      </c>
      <c r="E79" s="5">
        <v>7</v>
      </c>
      <c r="F79" s="5">
        <v>10</v>
      </c>
      <c r="G79" s="5">
        <v>10</v>
      </c>
      <c r="H79" s="5">
        <v>11</v>
      </c>
      <c r="I79" s="5">
        <v>12</v>
      </c>
      <c r="J79" s="5">
        <v>13</v>
      </c>
      <c r="K79" s="5">
        <v>10</v>
      </c>
      <c r="L79" s="5">
        <v>6</v>
      </c>
      <c r="N79" s="146">
        <f>(C79/0.01)*10^($B$79)</f>
        <v>80000000</v>
      </c>
      <c r="O79" s="146">
        <f t="shared" ref="O79:W79" si="90">(D79/0.01)*10^($B$79)</f>
        <v>110000000</v>
      </c>
      <c r="P79" s="146">
        <f t="shared" si="90"/>
        <v>70000000</v>
      </c>
      <c r="Q79" s="146">
        <f t="shared" si="90"/>
        <v>100000000</v>
      </c>
      <c r="R79" s="146">
        <f t="shared" si="90"/>
        <v>100000000</v>
      </c>
      <c r="S79" s="146">
        <f t="shared" si="90"/>
        <v>110000000</v>
      </c>
      <c r="T79" s="146">
        <f t="shared" si="90"/>
        <v>120000000</v>
      </c>
      <c r="U79" s="146">
        <f t="shared" si="90"/>
        <v>130000000</v>
      </c>
      <c r="V79" s="146">
        <f t="shared" si="90"/>
        <v>100000000</v>
      </c>
      <c r="W79" s="146">
        <f t="shared" si="90"/>
        <v>60000000</v>
      </c>
      <c r="X79" s="146">
        <f t="shared" si="50"/>
        <v>98000000</v>
      </c>
      <c r="Y79" s="9" t="s">
        <v>105</v>
      </c>
    </row>
    <row r="80" spans="1:25" x14ac:dyDescent="0.25">
      <c r="A80" s="9" t="s">
        <v>106</v>
      </c>
      <c r="B80" s="5">
        <v>5</v>
      </c>
      <c r="C80" s="5">
        <v>11</v>
      </c>
      <c r="D80" s="5">
        <v>12</v>
      </c>
      <c r="E80" s="5">
        <v>2</v>
      </c>
      <c r="F80" s="5">
        <v>12</v>
      </c>
      <c r="G80" s="5">
        <v>10</v>
      </c>
      <c r="H80" s="5">
        <v>13</v>
      </c>
      <c r="I80" s="5">
        <v>14</v>
      </c>
      <c r="J80" s="5">
        <v>12</v>
      </c>
      <c r="K80" s="5">
        <v>5</v>
      </c>
      <c r="L80" s="5">
        <v>14</v>
      </c>
      <c r="N80" s="146">
        <f>(C80/0.01)*10^($B$80)</f>
        <v>110000000</v>
      </c>
      <c r="O80" s="146">
        <f t="shared" ref="O80:W80" si="91">(D80/0.01)*10^($B$80)</f>
        <v>120000000</v>
      </c>
      <c r="P80" s="146">
        <f t="shared" si="91"/>
        <v>20000000</v>
      </c>
      <c r="Q80" s="146">
        <f t="shared" si="91"/>
        <v>120000000</v>
      </c>
      <c r="R80" s="146">
        <f t="shared" si="91"/>
        <v>100000000</v>
      </c>
      <c r="S80" s="146">
        <f t="shared" si="91"/>
        <v>130000000</v>
      </c>
      <c r="T80" s="146">
        <f t="shared" si="91"/>
        <v>140000000</v>
      </c>
      <c r="U80" s="146">
        <f t="shared" si="91"/>
        <v>120000000</v>
      </c>
      <c r="V80" s="146">
        <f t="shared" si="91"/>
        <v>50000000</v>
      </c>
      <c r="W80" s="146">
        <f t="shared" si="91"/>
        <v>140000000</v>
      </c>
      <c r="X80" s="146">
        <f t="shared" si="50"/>
        <v>105000000</v>
      </c>
      <c r="Y80" s="9" t="s">
        <v>106</v>
      </c>
    </row>
    <row r="81" spans="1:25" x14ac:dyDescent="0.25">
      <c r="A81" s="9" t="s">
        <v>107</v>
      </c>
      <c r="B81" s="5">
        <v>5</v>
      </c>
      <c r="C81" s="5">
        <v>12</v>
      </c>
      <c r="D81" s="5">
        <v>17</v>
      </c>
      <c r="E81" s="5">
        <v>12</v>
      </c>
      <c r="F81" s="5">
        <v>16</v>
      </c>
      <c r="G81" s="5">
        <v>11</v>
      </c>
      <c r="H81" s="5">
        <v>8</v>
      </c>
      <c r="I81" s="5">
        <v>13</v>
      </c>
      <c r="J81" s="5">
        <v>12</v>
      </c>
      <c r="K81" s="5">
        <v>12</v>
      </c>
      <c r="L81" s="5">
        <v>18</v>
      </c>
      <c r="N81" s="146">
        <f>(C81/0.01)*10^($B$81)</f>
        <v>120000000</v>
      </c>
      <c r="O81" s="146">
        <f t="shared" ref="O81:W81" si="92">(D81/0.01)*10^($B$81)</f>
        <v>170000000</v>
      </c>
      <c r="P81" s="146">
        <f t="shared" si="92"/>
        <v>120000000</v>
      </c>
      <c r="Q81" s="146">
        <f t="shared" si="92"/>
        <v>160000000</v>
      </c>
      <c r="R81" s="146">
        <f t="shared" si="92"/>
        <v>110000000</v>
      </c>
      <c r="S81" s="146">
        <f t="shared" si="92"/>
        <v>80000000</v>
      </c>
      <c r="T81" s="146">
        <f t="shared" si="92"/>
        <v>130000000</v>
      </c>
      <c r="U81" s="146">
        <f t="shared" si="92"/>
        <v>120000000</v>
      </c>
      <c r="V81" s="146">
        <f t="shared" si="92"/>
        <v>120000000</v>
      </c>
      <c r="W81" s="146">
        <f t="shared" si="92"/>
        <v>180000000</v>
      </c>
      <c r="X81" s="146">
        <f t="shared" si="50"/>
        <v>131000000</v>
      </c>
      <c r="Y81" s="9" t="s">
        <v>107</v>
      </c>
    </row>
    <row r="82" spans="1:25" x14ac:dyDescent="0.25">
      <c r="A82" s="9" t="s">
        <v>108</v>
      </c>
      <c r="B82" s="5">
        <v>5</v>
      </c>
      <c r="C82" s="5">
        <v>15</v>
      </c>
      <c r="D82" s="5">
        <v>12</v>
      </c>
      <c r="E82" s="5">
        <v>12</v>
      </c>
      <c r="F82" s="5">
        <v>18</v>
      </c>
      <c r="G82" s="5">
        <v>7</v>
      </c>
      <c r="H82" s="5">
        <v>9</v>
      </c>
      <c r="I82" s="5">
        <v>15</v>
      </c>
      <c r="J82" s="5">
        <v>16</v>
      </c>
      <c r="K82" s="5">
        <v>14</v>
      </c>
      <c r="L82" s="5">
        <v>10</v>
      </c>
      <c r="N82" s="146">
        <f>(C82/0.01)*10^($B$82)</f>
        <v>150000000</v>
      </c>
      <c r="O82" s="146">
        <f t="shared" ref="O82:W82" si="93">(D82/0.01)*10^($B$82)</f>
        <v>120000000</v>
      </c>
      <c r="P82" s="146">
        <f t="shared" si="93"/>
        <v>120000000</v>
      </c>
      <c r="Q82" s="146">
        <f t="shared" si="93"/>
        <v>180000000</v>
      </c>
      <c r="R82" s="146">
        <f t="shared" si="93"/>
        <v>70000000</v>
      </c>
      <c r="S82" s="146">
        <f t="shared" si="93"/>
        <v>90000000</v>
      </c>
      <c r="T82" s="146">
        <f t="shared" si="93"/>
        <v>150000000</v>
      </c>
      <c r="U82" s="146">
        <f t="shared" si="93"/>
        <v>160000000</v>
      </c>
      <c r="V82" s="146">
        <f t="shared" si="93"/>
        <v>140000000</v>
      </c>
      <c r="W82" s="146">
        <f t="shared" si="93"/>
        <v>100000000</v>
      </c>
      <c r="X82" s="146">
        <f t="shared" si="50"/>
        <v>128000000</v>
      </c>
      <c r="Y82" s="9" t="s">
        <v>108</v>
      </c>
    </row>
    <row r="83" spans="1:25" x14ac:dyDescent="0.25">
      <c r="A83" s="9" t="s">
        <v>109</v>
      </c>
      <c r="B83" s="5">
        <v>5</v>
      </c>
      <c r="C83" s="5">
        <v>8</v>
      </c>
      <c r="D83" s="5">
        <v>14</v>
      </c>
      <c r="E83" s="5">
        <v>13</v>
      </c>
      <c r="F83" s="5">
        <v>16</v>
      </c>
      <c r="G83" s="5">
        <v>22</v>
      </c>
      <c r="H83" s="5">
        <v>18</v>
      </c>
      <c r="I83" s="5">
        <v>14</v>
      </c>
      <c r="J83" s="5">
        <v>5</v>
      </c>
      <c r="K83" s="5">
        <v>19</v>
      </c>
      <c r="L83" s="5">
        <v>11</v>
      </c>
      <c r="N83" s="146">
        <f>(C83/0.01)*10^($B$83)</f>
        <v>80000000</v>
      </c>
      <c r="O83" s="146">
        <f t="shared" ref="O83:W83" si="94">(D83/0.01)*10^($B$83)</f>
        <v>140000000</v>
      </c>
      <c r="P83" s="146">
        <f t="shared" si="94"/>
        <v>130000000</v>
      </c>
      <c r="Q83" s="146">
        <f t="shared" si="94"/>
        <v>160000000</v>
      </c>
      <c r="R83" s="146">
        <f t="shared" si="94"/>
        <v>220000000</v>
      </c>
      <c r="S83" s="146">
        <f t="shared" si="94"/>
        <v>180000000</v>
      </c>
      <c r="T83" s="146">
        <f t="shared" si="94"/>
        <v>140000000</v>
      </c>
      <c r="U83" s="146">
        <f t="shared" si="94"/>
        <v>50000000</v>
      </c>
      <c r="V83" s="146">
        <f t="shared" si="94"/>
        <v>190000000</v>
      </c>
      <c r="W83" s="146">
        <f t="shared" si="94"/>
        <v>110000000</v>
      </c>
      <c r="X83" s="146">
        <f t="shared" si="50"/>
        <v>140000000</v>
      </c>
      <c r="Y83" s="9" t="s">
        <v>109</v>
      </c>
    </row>
    <row r="84" spans="1:25" x14ac:dyDescent="0.25"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</row>
  </sheetData>
  <mergeCells count="8">
    <mergeCell ref="AL5:AP5"/>
    <mergeCell ref="AQ5:AU5"/>
    <mergeCell ref="D5:I5"/>
    <mergeCell ref="J5:O5"/>
    <mergeCell ref="P5:U5"/>
    <mergeCell ref="V5:AA5"/>
    <mergeCell ref="AB5:AF5"/>
    <mergeCell ref="AG5:AK5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68D79-29D3-435A-B547-0EEA6B48AFB9}">
  <dimension ref="A1:AV81"/>
  <sheetViews>
    <sheetView workbookViewId="0"/>
  </sheetViews>
  <sheetFormatPr defaultColWidth="8.7109375" defaultRowHeight="15" x14ac:dyDescent="0.25"/>
  <cols>
    <col min="1" max="1" width="8.7109375" style="5"/>
    <col min="2" max="2" width="13.85546875" style="5" customWidth="1"/>
    <col min="3" max="13" width="8.7109375" style="5"/>
    <col min="14" max="14" width="10" style="5" customWidth="1"/>
    <col min="15" max="15" width="8.7109375" style="5"/>
    <col min="16" max="18" width="10" style="5" bestFit="1" customWidth="1"/>
    <col min="19" max="20" width="8.7109375" style="5"/>
    <col min="21" max="23" width="10" style="5" bestFit="1" customWidth="1"/>
    <col min="24" max="16384" width="8.7109375" style="5"/>
  </cols>
  <sheetData>
    <row r="1" spans="1:47" x14ac:dyDescent="0.25">
      <c r="A1" s="8" t="s">
        <v>201</v>
      </c>
      <c r="D1" s="5">
        <v>20170208</v>
      </c>
    </row>
    <row r="2" spans="1:47" x14ac:dyDescent="0.25">
      <c r="A2" s="9" t="s">
        <v>196</v>
      </c>
      <c r="H2" s="10"/>
    </row>
    <row r="3" spans="1:47" x14ac:dyDescent="0.25">
      <c r="A3" s="9" t="s">
        <v>39</v>
      </c>
    </row>
    <row r="4" spans="1:47" x14ac:dyDescent="0.25">
      <c r="C4" s="59"/>
      <c r="D4" s="383" t="s">
        <v>12</v>
      </c>
      <c r="E4" s="383"/>
      <c r="F4" s="383"/>
      <c r="G4" s="383"/>
      <c r="H4" s="383"/>
      <c r="I4" s="384"/>
      <c r="J4" s="383" t="s">
        <v>5</v>
      </c>
      <c r="K4" s="383"/>
      <c r="L4" s="383"/>
      <c r="M4" s="383"/>
      <c r="N4" s="383"/>
      <c r="O4" s="384"/>
      <c r="P4" s="382" t="s">
        <v>13</v>
      </c>
      <c r="Q4" s="383"/>
      <c r="R4" s="383"/>
      <c r="S4" s="383"/>
      <c r="T4" s="383"/>
      <c r="U4" s="384"/>
      <c r="V4" s="382" t="s">
        <v>14</v>
      </c>
      <c r="W4" s="385"/>
      <c r="X4" s="385"/>
      <c r="Y4" s="385"/>
      <c r="Z4" s="385"/>
      <c r="AA4" s="384"/>
      <c r="AB4" s="382" t="s">
        <v>198</v>
      </c>
      <c r="AC4" s="383"/>
      <c r="AD4" s="383"/>
      <c r="AE4" s="383"/>
      <c r="AF4" s="384"/>
      <c r="AG4" s="382" t="s">
        <v>84</v>
      </c>
      <c r="AH4" s="383"/>
      <c r="AI4" s="383"/>
      <c r="AJ4" s="383"/>
      <c r="AK4" s="384"/>
      <c r="AL4" s="382" t="s">
        <v>199</v>
      </c>
      <c r="AM4" s="383"/>
      <c r="AN4" s="383"/>
      <c r="AO4" s="383"/>
      <c r="AP4" s="384"/>
      <c r="AQ4" s="383" t="s">
        <v>86</v>
      </c>
      <c r="AR4" s="383"/>
      <c r="AS4" s="383"/>
      <c r="AT4" s="383"/>
      <c r="AU4" s="384"/>
    </row>
    <row r="5" spans="1:47" x14ac:dyDescent="0.25">
      <c r="B5" s="9" t="s">
        <v>15</v>
      </c>
      <c r="C5" s="190" t="s">
        <v>16</v>
      </c>
      <c r="D5" s="13">
        <v>1</v>
      </c>
      <c r="E5" s="13">
        <v>2</v>
      </c>
      <c r="F5" s="13">
        <v>3</v>
      </c>
      <c r="G5" s="13" t="s">
        <v>4</v>
      </c>
      <c r="H5" s="14" t="s">
        <v>17</v>
      </c>
      <c r="I5" s="15" t="s">
        <v>18</v>
      </c>
      <c r="J5" s="13">
        <v>1</v>
      </c>
      <c r="K5" s="13">
        <v>2</v>
      </c>
      <c r="L5" s="13">
        <v>3</v>
      </c>
      <c r="M5" s="13" t="s">
        <v>4</v>
      </c>
      <c r="N5" s="14" t="s">
        <v>17</v>
      </c>
      <c r="O5" s="15" t="s">
        <v>18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5" t="s">
        <v>18</v>
      </c>
      <c r="V5" s="12">
        <v>1</v>
      </c>
      <c r="W5" s="13">
        <v>2</v>
      </c>
      <c r="X5" s="13">
        <v>3</v>
      </c>
      <c r="Y5" s="13" t="s">
        <v>4</v>
      </c>
      <c r="Z5" s="14" t="s">
        <v>17</v>
      </c>
      <c r="AA5" s="15" t="s">
        <v>18</v>
      </c>
      <c r="AB5" s="12">
        <v>1</v>
      </c>
      <c r="AC5" s="13">
        <v>2</v>
      </c>
      <c r="AD5" s="13">
        <v>3</v>
      </c>
      <c r="AE5" s="14" t="s">
        <v>17</v>
      </c>
      <c r="AF5" s="15" t="s">
        <v>18</v>
      </c>
      <c r="AG5" s="12">
        <v>1</v>
      </c>
      <c r="AH5" s="13">
        <v>2</v>
      </c>
      <c r="AI5" s="13">
        <v>3</v>
      </c>
      <c r="AJ5" s="14" t="s">
        <v>17</v>
      </c>
      <c r="AK5" s="15" t="s">
        <v>18</v>
      </c>
      <c r="AL5" s="12">
        <v>1</v>
      </c>
      <c r="AM5" s="13">
        <v>2</v>
      </c>
      <c r="AN5" s="13">
        <v>3</v>
      </c>
      <c r="AO5" s="14" t="s">
        <v>17</v>
      </c>
      <c r="AP5" s="15" t="s">
        <v>18</v>
      </c>
      <c r="AQ5" s="13">
        <v>1</v>
      </c>
      <c r="AR5" s="13">
        <v>2</v>
      </c>
      <c r="AS5" s="13">
        <v>3</v>
      </c>
      <c r="AT5" s="14" t="s">
        <v>17</v>
      </c>
      <c r="AU5" s="15" t="s">
        <v>18</v>
      </c>
    </row>
    <row r="6" spans="1:47" x14ac:dyDescent="0.25">
      <c r="A6" s="5" t="s">
        <v>19</v>
      </c>
      <c r="B6" s="17">
        <v>42774.295138888891</v>
      </c>
      <c r="C6" s="117">
        <f>(B6-$B$6)*24</f>
        <v>0</v>
      </c>
      <c r="D6" s="20">
        <v>4.3999999999999997E-2</v>
      </c>
      <c r="E6" s="20">
        <v>4.2999999999999997E-2</v>
      </c>
      <c r="F6" s="20">
        <v>4.2000000000000003E-2</v>
      </c>
      <c r="G6" s="20">
        <v>0</v>
      </c>
      <c r="H6" s="21">
        <f>AVERAGE(D6:F6)</f>
        <v>4.3000000000000003E-2</v>
      </c>
      <c r="I6" s="22">
        <f>STDEV(D6:F6)</f>
        <v>9.9999999999999742E-4</v>
      </c>
      <c r="J6" s="24">
        <v>6.48</v>
      </c>
      <c r="K6" s="24">
        <v>6.5</v>
      </c>
      <c r="L6" s="24">
        <v>6.49</v>
      </c>
      <c r="M6" s="24">
        <v>6.53</v>
      </c>
      <c r="N6" s="25">
        <f>AVERAGE(J6:L6)</f>
        <v>6.4899999999999993</v>
      </c>
      <c r="O6" s="26">
        <f>STDEV(J6:L6)</f>
        <v>9.9999999999997868E-3</v>
      </c>
      <c r="P6" s="84"/>
      <c r="Q6" s="49"/>
      <c r="R6" s="49"/>
      <c r="S6" s="49"/>
      <c r="T6" s="85"/>
      <c r="U6" s="86"/>
      <c r="Z6" s="81"/>
      <c r="AA6" s="81"/>
      <c r="AB6" s="133">
        <f>X44</f>
        <v>25100000</v>
      </c>
      <c r="AC6" s="134">
        <f>X45</f>
        <v>23400000</v>
      </c>
      <c r="AD6" s="134">
        <f>X46</f>
        <v>22000000</v>
      </c>
      <c r="AE6" s="135">
        <f>AVERAGE(AB6:AD6)</f>
        <v>23500000</v>
      </c>
      <c r="AF6" s="136">
        <f>STDEV(AB6:AD6)</f>
        <v>1552417.4696260025</v>
      </c>
      <c r="AG6" s="133">
        <f>X64</f>
        <v>50000000</v>
      </c>
      <c r="AH6" s="134">
        <f>X65</f>
        <v>51000000</v>
      </c>
      <c r="AI6" s="134">
        <f>X66</f>
        <v>61000000</v>
      </c>
      <c r="AJ6" s="135">
        <f>AVERAGE(AG6:AI6)</f>
        <v>54000000</v>
      </c>
      <c r="AK6" s="136">
        <f>STDEV(AG6:AI6)</f>
        <v>6082762.53029822</v>
      </c>
      <c r="AL6" s="23">
        <f>AB6/(AB6+AG6)</f>
        <v>0.33422103861517977</v>
      </c>
      <c r="AM6" s="24">
        <f t="shared" ref="AM6:AN11" si="0">AC6/(AC6+AH6)</f>
        <v>0.31451612903225806</v>
      </c>
      <c r="AN6" s="24">
        <f t="shared" si="0"/>
        <v>0.26506024096385544</v>
      </c>
      <c r="AO6" s="25">
        <f>AVERAGE(AL6:AN6)</f>
        <v>0.30459913620376439</v>
      </c>
      <c r="AP6" s="26">
        <f>STDEV(AL6:AN6)</f>
        <v>3.5630942213364956E-2</v>
      </c>
      <c r="AQ6" s="24">
        <f>AG6/(AB6+AG6)</f>
        <v>0.66577896138482029</v>
      </c>
      <c r="AR6" s="24">
        <f t="shared" ref="AR6:AS11" si="1">AH6/(AC6+AH6)</f>
        <v>0.68548387096774188</v>
      </c>
      <c r="AS6" s="24">
        <f t="shared" si="1"/>
        <v>0.73493975903614461</v>
      </c>
      <c r="AT6" s="25">
        <f>AVERAGE(AQ6:AS6)</f>
        <v>0.69540086379623567</v>
      </c>
      <c r="AU6" s="26">
        <f>STDEV(AQ6:AS6)</f>
        <v>3.563094221336497E-2</v>
      </c>
    </row>
    <row r="7" spans="1:47" x14ac:dyDescent="0.25">
      <c r="A7" s="5" t="s">
        <v>20</v>
      </c>
      <c r="B7" s="17">
        <v>42774.363194444442</v>
      </c>
      <c r="C7" s="112">
        <f t="shared" ref="C7:C13" si="2">(B7-$B$6)*24</f>
        <v>1.6333333332440816</v>
      </c>
      <c r="D7" s="30">
        <v>5.3999999999999999E-2</v>
      </c>
      <c r="E7" s="30">
        <v>4.7E-2</v>
      </c>
      <c r="F7" s="30">
        <v>5.1999999999999998E-2</v>
      </c>
      <c r="G7" s="30">
        <v>0</v>
      </c>
      <c r="H7" s="31">
        <f t="shared" ref="H7:H13" si="3">AVERAGE(D7:F7)</f>
        <v>5.0999999999999997E-2</v>
      </c>
      <c r="I7" s="32">
        <f t="shared" ref="I7:I13" si="4">STDEV(D7:F7)</f>
        <v>3.6055512754639887E-3</v>
      </c>
      <c r="J7" s="34">
        <v>6.39</v>
      </c>
      <c r="K7" s="34">
        <v>6.44</v>
      </c>
      <c r="L7" s="34">
        <v>6.44</v>
      </c>
      <c r="M7" s="34">
        <v>6.54</v>
      </c>
      <c r="N7" s="35">
        <f t="shared" ref="N7:N12" si="5">AVERAGE(J7:L7)</f>
        <v>6.4233333333333329</v>
      </c>
      <c r="O7" s="36">
        <f t="shared" ref="O7:O12" si="6">STDEV(J7:L7)</f>
        <v>2.88675134594817E-2</v>
      </c>
      <c r="P7" s="115">
        <v>27.538525518563581</v>
      </c>
      <c r="Q7" s="115">
        <v>28.623210455780903</v>
      </c>
      <c r="R7" s="115">
        <v>28.710783613283205</v>
      </c>
      <c r="S7" s="115">
        <v>28.765577587233231</v>
      </c>
      <c r="T7" s="35">
        <f>AVERAGE(P7:R7)</f>
        <v>28.290839862542565</v>
      </c>
      <c r="U7" s="36">
        <f>STDEV(P7:R7)</f>
        <v>0.65299304636123423</v>
      </c>
      <c r="V7" s="143" t="s">
        <v>21</v>
      </c>
      <c r="W7" s="143" t="s">
        <v>21</v>
      </c>
      <c r="X7" s="143" t="s">
        <v>21</v>
      </c>
      <c r="Y7" s="143" t="s">
        <v>21</v>
      </c>
      <c r="Z7" s="138"/>
      <c r="AA7" s="138"/>
      <c r="AB7" s="139">
        <f>X47</f>
        <v>36000000</v>
      </c>
      <c r="AC7" s="140">
        <f>X48</f>
        <v>26000000</v>
      </c>
      <c r="AD7" s="140">
        <f>X49</f>
        <v>29000000</v>
      </c>
      <c r="AE7" s="141">
        <f t="shared" ref="AE7:AE11" si="7">AVERAGE(AB7:AD7)</f>
        <v>30333333.333333332</v>
      </c>
      <c r="AF7" s="142">
        <f t="shared" ref="AF7:AF11" si="8">STDEV(AB7:AD7)</f>
        <v>5131601.4394468758</v>
      </c>
      <c r="AG7" s="139">
        <f>X67</f>
        <v>48000000</v>
      </c>
      <c r="AH7" s="140">
        <f>X68</f>
        <v>58000000</v>
      </c>
      <c r="AI7" s="140">
        <f>X69</f>
        <v>51000000</v>
      </c>
      <c r="AJ7" s="141">
        <f t="shared" ref="AJ7:AJ11" si="9">AVERAGE(AG7:AI7)</f>
        <v>52333333.333333336</v>
      </c>
      <c r="AK7" s="142">
        <f t="shared" ref="AK7:AK11" si="10">STDEV(AG7:AI7)</f>
        <v>5131601.4394468842</v>
      </c>
      <c r="AL7" s="33">
        <f t="shared" ref="AL7:AL11" si="11">AB7/(AB7+AG7)</f>
        <v>0.42857142857142855</v>
      </c>
      <c r="AM7" s="34">
        <f t="shared" si="0"/>
        <v>0.30952380952380953</v>
      </c>
      <c r="AN7" s="34">
        <f t="shared" si="0"/>
        <v>0.36249999999999999</v>
      </c>
      <c r="AO7" s="35">
        <f t="shared" ref="AO7:AO11" si="12">AVERAGE(AL7:AN7)</f>
        <v>0.36686507936507939</v>
      </c>
      <c r="AP7" s="36">
        <f t="shared" ref="AP7:AP11" si="13">STDEV(AL7:AN7)</f>
        <v>5.9643728409819165E-2</v>
      </c>
      <c r="AQ7" s="34">
        <f t="shared" ref="AQ7:AQ11" si="14">AG7/(AB7+AG7)</f>
        <v>0.5714285714285714</v>
      </c>
      <c r="AR7" s="34">
        <f t="shared" si="1"/>
        <v>0.69047619047619047</v>
      </c>
      <c r="AS7" s="34">
        <f t="shared" si="1"/>
        <v>0.63749999999999996</v>
      </c>
      <c r="AT7" s="35">
        <f t="shared" ref="AT7:AT11" si="15">AVERAGE(AQ7:AS7)</f>
        <v>0.63313492063492061</v>
      </c>
      <c r="AU7" s="36">
        <f t="shared" ref="AU7:AU11" si="16">STDEV(AQ7:AS7)</f>
        <v>5.9643728409819755E-2</v>
      </c>
    </row>
    <row r="8" spans="1:47" x14ac:dyDescent="0.25">
      <c r="A8" s="5" t="s">
        <v>22</v>
      </c>
      <c r="B8" s="17">
        <v>42774.443749999999</v>
      </c>
      <c r="C8" s="112">
        <f t="shared" si="2"/>
        <v>3.566666666592937</v>
      </c>
      <c r="D8" s="30">
        <v>8.5000000000000006E-2</v>
      </c>
      <c r="E8" s="30">
        <v>6.7000000000000004E-2</v>
      </c>
      <c r="F8" s="30">
        <v>7.4999999999999997E-2</v>
      </c>
      <c r="G8" s="30">
        <v>0</v>
      </c>
      <c r="H8" s="31">
        <f t="shared" si="3"/>
        <v>7.5666666666666674E-2</v>
      </c>
      <c r="I8" s="32">
        <f t="shared" si="4"/>
        <v>9.0184995056457901E-3</v>
      </c>
      <c r="J8" s="34">
        <v>6.27</v>
      </c>
      <c r="K8" s="34">
        <v>6.4</v>
      </c>
      <c r="L8" s="34">
        <v>6.35</v>
      </c>
      <c r="M8" s="34">
        <v>6.54</v>
      </c>
      <c r="N8" s="35">
        <f t="shared" si="5"/>
        <v>6.34</v>
      </c>
      <c r="O8" s="36">
        <f t="shared" si="6"/>
        <v>6.5574385243020367E-2</v>
      </c>
      <c r="P8" s="33"/>
      <c r="Q8" s="34"/>
      <c r="R8" s="34"/>
      <c r="S8" s="34"/>
      <c r="T8" s="35"/>
      <c r="U8" s="36"/>
      <c r="V8" s="143"/>
      <c r="W8" s="143"/>
      <c r="X8" s="143"/>
      <c r="Y8" s="143"/>
      <c r="Z8" s="138"/>
      <c r="AA8" s="138"/>
      <c r="AB8" s="139">
        <f>X50</f>
        <v>48000000</v>
      </c>
      <c r="AC8" s="140">
        <f>X51</f>
        <v>26000000</v>
      </c>
      <c r="AD8" s="140">
        <f>X52</f>
        <v>35000000</v>
      </c>
      <c r="AE8" s="141">
        <f t="shared" si="7"/>
        <v>36333333.333333336</v>
      </c>
      <c r="AF8" s="142">
        <f t="shared" si="8"/>
        <v>11060440.015358035</v>
      </c>
      <c r="AG8" s="139">
        <f>X70</f>
        <v>70000000</v>
      </c>
      <c r="AH8" s="140">
        <f>X71</f>
        <v>69000000</v>
      </c>
      <c r="AI8" s="140">
        <f>X72</f>
        <v>59000000</v>
      </c>
      <c r="AJ8" s="141">
        <f t="shared" si="9"/>
        <v>66000000</v>
      </c>
      <c r="AK8" s="142">
        <f t="shared" si="10"/>
        <v>6082762.53029822</v>
      </c>
      <c r="AL8" s="33">
        <f t="shared" si="11"/>
        <v>0.40677966101694918</v>
      </c>
      <c r="AM8" s="34">
        <f t="shared" si="0"/>
        <v>0.27368421052631581</v>
      </c>
      <c r="AN8" s="34">
        <f t="shared" si="0"/>
        <v>0.37234042553191488</v>
      </c>
      <c r="AO8" s="35">
        <f t="shared" si="12"/>
        <v>0.3509347656917266</v>
      </c>
      <c r="AP8" s="36">
        <f t="shared" si="13"/>
        <v>6.9081484062095536E-2</v>
      </c>
      <c r="AQ8" s="34">
        <f t="shared" si="14"/>
        <v>0.59322033898305082</v>
      </c>
      <c r="AR8" s="34">
        <f t="shared" si="1"/>
        <v>0.72631578947368425</v>
      </c>
      <c r="AS8" s="34">
        <f t="shared" si="1"/>
        <v>0.62765957446808507</v>
      </c>
      <c r="AT8" s="35">
        <f t="shared" si="15"/>
        <v>0.64906523430827334</v>
      </c>
      <c r="AU8" s="36">
        <f t="shared" si="16"/>
        <v>6.908148406209548E-2</v>
      </c>
    </row>
    <row r="9" spans="1:47" x14ac:dyDescent="0.25">
      <c r="A9" s="5" t="s">
        <v>23</v>
      </c>
      <c r="B9" s="17">
        <v>42774.517361111109</v>
      </c>
      <c r="C9" s="112">
        <f t="shared" si="2"/>
        <v>5.3333333332557231</v>
      </c>
      <c r="D9" s="30">
        <v>0.151</v>
      </c>
      <c r="E9" s="30">
        <v>0.106</v>
      </c>
      <c r="F9" s="30">
        <v>0.128</v>
      </c>
      <c r="G9" s="30">
        <v>0</v>
      </c>
      <c r="H9" s="31">
        <f t="shared" si="3"/>
        <v>0.12833333333333333</v>
      </c>
      <c r="I9" s="32">
        <f t="shared" si="4"/>
        <v>2.2501851775650172E-2</v>
      </c>
      <c r="J9" s="34">
        <v>5.82</v>
      </c>
      <c r="K9" s="34">
        <v>6.18</v>
      </c>
      <c r="L9" s="34">
        <v>6</v>
      </c>
      <c r="M9" s="34">
        <v>6.52</v>
      </c>
      <c r="N9" s="35">
        <f t="shared" si="5"/>
        <v>6</v>
      </c>
      <c r="O9" s="36">
        <f t="shared" si="6"/>
        <v>0.17999999999999972</v>
      </c>
      <c r="P9" s="33"/>
      <c r="Q9" s="34"/>
      <c r="R9" s="34"/>
      <c r="S9" s="34"/>
      <c r="T9" s="35"/>
      <c r="U9" s="36"/>
      <c r="V9" s="143"/>
      <c r="W9" s="143"/>
      <c r="X9" s="143"/>
      <c r="Y9" s="143"/>
      <c r="Z9" s="138"/>
      <c r="AA9" s="138"/>
      <c r="AB9" s="139">
        <f>X53</f>
        <v>104000000</v>
      </c>
      <c r="AC9" s="140">
        <f>X54</f>
        <v>63000000</v>
      </c>
      <c r="AD9" s="140">
        <f>X55</f>
        <v>66000000</v>
      </c>
      <c r="AE9" s="141">
        <f t="shared" si="7"/>
        <v>77666666.666666672</v>
      </c>
      <c r="AF9" s="142">
        <f t="shared" si="8"/>
        <v>22854612.955229279</v>
      </c>
      <c r="AG9" s="139">
        <f>X73</f>
        <v>75000000</v>
      </c>
      <c r="AH9" s="140">
        <f>X74</f>
        <v>94000000</v>
      </c>
      <c r="AI9" s="140">
        <f>X75</f>
        <v>85000000</v>
      </c>
      <c r="AJ9" s="141">
        <f t="shared" si="9"/>
        <v>84666666.666666672</v>
      </c>
      <c r="AK9" s="142">
        <f t="shared" si="10"/>
        <v>9504384.9529221691</v>
      </c>
      <c r="AL9" s="33">
        <f t="shared" si="11"/>
        <v>0.58100558659217882</v>
      </c>
      <c r="AM9" s="34">
        <f t="shared" si="0"/>
        <v>0.40127388535031849</v>
      </c>
      <c r="AN9" s="34">
        <f t="shared" si="0"/>
        <v>0.4370860927152318</v>
      </c>
      <c r="AO9" s="35">
        <f t="shared" si="12"/>
        <v>0.47312185488590969</v>
      </c>
      <c r="AP9" s="36">
        <f t="shared" si="13"/>
        <v>9.513045371614523E-2</v>
      </c>
      <c r="AQ9" s="34">
        <f t="shared" si="14"/>
        <v>0.41899441340782123</v>
      </c>
      <c r="AR9" s="34">
        <f t="shared" si="1"/>
        <v>0.59872611464968151</v>
      </c>
      <c r="AS9" s="34">
        <f t="shared" si="1"/>
        <v>0.5629139072847682</v>
      </c>
      <c r="AT9" s="35">
        <f t="shared" si="15"/>
        <v>0.52687814511409037</v>
      </c>
      <c r="AU9" s="36">
        <f t="shared" si="16"/>
        <v>9.5130453716144939E-2</v>
      </c>
    </row>
    <row r="10" spans="1:47" x14ac:dyDescent="0.25">
      <c r="A10" s="5" t="s">
        <v>24</v>
      </c>
      <c r="B10" s="17">
        <v>42774.591666666667</v>
      </c>
      <c r="C10" s="112">
        <f t="shared" si="2"/>
        <v>7.1166666666395031</v>
      </c>
      <c r="D10" s="30">
        <v>0.187</v>
      </c>
      <c r="E10" s="30">
        <v>0.158</v>
      </c>
      <c r="F10" s="30">
        <v>0.184</v>
      </c>
      <c r="G10" s="30">
        <v>0</v>
      </c>
      <c r="H10" s="31">
        <f t="shared" si="3"/>
        <v>0.17633333333333331</v>
      </c>
      <c r="I10" s="32">
        <f t="shared" si="4"/>
        <v>1.5947831618540912E-2</v>
      </c>
      <c r="J10" s="34">
        <v>5.0599999999999996</v>
      </c>
      <c r="K10" s="34">
        <v>5.78</v>
      </c>
      <c r="L10" s="34">
        <v>5.34</v>
      </c>
      <c r="M10" s="34">
        <v>6.54</v>
      </c>
      <c r="N10" s="35">
        <f t="shared" si="5"/>
        <v>5.3933333333333335</v>
      </c>
      <c r="O10" s="36">
        <f t="shared" si="6"/>
        <v>0.36295086903509899</v>
      </c>
      <c r="P10" s="115">
        <v>25.931180294615</v>
      </c>
      <c r="Q10" s="115">
        <v>27.482982784471989</v>
      </c>
      <c r="R10" s="115">
        <v>27.130807104638791</v>
      </c>
      <c r="S10" s="115">
        <v>28.991349119777574</v>
      </c>
      <c r="T10" s="35">
        <f t="shared" ref="T10" si="17">AVERAGE(P10:R10)</f>
        <v>26.84832339457526</v>
      </c>
      <c r="U10" s="36">
        <f t="shared" ref="U10" si="18">STDEV(P10:R10)</f>
        <v>0.81355425554785854</v>
      </c>
      <c r="V10" s="115">
        <v>1.6764573016454962</v>
      </c>
      <c r="W10" s="115">
        <v>1.1172409974666369</v>
      </c>
      <c r="X10" s="115">
        <v>1.4919327137706659</v>
      </c>
      <c r="Y10" s="115" t="s">
        <v>21</v>
      </c>
      <c r="Z10" s="116">
        <f>AVERAGE(V10:X10)</f>
        <v>1.4285436709609332</v>
      </c>
      <c r="AA10" s="116">
        <f>STDEV(V10:X10)</f>
        <v>0.28494621733954606</v>
      </c>
      <c r="AB10" s="139">
        <f>X56</f>
        <v>160000000</v>
      </c>
      <c r="AC10" s="140">
        <f>X57</f>
        <v>94000000</v>
      </c>
      <c r="AD10" s="140">
        <f>X58</f>
        <v>120000000</v>
      </c>
      <c r="AE10" s="141">
        <f t="shared" si="7"/>
        <v>124666666.66666667</v>
      </c>
      <c r="AF10" s="142">
        <f t="shared" si="8"/>
        <v>33246553.706111133</v>
      </c>
      <c r="AG10" s="139">
        <f>X76</f>
        <v>140000000</v>
      </c>
      <c r="AH10" s="140">
        <f>X77</f>
        <v>125000000</v>
      </c>
      <c r="AI10" s="140">
        <f>X78</f>
        <v>117000000</v>
      </c>
      <c r="AJ10" s="141">
        <f t="shared" si="9"/>
        <v>127333333.33333333</v>
      </c>
      <c r="AK10" s="142">
        <f t="shared" si="10"/>
        <v>11676186.592091329</v>
      </c>
      <c r="AL10" s="33">
        <f t="shared" si="11"/>
        <v>0.53333333333333333</v>
      </c>
      <c r="AM10" s="34">
        <f t="shared" si="0"/>
        <v>0.42922374429223742</v>
      </c>
      <c r="AN10" s="34">
        <f t="shared" si="0"/>
        <v>0.50632911392405067</v>
      </c>
      <c r="AO10" s="35">
        <f t="shared" si="12"/>
        <v>0.48962873051654049</v>
      </c>
      <c r="AP10" s="36">
        <f t="shared" si="13"/>
        <v>5.4026648397294187E-2</v>
      </c>
      <c r="AQ10" s="34">
        <f t="shared" si="14"/>
        <v>0.46666666666666667</v>
      </c>
      <c r="AR10" s="34">
        <f t="shared" si="1"/>
        <v>0.57077625570776258</v>
      </c>
      <c r="AS10" s="34">
        <f t="shared" si="1"/>
        <v>0.49367088607594939</v>
      </c>
      <c r="AT10" s="35">
        <f t="shared" si="15"/>
        <v>0.51037126948345957</v>
      </c>
      <c r="AU10" s="36">
        <f t="shared" si="16"/>
        <v>5.402664839729418E-2</v>
      </c>
    </row>
    <row r="11" spans="1:47" x14ac:dyDescent="0.25">
      <c r="A11" s="5" t="s">
        <v>40</v>
      </c>
      <c r="B11" s="17">
        <v>42774.679166666669</v>
      </c>
      <c r="C11" s="266">
        <f t="shared" si="2"/>
        <v>9.2166666666744277</v>
      </c>
      <c r="D11" s="20">
        <v>0.19400000000000001</v>
      </c>
      <c r="E11" s="20">
        <v>0.17499999999999999</v>
      </c>
      <c r="F11" s="20">
        <v>0.19700000000000001</v>
      </c>
      <c r="G11" s="20">
        <v>0</v>
      </c>
      <c r="H11" s="21">
        <f t="shared" si="3"/>
        <v>0.18866666666666668</v>
      </c>
      <c r="I11" s="22">
        <f t="shared" si="4"/>
        <v>1.1930353445448865E-2</v>
      </c>
      <c r="J11" s="24">
        <v>4.6500000000000004</v>
      </c>
      <c r="K11" s="24">
        <v>5.05</v>
      </c>
      <c r="L11" s="24">
        <v>4.66</v>
      </c>
      <c r="M11" s="24">
        <v>6.52</v>
      </c>
      <c r="N11" s="25">
        <f t="shared" si="5"/>
        <v>4.7866666666666662</v>
      </c>
      <c r="O11" s="26">
        <f t="shared" si="6"/>
        <v>0.22810816147900809</v>
      </c>
      <c r="P11" s="84"/>
      <c r="Q11" s="49"/>
      <c r="R11" s="49"/>
      <c r="S11" s="49"/>
      <c r="T11" s="25"/>
      <c r="U11" s="26"/>
      <c r="Z11" s="111"/>
      <c r="AA11" s="111"/>
      <c r="AB11" s="133">
        <f>X59</f>
        <v>152000000</v>
      </c>
      <c r="AC11" s="134">
        <f>X60</f>
        <v>125000000</v>
      </c>
      <c r="AD11" s="134">
        <f>X61</f>
        <v>160000000</v>
      </c>
      <c r="AE11" s="135">
        <f t="shared" si="7"/>
        <v>145666666.66666666</v>
      </c>
      <c r="AF11" s="136">
        <f t="shared" si="8"/>
        <v>18339392.937971856</v>
      </c>
      <c r="AG11" s="133">
        <f>X79</f>
        <v>137000000</v>
      </c>
      <c r="AH11" s="134">
        <f>X80</f>
        <v>133000000</v>
      </c>
      <c r="AI11" s="134">
        <f>X81</f>
        <v>148000000</v>
      </c>
      <c r="AJ11" s="135">
        <f t="shared" si="9"/>
        <v>139333333.33333334</v>
      </c>
      <c r="AK11" s="136">
        <f t="shared" si="10"/>
        <v>7767453.4651540285</v>
      </c>
      <c r="AL11" s="23">
        <f t="shared" si="11"/>
        <v>0.52595155709342556</v>
      </c>
      <c r="AM11" s="24">
        <f t="shared" si="0"/>
        <v>0.48449612403100772</v>
      </c>
      <c r="AN11" s="24">
        <f t="shared" si="0"/>
        <v>0.51948051948051943</v>
      </c>
      <c r="AO11" s="25">
        <f t="shared" si="12"/>
        <v>0.50997606686831765</v>
      </c>
      <c r="AP11" s="26">
        <f t="shared" si="13"/>
        <v>2.2302224041367367E-2</v>
      </c>
      <c r="AQ11" s="24">
        <f t="shared" si="14"/>
        <v>0.47404844290657439</v>
      </c>
      <c r="AR11" s="24">
        <f t="shared" si="1"/>
        <v>0.51550387596899228</v>
      </c>
      <c r="AS11" s="24">
        <f t="shared" si="1"/>
        <v>0.48051948051948051</v>
      </c>
      <c r="AT11" s="25">
        <f t="shared" si="15"/>
        <v>0.49002393313168241</v>
      </c>
      <c r="AU11" s="26">
        <f t="shared" si="16"/>
        <v>2.2302224041367398E-2</v>
      </c>
    </row>
    <row r="12" spans="1:47" x14ac:dyDescent="0.25">
      <c r="A12" s="5" t="s">
        <v>46</v>
      </c>
      <c r="B12" s="17">
        <v>42774.820833333331</v>
      </c>
      <c r="C12" s="266">
        <f t="shared" si="2"/>
        <v>12.616666666581295</v>
      </c>
      <c r="D12" s="20">
        <v>0.19</v>
      </c>
      <c r="E12" s="20">
        <v>0.17799999999999999</v>
      </c>
      <c r="F12" s="20">
        <v>0.193</v>
      </c>
      <c r="G12" s="20">
        <v>2E-3</v>
      </c>
      <c r="H12" s="21">
        <f t="shared" si="3"/>
        <v>0.18699999999999997</v>
      </c>
      <c r="I12" s="22">
        <f t="shared" si="4"/>
        <v>7.9372539331937792E-3</v>
      </c>
      <c r="J12" s="24">
        <v>4.42</v>
      </c>
      <c r="K12" s="24">
        <v>4.55</v>
      </c>
      <c r="L12" s="24">
        <v>4.42</v>
      </c>
      <c r="M12" s="24">
        <v>6.51</v>
      </c>
      <c r="N12" s="25">
        <f t="shared" si="5"/>
        <v>4.4633333333333329</v>
      </c>
      <c r="O12" s="26">
        <f t="shared" si="6"/>
        <v>7.5055534994651285E-2</v>
      </c>
      <c r="P12" s="55">
        <v>24.686649001719772</v>
      </c>
      <c r="Q12" s="55">
        <v>25.055875213872675</v>
      </c>
      <c r="R12" s="55">
        <v>24.858443455909509</v>
      </c>
      <c r="S12" s="55">
        <v>28.037250876404595</v>
      </c>
      <c r="T12" s="25">
        <f t="shared" ref="T12" si="19">AVERAGE(P12:R12)</f>
        <v>24.866989223833986</v>
      </c>
      <c r="U12" s="26">
        <f t="shared" ref="U12" si="20">STDEV(P12:R12)</f>
        <v>0.18476139084575904</v>
      </c>
      <c r="V12" s="55">
        <v>4.1230403847477035</v>
      </c>
      <c r="W12" s="55">
        <v>3.3318081308556433</v>
      </c>
      <c r="X12" s="55">
        <v>3.9869901250076829</v>
      </c>
      <c r="Y12" s="55" t="s">
        <v>21</v>
      </c>
      <c r="Z12" s="111">
        <f t="shared" ref="Z12" si="21">AVERAGE(V12:X12)</f>
        <v>3.8139462135370099</v>
      </c>
      <c r="AA12" s="111">
        <f t="shared" ref="AA12" si="22">STDEV(V12:X12)</f>
        <v>0.42304877540607533</v>
      </c>
      <c r="AB12" s="84"/>
      <c r="AC12" s="49"/>
      <c r="AD12" s="49"/>
      <c r="AE12" s="49"/>
      <c r="AF12" s="59"/>
      <c r="AG12" s="84"/>
      <c r="AH12" s="49"/>
      <c r="AI12" s="49"/>
      <c r="AJ12" s="49"/>
      <c r="AK12" s="59"/>
      <c r="AL12" s="84"/>
      <c r="AM12" s="49"/>
      <c r="AN12" s="49"/>
      <c r="AO12" s="85"/>
      <c r="AP12" s="86"/>
      <c r="AQ12" s="49"/>
      <c r="AR12" s="49"/>
      <c r="AS12" s="49"/>
      <c r="AT12" s="85"/>
      <c r="AU12" s="86"/>
    </row>
    <row r="13" spans="1:47" x14ac:dyDescent="0.25">
      <c r="A13" s="5" t="s">
        <v>65</v>
      </c>
      <c r="B13" s="17">
        <v>42774.95416666667</v>
      </c>
      <c r="C13" s="267">
        <f t="shared" si="2"/>
        <v>15.816666666709352</v>
      </c>
      <c r="D13" s="41">
        <v>0.186</v>
      </c>
      <c r="E13" s="41">
        <v>0.17299999999999999</v>
      </c>
      <c r="F13" s="41">
        <v>0.189</v>
      </c>
      <c r="G13" s="41">
        <v>2E-3</v>
      </c>
      <c r="H13" s="42">
        <f t="shared" si="3"/>
        <v>0.18266666666666667</v>
      </c>
      <c r="I13" s="43">
        <f t="shared" si="4"/>
        <v>8.5049005481153891E-3</v>
      </c>
      <c r="J13" s="62"/>
      <c r="K13" s="62"/>
      <c r="L13" s="62"/>
      <c r="M13" s="62"/>
      <c r="N13" s="104"/>
      <c r="O13" s="80"/>
      <c r="P13" s="64"/>
      <c r="Q13" s="62"/>
      <c r="R13" s="62"/>
      <c r="S13" s="62"/>
      <c r="T13" s="46"/>
      <c r="U13" s="47"/>
      <c r="V13" s="64"/>
      <c r="W13" s="62"/>
      <c r="X13" s="62"/>
      <c r="Y13" s="62"/>
      <c r="Z13" s="104"/>
      <c r="AA13" s="80"/>
      <c r="AB13" s="64"/>
      <c r="AC13" s="62"/>
      <c r="AD13" s="62"/>
      <c r="AE13" s="62"/>
      <c r="AF13" s="63"/>
      <c r="AG13" s="64"/>
      <c r="AH13" s="62"/>
      <c r="AI13" s="62"/>
      <c r="AJ13" s="62"/>
      <c r="AK13" s="63"/>
      <c r="AL13" s="64"/>
      <c r="AM13" s="62"/>
      <c r="AN13" s="62"/>
      <c r="AO13" s="62"/>
      <c r="AP13" s="63"/>
      <c r="AQ13" s="62"/>
      <c r="AR13" s="62"/>
      <c r="AS13" s="62"/>
      <c r="AT13" s="104"/>
      <c r="AU13" s="80"/>
    </row>
    <row r="14" spans="1:47" ht="18.75" x14ac:dyDescent="0.35">
      <c r="C14" s="268" t="s">
        <v>25</v>
      </c>
      <c r="D14" s="55">
        <f>LN(LOGEST(D7:D10,$C$7:$C$10))</f>
        <v>0.23627446327237492</v>
      </c>
      <c r="E14" s="55">
        <f t="shared" ref="E14:F14" si="23">LN(LOGEST(E7:E10,$C$7:$C$10))</f>
        <v>0.22456372434514657</v>
      </c>
      <c r="F14" s="55">
        <f t="shared" si="23"/>
        <v>0.23716920475991485</v>
      </c>
      <c r="G14" s="55"/>
      <c r="H14" s="70">
        <f>AVERAGE(D14:F14)</f>
        <v>0.23266913079247878</v>
      </c>
      <c r="I14" s="51">
        <f>STDEV(D14:F14)</f>
        <v>7.0337295114130021E-3</v>
      </c>
      <c r="M14" s="127"/>
      <c r="N14" s="81"/>
      <c r="O14" s="123" t="s">
        <v>87</v>
      </c>
      <c r="P14" s="55">
        <f>P7-P10</f>
        <v>1.607345223948581</v>
      </c>
      <c r="Q14" s="55">
        <f t="shared" ref="Q14:R14" si="24">Q7-Q10</f>
        <v>1.1402276713089137</v>
      </c>
      <c r="R14" s="55">
        <f t="shared" si="24"/>
        <v>1.579976508644414</v>
      </c>
      <c r="T14" s="25">
        <f t="shared" ref="T14:T16" si="25">AVERAGE(P14:R14)</f>
        <v>1.4425164679673028</v>
      </c>
      <c r="U14" s="26">
        <f t="shared" ref="U14:U16" si="26">STDEV(P14:R14)</f>
        <v>0.26214718972980217</v>
      </c>
      <c r="V14" s="55">
        <f>V10</f>
        <v>1.6764573016454962</v>
      </c>
      <c r="W14" s="55">
        <f t="shared" ref="W14:X14" si="27">W10</f>
        <v>1.1172409974666369</v>
      </c>
      <c r="X14" s="55">
        <f t="shared" si="27"/>
        <v>1.4919327137706659</v>
      </c>
      <c r="Y14" s="55"/>
      <c r="Z14" s="111">
        <f>AVERAGE(V14:X14)</f>
        <v>1.4285436709609332</v>
      </c>
      <c r="AA14" s="51">
        <f>STDEV(V14:X14)</f>
        <v>0.28494621733954606</v>
      </c>
      <c r="AF14" s="215"/>
      <c r="AK14" s="215"/>
      <c r="AL14" s="84"/>
      <c r="AM14" s="49"/>
      <c r="AN14" s="49"/>
      <c r="AO14" s="49"/>
      <c r="AP14" s="59"/>
      <c r="AQ14" s="49"/>
      <c r="AR14" s="49"/>
      <c r="AS14" s="49"/>
      <c r="AT14" s="49"/>
      <c r="AU14" s="59"/>
    </row>
    <row r="15" spans="1:47" ht="18" x14ac:dyDescent="0.35">
      <c r="A15" s="52" t="s">
        <v>27</v>
      </c>
      <c r="B15" s="53"/>
      <c r="C15" s="54" t="s">
        <v>28</v>
      </c>
      <c r="D15" s="55">
        <f>D11*0.46</f>
        <v>8.924E-2</v>
      </c>
      <c r="E15" s="55">
        <f>E11*0.46</f>
        <v>8.0500000000000002E-2</v>
      </c>
      <c r="F15" s="55">
        <f>F11*0.46</f>
        <v>9.0620000000000006E-2</v>
      </c>
      <c r="G15" s="55"/>
      <c r="H15" s="70">
        <f>AVERAGE(D15:F15)</f>
        <v>8.6786666666666679E-2</v>
      </c>
      <c r="I15" s="26">
        <f>STDEV(D15:F15)</f>
        <v>5.4879625849064738E-3</v>
      </c>
      <c r="M15" s="127"/>
      <c r="N15" s="81"/>
      <c r="O15" s="54" t="s">
        <v>29</v>
      </c>
      <c r="P15" s="55">
        <f>(D10-D7)*0.46</f>
        <v>6.1180000000000005E-2</v>
      </c>
      <c r="Q15" s="55">
        <f t="shared" ref="Q15:R15" si="28">(E10-E7)*0.46</f>
        <v>5.1060000000000001E-2</v>
      </c>
      <c r="R15" s="55">
        <f t="shared" si="28"/>
        <v>6.0720000000000003E-2</v>
      </c>
      <c r="S15" s="55"/>
      <c r="T15" s="25">
        <f t="shared" si="25"/>
        <v>5.7653333333333334E-2</v>
      </c>
      <c r="U15" s="26">
        <f t="shared" si="26"/>
        <v>5.7146245137658308E-3</v>
      </c>
      <c r="V15" s="55"/>
      <c r="W15" s="55"/>
      <c r="X15" s="55"/>
      <c r="Y15" s="55"/>
      <c r="Z15" s="111"/>
      <c r="AA15" s="26"/>
      <c r="AF15" s="59"/>
      <c r="AK15" s="59"/>
      <c r="AL15" s="84"/>
      <c r="AM15" s="49"/>
      <c r="AN15" s="49"/>
      <c r="AO15" s="49"/>
      <c r="AP15" s="59"/>
      <c r="AQ15" s="49"/>
      <c r="AR15" s="49"/>
      <c r="AS15" s="49"/>
      <c r="AT15" s="49"/>
      <c r="AU15" s="59"/>
    </row>
    <row r="16" spans="1:47" ht="18" x14ac:dyDescent="0.35">
      <c r="C16" s="59"/>
      <c r="H16" s="55"/>
      <c r="I16" s="59"/>
      <c r="M16" s="127"/>
      <c r="N16" s="81"/>
      <c r="O16" s="54" t="s">
        <v>30</v>
      </c>
      <c r="P16" s="55">
        <f>P15/(P14/1000*180.16)</f>
        <v>0.21127199601436908</v>
      </c>
      <c r="Q16" s="55">
        <f t="shared" ref="Q16:R16" si="29">Q15/(Q14/1000*180.16)</f>
        <v>0.24855978291231196</v>
      </c>
      <c r="R16" s="55">
        <f t="shared" si="29"/>
        <v>0.21331567016076655</v>
      </c>
      <c r="T16" s="25">
        <f t="shared" si="25"/>
        <v>0.2243824830291492</v>
      </c>
      <c r="U16" s="26">
        <f t="shared" si="26"/>
        <v>2.0963075233239273E-2</v>
      </c>
      <c r="V16" s="55">
        <f>(V14/1000*59.04)/(P14/1000*180.16)</f>
        <v>0.34179940961021549</v>
      </c>
      <c r="W16" s="55">
        <f t="shared" ref="W16:X16" si="30">(W14/1000*59.04)/(Q14/1000*180.16)</f>
        <v>0.32110218673840829</v>
      </c>
      <c r="X16" s="55">
        <f t="shared" si="30"/>
        <v>0.30944721802964087</v>
      </c>
      <c r="Y16" s="55"/>
      <c r="Z16" s="111">
        <f t="shared" ref="Z16:Z19" si="31">AVERAGE(V16:X16)</f>
        <v>0.32411627145942151</v>
      </c>
      <c r="AA16" s="26">
        <f t="shared" ref="AA16:AA19" si="32">STDEV(V16:X16)</f>
        <v>1.6385347266556025E-2</v>
      </c>
      <c r="AF16" s="59"/>
      <c r="AK16" s="59"/>
      <c r="AL16" s="84"/>
      <c r="AM16" s="49"/>
      <c r="AN16" s="49"/>
      <c r="AO16" s="49"/>
      <c r="AP16" s="59"/>
      <c r="AQ16" s="49"/>
      <c r="AR16" s="49"/>
      <c r="AS16" s="49"/>
      <c r="AT16" s="49"/>
      <c r="AU16" s="59"/>
    </row>
    <row r="17" spans="3:47" ht="18" x14ac:dyDescent="0.35">
      <c r="C17" s="59"/>
      <c r="I17" s="59"/>
      <c r="M17" s="217"/>
      <c r="O17" s="60" t="s">
        <v>31</v>
      </c>
      <c r="P17" s="55"/>
      <c r="Q17" s="55"/>
      <c r="R17" s="55"/>
      <c r="T17" s="25"/>
      <c r="U17" s="26"/>
      <c r="V17" s="55">
        <f>(V14/1000*59.04)/P15</f>
        <v>1.6178169187504101</v>
      </c>
      <c r="W17" s="55">
        <f t="shared" ref="W17:X17" si="33">(W14/1000*59.04)/Q15</f>
        <v>1.2918509300906822</v>
      </c>
      <c r="X17" s="55">
        <f t="shared" si="33"/>
        <v>1.450653943033928</v>
      </c>
      <c r="Z17" s="25">
        <f t="shared" si="31"/>
        <v>1.4534405972916735</v>
      </c>
      <c r="AA17" s="26">
        <f t="shared" si="32"/>
        <v>0.16300086049525206</v>
      </c>
      <c r="AF17" s="59"/>
      <c r="AK17" s="59"/>
      <c r="AL17" s="84"/>
      <c r="AM17" s="49"/>
      <c r="AN17" s="49"/>
      <c r="AO17" s="49"/>
      <c r="AP17" s="59"/>
      <c r="AQ17" s="49"/>
      <c r="AR17" s="49"/>
      <c r="AS17" s="49"/>
      <c r="AT17" s="49"/>
      <c r="AU17" s="59"/>
    </row>
    <row r="18" spans="3:47" ht="18.75" x14ac:dyDescent="0.35">
      <c r="C18" s="59"/>
      <c r="I18" s="59"/>
      <c r="M18" s="217"/>
      <c r="O18" s="54" t="s">
        <v>32</v>
      </c>
      <c r="P18" s="55">
        <f>D14*(P14)</f>
        <v>0.37977463008186624</v>
      </c>
      <c r="Q18" s="55">
        <f>E14*(Q14)</f>
        <v>0.2560537724705233</v>
      </c>
      <c r="R18" s="55">
        <f>F14*(R14)</f>
        <v>0.37472177209454238</v>
      </c>
      <c r="T18" s="25">
        <f t="shared" ref="T18:T19" si="34">AVERAGE(P18:R18)</f>
        <v>0.33685005821564395</v>
      </c>
      <c r="U18" s="26">
        <f t="shared" ref="U18:U19" si="35">STDEV(P18:R18)</f>
        <v>7.0017231351399561E-2</v>
      </c>
      <c r="V18" s="55">
        <f>D14*(V14)</f>
        <v>0.39610404914534358</v>
      </c>
      <c r="W18" s="55">
        <f t="shared" ref="W18:X18" si="36">E14*(W14)</f>
        <v>0.25089179938219441</v>
      </c>
      <c r="X18" s="55">
        <f t="shared" si="36"/>
        <v>0.35384049528029049</v>
      </c>
      <c r="Z18" s="25">
        <f t="shared" si="31"/>
        <v>0.33361211460260948</v>
      </c>
      <c r="AA18" s="26">
        <f t="shared" si="32"/>
        <v>7.4689623837248545E-2</v>
      </c>
      <c r="AF18" s="59"/>
      <c r="AK18" s="59"/>
      <c r="AL18" s="84"/>
      <c r="AM18" s="49"/>
      <c r="AN18" s="49"/>
      <c r="AO18" s="49"/>
      <c r="AP18" s="59"/>
      <c r="AQ18" s="49"/>
      <c r="AR18" s="49"/>
      <c r="AS18" s="49"/>
      <c r="AT18" s="49"/>
      <c r="AU18" s="59"/>
    </row>
    <row r="19" spans="3:47" ht="18.75" x14ac:dyDescent="0.35">
      <c r="C19" s="63"/>
      <c r="D19" s="64"/>
      <c r="E19" s="62"/>
      <c r="F19" s="62"/>
      <c r="G19" s="62"/>
      <c r="H19" s="62"/>
      <c r="I19" s="63"/>
      <c r="J19" s="62"/>
      <c r="K19" s="62"/>
      <c r="L19" s="62"/>
      <c r="M19" s="11"/>
      <c r="N19" s="62"/>
      <c r="O19" s="124" t="s">
        <v>33</v>
      </c>
      <c r="P19" s="45">
        <f>D14*(P14/P15)</f>
        <v>6.2074964053917334</v>
      </c>
      <c r="Q19" s="45">
        <f t="shared" ref="Q19:R19" si="37">E14*(Q14/Q15)</f>
        <v>5.0147624847341019</v>
      </c>
      <c r="R19" s="45">
        <f t="shared" si="37"/>
        <v>6.1713071820576806</v>
      </c>
      <c r="S19" s="45"/>
      <c r="T19" s="46">
        <f t="shared" si="34"/>
        <v>5.7978553573945062</v>
      </c>
      <c r="U19" s="47">
        <f t="shared" si="35"/>
        <v>0.67841967128026481</v>
      </c>
      <c r="V19" s="45">
        <f>D14*(V14/P15)</f>
        <v>6.4744042030948599</v>
      </c>
      <c r="W19" s="45">
        <f t="shared" ref="W19:X19" si="38">E14*(W14/Q15)</f>
        <v>4.9136662628710228</v>
      </c>
      <c r="X19" s="45">
        <f t="shared" si="38"/>
        <v>5.82741263636842</v>
      </c>
      <c r="Y19" s="45"/>
      <c r="Z19" s="46">
        <f t="shared" si="31"/>
        <v>5.7384943674447682</v>
      </c>
      <c r="AA19" s="47">
        <f t="shared" si="32"/>
        <v>0.78415915057137076</v>
      </c>
      <c r="AB19" s="62"/>
      <c r="AC19" s="62"/>
      <c r="AD19" s="62"/>
      <c r="AE19" s="62"/>
      <c r="AF19" s="63"/>
      <c r="AG19" s="62"/>
      <c r="AH19" s="62"/>
      <c r="AI19" s="62"/>
      <c r="AJ19" s="62"/>
      <c r="AK19" s="63"/>
      <c r="AL19" s="64"/>
      <c r="AM19" s="62"/>
      <c r="AN19" s="62"/>
      <c r="AO19" s="62"/>
      <c r="AP19" s="63"/>
      <c r="AQ19" s="62"/>
      <c r="AR19" s="62"/>
      <c r="AS19" s="62"/>
      <c r="AT19" s="62"/>
      <c r="AU19" s="63"/>
    </row>
    <row r="20" spans="3:47" x14ac:dyDescent="0.25">
      <c r="I20" s="54" t="s">
        <v>34</v>
      </c>
      <c r="J20" s="55">
        <f>P15/(J7-J10)</f>
        <v>4.5999999999999999E-2</v>
      </c>
      <c r="K20" s="55">
        <f>Q15/(K7-K10)</f>
        <v>7.7363636363636343E-2</v>
      </c>
      <c r="L20" s="55">
        <f>R15/(L7-L10)</f>
        <v>5.5199999999999978E-2</v>
      </c>
      <c r="N20" s="111">
        <f>AVERAGE(J20:L20)</f>
        <v>5.9521212121212107E-2</v>
      </c>
      <c r="O20" s="26">
        <f>STDEV(J20:L20)</f>
        <v>1.6122161056601123E-2</v>
      </c>
    </row>
    <row r="21" spans="3:47" x14ac:dyDescent="0.25">
      <c r="T21" s="55"/>
      <c r="Z21" s="55"/>
    </row>
    <row r="22" spans="3:47" x14ac:dyDescent="0.25">
      <c r="O22" s="9" t="s">
        <v>35</v>
      </c>
      <c r="P22" s="5">
        <f>P14/1000*6</f>
        <v>9.6440713436914856E-3</v>
      </c>
      <c r="Q22" s="5">
        <f t="shared" ref="Q22:R22" si="39">Q14/1000*6</f>
        <v>6.8413660278534814E-3</v>
      </c>
      <c r="R22" s="5">
        <f t="shared" si="39"/>
        <v>9.4798590518664835E-3</v>
      </c>
      <c r="V22" s="5">
        <f>V14/1000*2</f>
        <v>3.3529146032909925E-3</v>
      </c>
      <c r="W22" s="5">
        <f t="shared" ref="W22:X22" si="40">W14/1000*2</f>
        <v>2.2344819949332738E-3</v>
      </c>
      <c r="X22" s="5">
        <f t="shared" si="40"/>
        <v>2.9838654275413318E-3</v>
      </c>
    </row>
    <row r="23" spans="3:47" x14ac:dyDescent="0.25">
      <c r="O23" s="9" t="s">
        <v>36</v>
      </c>
      <c r="P23" s="5">
        <f>P15*0.5/12.01</f>
        <v>2.5470441298917571E-3</v>
      </c>
      <c r="Q23" s="5">
        <f t="shared" ref="Q23:R23" si="41">Q15*0.5/12.01</f>
        <v>2.1257285595337218E-3</v>
      </c>
      <c r="R23" s="5">
        <f t="shared" si="41"/>
        <v>2.5278934221482099E-3</v>
      </c>
      <c r="T23" s="71" t="s">
        <v>17</v>
      </c>
      <c r="U23" s="120" t="s">
        <v>18</v>
      </c>
    </row>
    <row r="24" spans="3:47" x14ac:dyDescent="0.25">
      <c r="O24" s="9" t="s">
        <v>37</v>
      </c>
      <c r="P24" s="5">
        <f>(P22-V22-P23)/P22</f>
        <v>0.38822946005660647</v>
      </c>
      <c r="Q24" s="5">
        <f t="shared" ref="Q24:R24" si="42">(Q22-W22-Q23)/Q22</f>
        <v>0.36266959891999273</v>
      </c>
      <c r="R24" s="5">
        <f t="shared" si="42"/>
        <v>0.41858219415146952</v>
      </c>
      <c r="T24" s="72">
        <f>AVERAGE(P24:R24)</f>
        <v>0.38982708437602293</v>
      </c>
      <c r="U24" s="80">
        <f>STDEV(P24:R24)</f>
        <v>2.7990514089227325E-2</v>
      </c>
    </row>
    <row r="42" spans="1:48" x14ac:dyDescent="0.25">
      <c r="A42" s="145" t="s">
        <v>113</v>
      </c>
    </row>
    <row r="43" spans="1:48" x14ac:dyDescent="0.25">
      <c r="B43" s="73" t="s">
        <v>90</v>
      </c>
      <c r="C43" s="73">
        <v>1</v>
      </c>
      <c r="D43" s="73">
        <v>2</v>
      </c>
      <c r="E43" s="73">
        <v>3</v>
      </c>
      <c r="F43" s="73">
        <v>4</v>
      </c>
      <c r="G43" s="73">
        <v>5</v>
      </c>
      <c r="H43" s="73">
        <v>6</v>
      </c>
      <c r="I43" s="73">
        <v>7</v>
      </c>
      <c r="J43" s="73">
        <v>8</v>
      </c>
      <c r="K43" s="73">
        <v>9</v>
      </c>
      <c r="L43" s="73">
        <v>10</v>
      </c>
      <c r="M43" s="73"/>
      <c r="N43" s="73">
        <v>1</v>
      </c>
      <c r="O43" s="73">
        <v>2</v>
      </c>
      <c r="P43" s="73">
        <v>3</v>
      </c>
      <c r="Q43" s="73">
        <v>4</v>
      </c>
      <c r="R43" s="73">
        <v>5</v>
      </c>
      <c r="S43" s="73">
        <v>6</v>
      </c>
      <c r="T43" s="73">
        <v>7</v>
      </c>
      <c r="U43" s="73">
        <v>8</v>
      </c>
      <c r="V43" s="73">
        <v>9</v>
      </c>
      <c r="W43" s="73">
        <v>10</v>
      </c>
      <c r="X43" s="73" t="s">
        <v>17</v>
      </c>
      <c r="Y43" s="73"/>
      <c r="Z43" s="73" t="s">
        <v>90</v>
      </c>
      <c r="AA43" s="73">
        <v>1</v>
      </c>
      <c r="AB43" s="73">
        <v>2</v>
      </c>
      <c r="AC43" s="73">
        <v>3</v>
      </c>
      <c r="AD43" s="73">
        <v>4</v>
      </c>
      <c r="AE43" s="73">
        <v>5</v>
      </c>
      <c r="AF43" s="73">
        <v>6</v>
      </c>
      <c r="AG43" s="73">
        <v>7</v>
      </c>
      <c r="AH43" s="73">
        <v>8</v>
      </c>
      <c r="AI43" s="73">
        <v>9</v>
      </c>
      <c r="AJ43" s="73">
        <v>10</v>
      </c>
      <c r="AK43" s="73"/>
      <c r="AL43" s="73">
        <v>1</v>
      </c>
      <c r="AM43" s="73">
        <v>2</v>
      </c>
      <c r="AN43" s="73">
        <v>3</v>
      </c>
      <c r="AO43" s="73">
        <v>4</v>
      </c>
      <c r="AP43" s="73">
        <v>5</v>
      </c>
      <c r="AQ43" s="73">
        <v>6</v>
      </c>
      <c r="AR43" s="73">
        <v>7</v>
      </c>
      <c r="AS43" s="73">
        <v>8</v>
      </c>
      <c r="AT43" s="73">
        <v>9</v>
      </c>
      <c r="AU43" s="73">
        <v>10</v>
      </c>
      <c r="AV43" s="73" t="s">
        <v>17</v>
      </c>
    </row>
    <row r="44" spans="1:48" x14ac:dyDescent="0.25">
      <c r="A44" s="9" t="s">
        <v>92</v>
      </c>
      <c r="B44" s="5">
        <v>4</v>
      </c>
      <c r="C44" s="5">
        <v>22</v>
      </c>
      <c r="D44" s="5">
        <v>22</v>
      </c>
      <c r="E44" s="5">
        <v>28</v>
      </c>
      <c r="F44" s="5">
        <v>29</v>
      </c>
      <c r="G44" s="5">
        <v>31</v>
      </c>
      <c r="H44" s="5">
        <v>21</v>
      </c>
      <c r="I44" s="5">
        <v>26</v>
      </c>
      <c r="J44" s="5">
        <v>26</v>
      </c>
      <c r="K44" s="5">
        <v>25</v>
      </c>
      <c r="L44" s="5">
        <v>21</v>
      </c>
      <c r="N44" s="146">
        <f>(C44/0.01)*10^($B$44)</f>
        <v>22000000</v>
      </c>
      <c r="O44" s="146">
        <f t="shared" ref="O44:W44" si="43">(D44/0.01)*10^($B$44)</f>
        <v>22000000</v>
      </c>
      <c r="P44" s="146">
        <f t="shared" si="43"/>
        <v>28000000</v>
      </c>
      <c r="Q44" s="146">
        <f t="shared" si="43"/>
        <v>29000000</v>
      </c>
      <c r="R44" s="146">
        <f t="shared" si="43"/>
        <v>31000000</v>
      </c>
      <c r="S44" s="146">
        <f t="shared" si="43"/>
        <v>21000000</v>
      </c>
      <c r="T44" s="146">
        <f t="shared" si="43"/>
        <v>26000000</v>
      </c>
      <c r="U44" s="146">
        <f t="shared" si="43"/>
        <v>26000000</v>
      </c>
      <c r="V44" s="146">
        <f t="shared" si="43"/>
        <v>25000000</v>
      </c>
      <c r="W44" s="146">
        <f t="shared" si="43"/>
        <v>21000000</v>
      </c>
      <c r="X44" s="146">
        <f>AVERAGE(N44:W44)</f>
        <v>25100000</v>
      </c>
      <c r="Y44" s="9" t="s">
        <v>92</v>
      </c>
      <c r="Z44" s="5">
        <v>5</v>
      </c>
      <c r="AA44" s="5">
        <v>9</v>
      </c>
      <c r="AB44" s="5">
        <v>1</v>
      </c>
      <c r="AC44" s="5">
        <v>2</v>
      </c>
      <c r="AD44" s="5">
        <v>1</v>
      </c>
      <c r="AE44" s="5">
        <v>0</v>
      </c>
      <c r="AF44" s="5">
        <v>2</v>
      </c>
      <c r="AG44" s="5">
        <v>3</v>
      </c>
      <c r="AH44" s="5">
        <v>1</v>
      </c>
      <c r="AI44" s="5">
        <v>4</v>
      </c>
      <c r="AJ44" s="5">
        <v>4</v>
      </c>
      <c r="AL44" s="146">
        <f>(AA44/0.01)*10^($Z$44)</f>
        <v>90000000</v>
      </c>
      <c r="AM44" s="146">
        <f t="shared" ref="AM44:AU44" si="44">(AB44/0.01)*10^($Z$44)</f>
        <v>10000000</v>
      </c>
      <c r="AN44" s="146">
        <f t="shared" si="44"/>
        <v>20000000</v>
      </c>
      <c r="AO44" s="146">
        <f t="shared" si="44"/>
        <v>10000000</v>
      </c>
      <c r="AP44" s="146">
        <f t="shared" si="44"/>
        <v>0</v>
      </c>
      <c r="AQ44" s="146">
        <f t="shared" si="44"/>
        <v>20000000</v>
      </c>
      <c r="AR44" s="146">
        <f t="shared" si="44"/>
        <v>30000000</v>
      </c>
      <c r="AS44" s="146">
        <f t="shared" si="44"/>
        <v>10000000</v>
      </c>
      <c r="AT44" s="146">
        <f t="shared" si="44"/>
        <v>40000000</v>
      </c>
      <c r="AU44" s="146">
        <f t="shared" si="44"/>
        <v>40000000</v>
      </c>
      <c r="AV44" s="146">
        <f>AVERAGE(AL44:AU44)</f>
        <v>27000000</v>
      </c>
    </row>
    <row r="45" spans="1:48" x14ac:dyDescent="0.25">
      <c r="A45" s="9" t="s">
        <v>93</v>
      </c>
      <c r="B45" s="5">
        <v>4</v>
      </c>
      <c r="C45" s="5">
        <v>23</v>
      </c>
      <c r="D45" s="5">
        <v>23</v>
      </c>
      <c r="E45" s="5">
        <v>25</v>
      </c>
      <c r="F45" s="5">
        <v>25</v>
      </c>
      <c r="G45" s="5">
        <v>23</v>
      </c>
      <c r="H45" s="5">
        <v>18</v>
      </c>
      <c r="I45" s="5">
        <v>25</v>
      </c>
      <c r="J45" s="5">
        <v>19</v>
      </c>
      <c r="K45" s="5">
        <v>22</v>
      </c>
      <c r="L45" s="5">
        <v>31</v>
      </c>
      <c r="N45" s="146">
        <f>(C45/0.01)*10^($B$45)</f>
        <v>23000000</v>
      </c>
      <c r="O45" s="146">
        <f t="shared" ref="O45:W45" si="45">(D45/0.01)*10^($B$45)</f>
        <v>23000000</v>
      </c>
      <c r="P45" s="146">
        <f t="shared" si="45"/>
        <v>25000000</v>
      </c>
      <c r="Q45" s="146">
        <f t="shared" si="45"/>
        <v>25000000</v>
      </c>
      <c r="R45" s="146">
        <f t="shared" si="45"/>
        <v>23000000</v>
      </c>
      <c r="S45" s="146">
        <f t="shared" si="45"/>
        <v>18000000</v>
      </c>
      <c r="T45" s="146">
        <f t="shared" si="45"/>
        <v>25000000</v>
      </c>
      <c r="U45" s="146">
        <f t="shared" si="45"/>
        <v>19000000</v>
      </c>
      <c r="V45" s="146">
        <f t="shared" si="45"/>
        <v>22000000</v>
      </c>
      <c r="W45" s="146">
        <f t="shared" si="45"/>
        <v>31000000</v>
      </c>
      <c r="X45" s="146">
        <f t="shared" ref="X45:X81" si="46">AVERAGE(N45:W45)</f>
        <v>23400000</v>
      </c>
      <c r="Y45" s="9" t="s">
        <v>93</v>
      </c>
      <c r="Z45" s="5">
        <v>5</v>
      </c>
      <c r="AA45" s="5">
        <v>4</v>
      </c>
      <c r="AB45" s="5">
        <v>3</v>
      </c>
      <c r="AC45" s="5">
        <v>0</v>
      </c>
      <c r="AD45" s="5">
        <v>4</v>
      </c>
      <c r="AE45" s="5">
        <v>1</v>
      </c>
      <c r="AF45" s="5">
        <v>1</v>
      </c>
      <c r="AG45" s="5">
        <v>2</v>
      </c>
      <c r="AH45" s="5">
        <v>1</v>
      </c>
      <c r="AI45" s="5">
        <v>3</v>
      </c>
      <c r="AJ45" s="5">
        <v>2</v>
      </c>
      <c r="AL45" s="146">
        <f>(AA45/0.01)*10^($Z$45)</f>
        <v>40000000</v>
      </c>
      <c r="AM45" s="146">
        <f t="shared" ref="AM45:AU45" si="47">(AB45/0.01)*10^($Z$45)</f>
        <v>30000000</v>
      </c>
      <c r="AN45" s="146">
        <f t="shared" si="47"/>
        <v>0</v>
      </c>
      <c r="AO45" s="146">
        <f t="shared" si="47"/>
        <v>40000000</v>
      </c>
      <c r="AP45" s="146">
        <f t="shared" si="47"/>
        <v>10000000</v>
      </c>
      <c r="AQ45" s="146">
        <f t="shared" si="47"/>
        <v>10000000</v>
      </c>
      <c r="AR45" s="146">
        <f t="shared" si="47"/>
        <v>20000000</v>
      </c>
      <c r="AS45" s="146">
        <f t="shared" si="47"/>
        <v>10000000</v>
      </c>
      <c r="AT45" s="146">
        <f t="shared" si="47"/>
        <v>30000000</v>
      </c>
      <c r="AU45" s="146">
        <f t="shared" si="47"/>
        <v>20000000</v>
      </c>
      <c r="AV45" s="146">
        <f t="shared" ref="AV45:AV51" si="48">AVERAGE(AL45:AU45)</f>
        <v>21000000</v>
      </c>
    </row>
    <row r="46" spans="1:48" x14ac:dyDescent="0.25">
      <c r="A46" s="9" t="s">
        <v>94</v>
      </c>
      <c r="B46" s="5">
        <v>4</v>
      </c>
      <c r="C46" s="5">
        <v>16</v>
      </c>
      <c r="D46" s="5">
        <v>22</v>
      </c>
      <c r="E46" s="5">
        <v>24</v>
      </c>
      <c r="F46" s="5">
        <v>20</v>
      </c>
      <c r="G46" s="5">
        <v>27</v>
      </c>
      <c r="H46" s="5">
        <v>34</v>
      </c>
      <c r="I46" s="5">
        <v>13</v>
      </c>
      <c r="J46" s="5">
        <v>16</v>
      </c>
      <c r="K46" s="5">
        <v>20</v>
      </c>
      <c r="L46" s="5">
        <v>28</v>
      </c>
      <c r="N46" s="146">
        <f>(C46/0.01)*10^($B$46)</f>
        <v>16000000</v>
      </c>
      <c r="O46" s="146">
        <f t="shared" ref="O46:W46" si="49">(D46/0.01)*10^($B$46)</f>
        <v>22000000</v>
      </c>
      <c r="P46" s="146">
        <f t="shared" si="49"/>
        <v>24000000</v>
      </c>
      <c r="Q46" s="146">
        <f t="shared" si="49"/>
        <v>20000000</v>
      </c>
      <c r="R46" s="146">
        <f t="shared" si="49"/>
        <v>27000000</v>
      </c>
      <c r="S46" s="146">
        <f t="shared" si="49"/>
        <v>34000000</v>
      </c>
      <c r="T46" s="146">
        <f t="shared" si="49"/>
        <v>13000000</v>
      </c>
      <c r="U46" s="146">
        <f t="shared" si="49"/>
        <v>16000000</v>
      </c>
      <c r="V46" s="146">
        <f t="shared" si="49"/>
        <v>20000000</v>
      </c>
      <c r="W46" s="146">
        <f t="shared" si="49"/>
        <v>28000000</v>
      </c>
      <c r="X46" s="146">
        <f t="shared" si="46"/>
        <v>22000000</v>
      </c>
      <c r="Y46" s="9" t="s">
        <v>94</v>
      </c>
      <c r="Z46" s="5">
        <v>5</v>
      </c>
      <c r="AA46" s="5">
        <v>5</v>
      </c>
      <c r="AB46" s="5">
        <v>3</v>
      </c>
      <c r="AC46" s="5">
        <v>2</v>
      </c>
      <c r="AD46" s="5">
        <v>3</v>
      </c>
      <c r="AE46" s="5">
        <v>5</v>
      </c>
      <c r="AF46" s="5">
        <v>3</v>
      </c>
      <c r="AG46" s="5">
        <v>4</v>
      </c>
      <c r="AH46" s="5">
        <v>2</v>
      </c>
      <c r="AI46" s="5">
        <v>3</v>
      </c>
      <c r="AJ46" s="5">
        <v>4</v>
      </c>
      <c r="AL46" s="146">
        <f>(AA46/0.01)*10^($Z$46)</f>
        <v>50000000</v>
      </c>
      <c r="AM46" s="146">
        <f t="shared" ref="AM46:AU46" si="50">(AB46/0.01)*10^($Z$46)</f>
        <v>30000000</v>
      </c>
      <c r="AN46" s="146">
        <f t="shared" si="50"/>
        <v>20000000</v>
      </c>
      <c r="AO46" s="146">
        <f t="shared" si="50"/>
        <v>30000000</v>
      </c>
      <c r="AP46" s="146">
        <f t="shared" si="50"/>
        <v>50000000</v>
      </c>
      <c r="AQ46" s="146">
        <f t="shared" si="50"/>
        <v>30000000</v>
      </c>
      <c r="AR46" s="146">
        <f t="shared" si="50"/>
        <v>40000000</v>
      </c>
      <c r="AS46" s="146">
        <f t="shared" si="50"/>
        <v>20000000</v>
      </c>
      <c r="AT46" s="146">
        <f t="shared" si="50"/>
        <v>30000000</v>
      </c>
      <c r="AU46" s="146">
        <f t="shared" si="50"/>
        <v>40000000</v>
      </c>
      <c r="AV46" s="146">
        <f t="shared" si="48"/>
        <v>34000000</v>
      </c>
    </row>
    <row r="47" spans="1:48" x14ac:dyDescent="0.25">
      <c r="A47" s="9" t="s">
        <v>95</v>
      </c>
      <c r="B47" s="5">
        <v>5</v>
      </c>
      <c r="C47" s="5">
        <v>2</v>
      </c>
      <c r="D47" s="5">
        <v>3</v>
      </c>
      <c r="E47" s="5">
        <v>3</v>
      </c>
      <c r="F47" s="5">
        <v>4</v>
      </c>
      <c r="G47" s="5">
        <v>4</v>
      </c>
      <c r="H47" s="5">
        <v>4</v>
      </c>
      <c r="I47" s="5">
        <v>2</v>
      </c>
      <c r="J47" s="5">
        <v>4</v>
      </c>
      <c r="K47" s="5">
        <v>6</v>
      </c>
      <c r="L47" s="5">
        <v>4</v>
      </c>
      <c r="N47" s="146">
        <f>(C47/0.01)*10^($B$47)</f>
        <v>20000000</v>
      </c>
      <c r="O47" s="146">
        <f t="shared" ref="O47:W47" si="51">(D47/0.01)*10^($B$47)</f>
        <v>30000000</v>
      </c>
      <c r="P47" s="146">
        <f t="shared" si="51"/>
        <v>30000000</v>
      </c>
      <c r="Q47" s="146">
        <f t="shared" si="51"/>
        <v>40000000</v>
      </c>
      <c r="R47" s="146">
        <f t="shared" si="51"/>
        <v>40000000</v>
      </c>
      <c r="S47" s="146">
        <f t="shared" si="51"/>
        <v>40000000</v>
      </c>
      <c r="T47" s="146">
        <f t="shared" si="51"/>
        <v>20000000</v>
      </c>
      <c r="U47" s="146">
        <f t="shared" si="51"/>
        <v>40000000</v>
      </c>
      <c r="V47" s="146">
        <f t="shared" si="51"/>
        <v>60000000</v>
      </c>
      <c r="W47" s="146">
        <f t="shared" si="51"/>
        <v>40000000</v>
      </c>
      <c r="X47" s="146">
        <f t="shared" si="46"/>
        <v>36000000</v>
      </c>
      <c r="Y47" s="9" t="s">
        <v>95</v>
      </c>
      <c r="Z47" s="5">
        <v>4</v>
      </c>
      <c r="AA47" s="5">
        <v>33</v>
      </c>
      <c r="AB47" s="5">
        <v>19</v>
      </c>
      <c r="AC47" s="5">
        <v>38</v>
      </c>
      <c r="AD47" s="5">
        <v>24</v>
      </c>
      <c r="AE47" s="5">
        <v>24</v>
      </c>
      <c r="AF47" s="5">
        <v>30</v>
      </c>
      <c r="AG47" s="5">
        <v>25</v>
      </c>
      <c r="AH47" s="5">
        <v>24</v>
      </c>
      <c r="AI47" s="5">
        <v>21</v>
      </c>
      <c r="AJ47" s="5">
        <v>26</v>
      </c>
      <c r="AL47" s="146">
        <f>(AA47/0.01)*10^($Z$47)</f>
        <v>33000000</v>
      </c>
      <c r="AM47" s="146">
        <f t="shared" ref="AM47:AU47" si="52">(AB47/0.01)*10^($Z$47)</f>
        <v>19000000</v>
      </c>
      <c r="AN47" s="146">
        <f t="shared" si="52"/>
        <v>38000000</v>
      </c>
      <c r="AO47" s="146">
        <f t="shared" si="52"/>
        <v>24000000</v>
      </c>
      <c r="AP47" s="146">
        <f t="shared" si="52"/>
        <v>24000000</v>
      </c>
      <c r="AQ47" s="146">
        <f t="shared" si="52"/>
        <v>30000000</v>
      </c>
      <c r="AR47" s="146">
        <f t="shared" si="52"/>
        <v>25000000</v>
      </c>
      <c r="AS47" s="146">
        <f t="shared" si="52"/>
        <v>24000000</v>
      </c>
      <c r="AT47" s="146">
        <f t="shared" si="52"/>
        <v>21000000</v>
      </c>
      <c r="AU47" s="146">
        <f t="shared" si="52"/>
        <v>26000000</v>
      </c>
      <c r="AV47" s="146">
        <f t="shared" si="48"/>
        <v>26400000</v>
      </c>
    </row>
    <row r="48" spans="1:48" x14ac:dyDescent="0.25">
      <c r="A48" s="9" t="s">
        <v>96</v>
      </c>
      <c r="B48" s="5">
        <v>5</v>
      </c>
      <c r="C48" s="5">
        <v>2</v>
      </c>
      <c r="D48" s="5">
        <v>1</v>
      </c>
      <c r="E48" s="5">
        <v>2</v>
      </c>
      <c r="F48" s="5">
        <v>2</v>
      </c>
      <c r="G48" s="5">
        <v>1</v>
      </c>
      <c r="H48" s="5">
        <v>4</v>
      </c>
      <c r="I48" s="5">
        <v>5</v>
      </c>
      <c r="J48" s="5">
        <v>3</v>
      </c>
      <c r="K48" s="5">
        <v>3</v>
      </c>
      <c r="L48" s="5">
        <v>3</v>
      </c>
      <c r="N48" s="146">
        <f>(C48/0.01)*10^($B$48)</f>
        <v>20000000</v>
      </c>
      <c r="O48" s="146">
        <f t="shared" ref="O48:W48" si="53">(D48/0.01)*10^($B$48)</f>
        <v>10000000</v>
      </c>
      <c r="P48" s="146">
        <f t="shared" si="53"/>
        <v>20000000</v>
      </c>
      <c r="Q48" s="146">
        <f t="shared" si="53"/>
        <v>20000000</v>
      </c>
      <c r="R48" s="146">
        <f t="shared" si="53"/>
        <v>10000000</v>
      </c>
      <c r="S48" s="146">
        <f t="shared" si="53"/>
        <v>40000000</v>
      </c>
      <c r="T48" s="146">
        <f t="shared" si="53"/>
        <v>50000000</v>
      </c>
      <c r="U48" s="146">
        <f t="shared" si="53"/>
        <v>30000000</v>
      </c>
      <c r="V48" s="146">
        <f t="shared" si="53"/>
        <v>30000000</v>
      </c>
      <c r="W48" s="146">
        <f t="shared" si="53"/>
        <v>30000000</v>
      </c>
      <c r="X48" s="146">
        <f t="shared" si="46"/>
        <v>26000000</v>
      </c>
      <c r="Y48" s="9" t="s">
        <v>96</v>
      </c>
      <c r="Z48" s="5">
        <v>4</v>
      </c>
      <c r="AA48" s="5">
        <v>31</v>
      </c>
      <c r="AB48" s="5">
        <v>21</v>
      </c>
      <c r="AC48" s="5">
        <v>27</v>
      </c>
      <c r="AD48" s="5">
        <v>21</v>
      </c>
      <c r="AE48" s="5">
        <v>31</v>
      </c>
      <c r="AF48" s="5">
        <v>25</v>
      </c>
      <c r="AG48" s="5">
        <v>18</v>
      </c>
      <c r="AH48" s="5">
        <v>21</v>
      </c>
      <c r="AI48" s="5">
        <v>17</v>
      </c>
      <c r="AJ48" s="5">
        <v>25</v>
      </c>
      <c r="AL48" s="146">
        <f>(AA48/0.01)*10^($Z$48)</f>
        <v>31000000</v>
      </c>
      <c r="AM48" s="146">
        <f t="shared" ref="AM48:AU48" si="54">(AB48/0.01)*10^($Z$48)</f>
        <v>21000000</v>
      </c>
      <c r="AN48" s="146">
        <f t="shared" si="54"/>
        <v>27000000</v>
      </c>
      <c r="AO48" s="146">
        <f t="shared" si="54"/>
        <v>21000000</v>
      </c>
      <c r="AP48" s="146">
        <f t="shared" si="54"/>
        <v>31000000</v>
      </c>
      <c r="AQ48" s="146">
        <f t="shared" si="54"/>
        <v>25000000</v>
      </c>
      <c r="AR48" s="146">
        <f t="shared" si="54"/>
        <v>18000000</v>
      </c>
      <c r="AS48" s="146">
        <f t="shared" si="54"/>
        <v>21000000</v>
      </c>
      <c r="AT48" s="146">
        <f t="shared" si="54"/>
        <v>17000000</v>
      </c>
      <c r="AU48" s="146">
        <f t="shared" si="54"/>
        <v>25000000</v>
      </c>
      <c r="AV48" s="146">
        <f t="shared" si="48"/>
        <v>23700000</v>
      </c>
    </row>
    <row r="49" spans="1:48" x14ac:dyDescent="0.25">
      <c r="A49" s="9" t="s">
        <v>97</v>
      </c>
      <c r="B49" s="5">
        <v>5</v>
      </c>
      <c r="C49" s="5">
        <v>2</v>
      </c>
      <c r="D49" s="5">
        <v>6</v>
      </c>
      <c r="E49" s="5">
        <v>4</v>
      </c>
      <c r="F49" s="5">
        <v>2</v>
      </c>
      <c r="G49" s="5">
        <v>1</v>
      </c>
      <c r="H49" s="5">
        <v>2</v>
      </c>
      <c r="I49" s="5">
        <v>2</v>
      </c>
      <c r="J49" s="5">
        <v>2</v>
      </c>
      <c r="K49" s="5">
        <v>2</v>
      </c>
      <c r="L49" s="5">
        <v>6</v>
      </c>
      <c r="N49" s="146">
        <f>(C49/0.01)*10^($B$49)</f>
        <v>20000000</v>
      </c>
      <c r="O49" s="146">
        <f t="shared" ref="O49:W49" si="55">(D49/0.01)*10^($B$49)</f>
        <v>60000000</v>
      </c>
      <c r="P49" s="146">
        <f t="shared" si="55"/>
        <v>40000000</v>
      </c>
      <c r="Q49" s="146">
        <f t="shared" si="55"/>
        <v>20000000</v>
      </c>
      <c r="R49" s="146">
        <f t="shared" si="55"/>
        <v>10000000</v>
      </c>
      <c r="S49" s="146">
        <f t="shared" si="55"/>
        <v>20000000</v>
      </c>
      <c r="T49" s="146">
        <f t="shared" si="55"/>
        <v>20000000</v>
      </c>
      <c r="U49" s="146">
        <f t="shared" si="55"/>
        <v>20000000</v>
      </c>
      <c r="V49" s="146">
        <f t="shared" si="55"/>
        <v>20000000</v>
      </c>
      <c r="W49" s="146">
        <f t="shared" si="55"/>
        <v>60000000</v>
      </c>
      <c r="X49" s="146">
        <f t="shared" si="46"/>
        <v>29000000</v>
      </c>
      <c r="Y49" s="9" t="s">
        <v>97</v>
      </c>
      <c r="Z49" s="5">
        <v>4</v>
      </c>
      <c r="AA49" s="5">
        <v>26</v>
      </c>
      <c r="AB49" s="5">
        <v>28</v>
      </c>
      <c r="AC49" s="5">
        <v>30</v>
      </c>
      <c r="AD49" s="5">
        <v>18</v>
      </c>
      <c r="AE49" s="5">
        <v>24</v>
      </c>
      <c r="AF49" s="5">
        <v>29</v>
      </c>
      <c r="AG49" s="5">
        <v>31</v>
      </c>
      <c r="AH49" s="5">
        <v>25</v>
      </c>
      <c r="AI49" s="5">
        <v>22</v>
      </c>
      <c r="AJ49" s="5">
        <v>29</v>
      </c>
      <c r="AL49" s="146">
        <f>(AA49/0.01)*10^($Z$49)</f>
        <v>26000000</v>
      </c>
      <c r="AM49" s="146">
        <f t="shared" ref="AM49:AU49" si="56">(AB49/0.01)*10^($Z$49)</f>
        <v>28000000</v>
      </c>
      <c r="AN49" s="146">
        <f t="shared" si="56"/>
        <v>30000000</v>
      </c>
      <c r="AO49" s="146">
        <f t="shared" si="56"/>
        <v>18000000</v>
      </c>
      <c r="AP49" s="146">
        <f t="shared" si="56"/>
        <v>24000000</v>
      </c>
      <c r="AQ49" s="146">
        <f t="shared" si="56"/>
        <v>29000000</v>
      </c>
      <c r="AR49" s="146">
        <f t="shared" si="56"/>
        <v>31000000</v>
      </c>
      <c r="AS49" s="146">
        <f t="shared" si="56"/>
        <v>25000000</v>
      </c>
      <c r="AT49" s="146">
        <f t="shared" si="56"/>
        <v>22000000</v>
      </c>
      <c r="AU49" s="146">
        <f t="shared" si="56"/>
        <v>29000000</v>
      </c>
      <c r="AV49" s="146">
        <f t="shared" si="48"/>
        <v>26200000</v>
      </c>
    </row>
    <row r="50" spans="1:48" x14ac:dyDescent="0.25">
      <c r="A50" s="9" t="s">
        <v>98</v>
      </c>
      <c r="B50" s="5">
        <v>5</v>
      </c>
      <c r="C50" s="5">
        <v>2</v>
      </c>
      <c r="D50" s="5">
        <v>4</v>
      </c>
      <c r="E50" s="5">
        <v>7</v>
      </c>
      <c r="F50" s="5">
        <v>7</v>
      </c>
      <c r="G50" s="5">
        <v>3</v>
      </c>
      <c r="H50" s="5">
        <v>8</v>
      </c>
      <c r="I50" s="5">
        <v>3</v>
      </c>
      <c r="J50" s="5">
        <v>3</v>
      </c>
      <c r="K50" s="5">
        <v>4</v>
      </c>
      <c r="L50" s="5">
        <v>7</v>
      </c>
      <c r="N50" s="146">
        <f>(C50/0.01)*10^($B$50)</f>
        <v>20000000</v>
      </c>
      <c r="O50" s="146">
        <f t="shared" ref="O50:W50" si="57">(D50/0.01)*10^($B$50)</f>
        <v>40000000</v>
      </c>
      <c r="P50" s="146">
        <f t="shared" si="57"/>
        <v>70000000</v>
      </c>
      <c r="Q50" s="146">
        <f t="shared" si="57"/>
        <v>70000000</v>
      </c>
      <c r="R50" s="146">
        <f t="shared" si="57"/>
        <v>30000000</v>
      </c>
      <c r="S50" s="146">
        <f t="shared" si="57"/>
        <v>80000000</v>
      </c>
      <c r="T50" s="146">
        <f t="shared" si="57"/>
        <v>30000000</v>
      </c>
      <c r="U50" s="146">
        <f t="shared" si="57"/>
        <v>30000000</v>
      </c>
      <c r="V50" s="146">
        <f t="shared" si="57"/>
        <v>40000000</v>
      </c>
      <c r="W50" s="146">
        <f t="shared" si="57"/>
        <v>70000000</v>
      </c>
      <c r="X50" s="146">
        <f t="shared" si="46"/>
        <v>48000000</v>
      </c>
      <c r="Y50" s="9" t="s">
        <v>98</v>
      </c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</row>
    <row r="51" spans="1:48" x14ac:dyDescent="0.25">
      <c r="A51" s="9" t="s">
        <v>99</v>
      </c>
      <c r="B51" s="5">
        <v>5</v>
      </c>
      <c r="C51" s="5">
        <v>1</v>
      </c>
      <c r="D51" s="5">
        <v>2</v>
      </c>
      <c r="E51" s="5">
        <v>3</v>
      </c>
      <c r="F51" s="5">
        <v>4</v>
      </c>
      <c r="G51" s="5">
        <v>4</v>
      </c>
      <c r="H51" s="5">
        <v>2</v>
      </c>
      <c r="I51" s="5">
        <v>3</v>
      </c>
      <c r="J51" s="5">
        <v>1</v>
      </c>
      <c r="K51" s="5">
        <v>1</v>
      </c>
      <c r="L51" s="5">
        <v>5</v>
      </c>
      <c r="N51" s="146">
        <f>(C51/0.01)*10^($B$51)</f>
        <v>10000000</v>
      </c>
      <c r="O51" s="146">
        <f t="shared" ref="O51:W51" si="58">(D51/0.01)*10^($B$51)</f>
        <v>20000000</v>
      </c>
      <c r="P51" s="146">
        <f t="shared" si="58"/>
        <v>30000000</v>
      </c>
      <c r="Q51" s="146">
        <f t="shared" si="58"/>
        <v>40000000</v>
      </c>
      <c r="R51" s="146">
        <f t="shared" si="58"/>
        <v>40000000</v>
      </c>
      <c r="S51" s="146">
        <f t="shared" si="58"/>
        <v>20000000</v>
      </c>
      <c r="T51" s="146">
        <f t="shared" si="58"/>
        <v>30000000</v>
      </c>
      <c r="U51" s="146">
        <f t="shared" si="58"/>
        <v>10000000</v>
      </c>
      <c r="V51" s="146">
        <f t="shared" si="58"/>
        <v>10000000</v>
      </c>
      <c r="W51" s="146">
        <f t="shared" si="58"/>
        <v>50000000</v>
      </c>
      <c r="X51" s="146">
        <f t="shared" si="46"/>
        <v>26000000</v>
      </c>
      <c r="Y51" s="9" t="s">
        <v>99</v>
      </c>
      <c r="Z51" s="5">
        <v>4</v>
      </c>
      <c r="AA51" s="5">
        <v>24</v>
      </c>
      <c r="AB51" s="5">
        <v>30</v>
      </c>
      <c r="AC51" s="5">
        <v>34</v>
      </c>
      <c r="AD51" s="5">
        <v>25</v>
      </c>
      <c r="AE51" s="5">
        <v>30</v>
      </c>
      <c r="AF51" s="5">
        <v>28</v>
      </c>
      <c r="AG51" s="5">
        <v>30</v>
      </c>
      <c r="AH51" s="5">
        <v>26</v>
      </c>
      <c r="AI51" s="5">
        <v>34</v>
      </c>
      <c r="AJ51" s="5">
        <v>22</v>
      </c>
      <c r="AL51" s="146">
        <f>(AA51/0.01)*10^($Z$51)</f>
        <v>24000000</v>
      </c>
      <c r="AM51" s="146">
        <f t="shared" ref="AM51:AU51" si="59">(AB51/0.01)*10^($Z$51)</f>
        <v>30000000</v>
      </c>
      <c r="AN51" s="146">
        <f t="shared" si="59"/>
        <v>34000000</v>
      </c>
      <c r="AO51" s="146">
        <f t="shared" si="59"/>
        <v>25000000</v>
      </c>
      <c r="AP51" s="146">
        <f t="shared" si="59"/>
        <v>30000000</v>
      </c>
      <c r="AQ51" s="146">
        <f t="shared" si="59"/>
        <v>28000000</v>
      </c>
      <c r="AR51" s="146">
        <f t="shared" si="59"/>
        <v>30000000</v>
      </c>
      <c r="AS51" s="146">
        <f t="shared" si="59"/>
        <v>26000000</v>
      </c>
      <c r="AT51" s="146">
        <f t="shared" si="59"/>
        <v>34000000</v>
      </c>
      <c r="AU51" s="146">
        <f t="shared" si="59"/>
        <v>22000000</v>
      </c>
      <c r="AV51" s="146">
        <f t="shared" si="48"/>
        <v>28300000</v>
      </c>
    </row>
    <row r="52" spans="1:48" x14ac:dyDescent="0.25">
      <c r="A52" s="9" t="s">
        <v>100</v>
      </c>
      <c r="B52" s="5">
        <v>5</v>
      </c>
      <c r="C52" s="5">
        <v>7</v>
      </c>
      <c r="D52" s="5">
        <v>2</v>
      </c>
      <c r="E52" s="5">
        <v>2</v>
      </c>
      <c r="F52" s="5">
        <v>4</v>
      </c>
      <c r="G52" s="5">
        <v>3</v>
      </c>
      <c r="H52" s="5">
        <v>2</v>
      </c>
      <c r="I52" s="5">
        <v>3</v>
      </c>
      <c r="J52" s="5">
        <v>3</v>
      </c>
      <c r="K52" s="5">
        <v>2</v>
      </c>
      <c r="L52" s="5">
        <v>7</v>
      </c>
      <c r="N52" s="146">
        <f>(C52/0.01)*10^($B$52)</f>
        <v>70000000</v>
      </c>
      <c r="O52" s="146">
        <f t="shared" ref="O52:W52" si="60">(D52/0.01)*10^($B$52)</f>
        <v>20000000</v>
      </c>
      <c r="P52" s="146">
        <f t="shared" si="60"/>
        <v>20000000</v>
      </c>
      <c r="Q52" s="146">
        <f t="shared" si="60"/>
        <v>40000000</v>
      </c>
      <c r="R52" s="146">
        <f t="shared" si="60"/>
        <v>30000000</v>
      </c>
      <c r="S52" s="146">
        <f t="shared" si="60"/>
        <v>20000000</v>
      </c>
      <c r="T52" s="146">
        <f t="shared" si="60"/>
        <v>30000000</v>
      </c>
      <c r="U52" s="146">
        <f t="shared" si="60"/>
        <v>30000000</v>
      </c>
      <c r="V52" s="146">
        <f t="shared" si="60"/>
        <v>20000000</v>
      </c>
      <c r="W52" s="146">
        <f t="shared" si="60"/>
        <v>70000000</v>
      </c>
      <c r="X52" s="146">
        <f t="shared" si="46"/>
        <v>35000000</v>
      </c>
      <c r="Y52" s="9" t="s">
        <v>100</v>
      </c>
    </row>
    <row r="53" spans="1:48" x14ac:dyDescent="0.25">
      <c r="A53" s="9" t="s">
        <v>101</v>
      </c>
      <c r="B53" s="5">
        <v>5</v>
      </c>
      <c r="C53" s="5">
        <v>11</v>
      </c>
      <c r="D53" s="5">
        <v>15</v>
      </c>
      <c r="E53" s="5">
        <v>12</v>
      </c>
      <c r="F53" s="5">
        <v>10</v>
      </c>
      <c r="G53" s="5">
        <v>12</v>
      </c>
      <c r="H53" s="5">
        <v>3</v>
      </c>
      <c r="I53" s="5">
        <v>13</v>
      </c>
      <c r="J53" s="5">
        <v>8</v>
      </c>
      <c r="K53" s="5">
        <v>11</v>
      </c>
      <c r="L53" s="5">
        <v>9</v>
      </c>
      <c r="N53" s="146">
        <f>(C53/0.01)*10^($B$53)</f>
        <v>110000000</v>
      </c>
      <c r="O53" s="146">
        <f t="shared" ref="O53:W53" si="61">(D53/0.01)*10^($B$53)</f>
        <v>150000000</v>
      </c>
      <c r="P53" s="146">
        <f t="shared" si="61"/>
        <v>120000000</v>
      </c>
      <c r="Q53" s="146">
        <f t="shared" si="61"/>
        <v>100000000</v>
      </c>
      <c r="R53" s="146">
        <f t="shared" si="61"/>
        <v>120000000</v>
      </c>
      <c r="S53" s="146">
        <f t="shared" si="61"/>
        <v>30000000</v>
      </c>
      <c r="T53" s="146">
        <f t="shared" si="61"/>
        <v>130000000</v>
      </c>
      <c r="U53" s="146">
        <f>(J53/0.01)*10^($B$53)</f>
        <v>80000000</v>
      </c>
      <c r="V53" s="146">
        <f t="shared" si="61"/>
        <v>110000000</v>
      </c>
      <c r="W53" s="146">
        <f t="shared" si="61"/>
        <v>90000000</v>
      </c>
      <c r="X53" s="146">
        <f t="shared" si="46"/>
        <v>104000000</v>
      </c>
      <c r="Y53" s="9" t="s">
        <v>101</v>
      </c>
    </row>
    <row r="54" spans="1:48" x14ac:dyDescent="0.25">
      <c r="A54" s="9" t="s">
        <v>102</v>
      </c>
      <c r="B54" s="5">
        <v>5</v>
      </c>
      <c r="C54" s="5">
        <v>6</v>
      </c>
      <c r="D54" s="5">
        <v>5</v>
      </c>
      <c r="E54" s="5">
        <v>14</v>
      </c>
      <c r="F54" s="5">
        <v>10</v>
      </c>
      <c r="G54" s="5">
        <v>3</v>
      </c>
      <c r="H54" s="5">
        <v>6</v>
      </c>
      <c r="I54" s="5">
        <v>3</v>
      </c>
      <c r="J54" s="5">
        <v>5</v>
      </c>
      <c r="K54" s="5">
        <v>5</v>
      </c>
      <c r="L54" s="5">
        <v>6</v>
      </c>
      <c r="N54" s="146">
        <f>(C54/0.01)*10^($B$54)</f>
        <v>60000000</v>
      </c>
      <c r="O54" s="146">
        <f t="shared" ref="O54:W54" si="62">(D54/0.01)*10^($B$54)</f>
        <v>50000000</v>
      </c>
      <c r="P54" s="146">
        <f t="shared" si="62"/>
        <v>140000000</v>
      </c>
      <c r="Q54" s="146">
        <f t="shared" si="62"/>
        <v>100000000</v>
      </c>
      <c r="R54" s="146">
        <f t="shared" si="62"/>
        <v>30000000</v>
      </c>
      <c r="S54" s="146">
        <f t="shared" si="62"/>
        <v>60000000</v>
      </c>
      <c r="T54" s="146">
        <f t="shared" si="62"/>
        <v>30000000</v>
      </c>
      <c r="U54" s="146">
        <f t="shared" si="62"/>
        <v>50000000</v>
      </c>
      <c r="V54" s="146">
        <f t="shared" si="62"/>
        <v>50000000</v>
      </c>
      <c r="W54" s="146">
        <f t="shared" si="62"/>
        <v>60000000</v>
      </c>
      <c r="X54" s="146">
        <f t="shared" si="46"/>
        <v>63000000</v>
      </c>
      <c r="Y54" s="9" t="s">
        <v>102</v>
      </c>
    </row>
    <row r="55" spans="1:48" x14ac:dyDescent="0.25">
      <c r="A55" s="9" t="s">
        <v>103</v>
      </c>
      <c r="B55" s="5">
        <v>5</v>
      </c>
      <c r="C55" s="5">
        <v>6</v>
      </c>
      <c r="D55" s="5">
        <v>7</v>
      </c>
      <c r="E55" s="5">
        <v>6</v>
      </c>
      <c r="F55" s="5">
        <v>4</v>
      </c>
      <c r="G55" s="5">
        <v>8</v>
      </c>
      <c r="H55" s="5">
        <v>8</v>
      </c>
      <c r="I55" s="5">
        <v>3</v>
      </c>
      <c r="J55" s="5">
        <v>10</v>
      </c>
      <c r="K55" s="5">
        <v>8</v>
      </c>
      <c r="L55" s="5">
        <v>6</v>
      </c>
      <c r="N55" s="146">
        <f>(C55/0.01)*10^($B$55)</f>
        <v>60000000</v>
      </c>
      <c r="O55" s="146">
        <f t="shared" ref="O55:W55" si="63">(D55/0.01)*10^($B$55)</f>
        <v>70000000</v>
      </c>
      <c r="P55" s="146">
        <f t="shared" si="63"/>
        <v>60000000</v>
      </c>
      <c r="Q55" s="146">
        <f t="shared" si="63"/>
        <v>40000000</v>
      </c>
      <c r="R55" s="146">
        <f t="shared" si="63"/>
        <v>80000000</v>
      </c>
      <c r="S55" s="146">
        <f t="shared" si="63"/>
        <v>80000000</v>
      </c>
      <c r="T55" s="146">
        <f t="shared" si="63"/>
        <v>30000000</v>
      </c>
      <c r="U55" s="146">
        <f t="shared" si="63"/>
        <v>100000000</v>
      </c>
      <c r="V55" s="146">
        <f t="shared" si="63"/>
        <v>80000000</v>
      </c>
      <c r="W55" s="146">
        <f t="shared" si="63"/>
        <v>60000000</v>
      </c>
      <c r="X55" s="146">
        <f t="shared" si="46"/>
        <v>66000000</v>
      </c>
      <c r="Y55" s="9" t="s">
        <v>103</v>
      </c>
    </row>
    <row r="56" spans="1:48" x14ac:dyDescent="0.25">
      <c r="A56" s="9" t="s">
        <v>104</v>
      </c>
      <c r="B56" s="5">
        <v>5</v>
      </c>
      <c r="C56" s="5">
        <v>13</v>
      </c>
      <c r="D56" s="5">
        <v>21</v>
      </c>
      <c r="E56" s="5">
        <v>16</v>
      </c>
      <c r="F56" s="5">
        <v>12</v>
      </c>
      <c r="G56" s="5">
        <v>15</v>
      </c>
      <c r="H56" s="5">
        <v>21</v>
      </c>
      <c r="I56" s="5">
        <v>14</v>
      </c>
      <c r="J56" s="5">
        <v>15</v>
      </c>
      <c r="K56" s="5">
        <v>17</v>
      </c>
      <c r="L56" s="5">
        <v>16</v>
      </c>
      <c r="N56" s="146">
        <f>(C56/0.01)*10^($B$56)</f>
        <v>130000000</v>
      </c>
      <c r="O56" s="146">
        <f t="shared" ref="O56:W56" si="64">(D56/0.01)*10^($B$56)</f>
        <v>210000000</v>
      </c>
      <c r="P56" s="146">
        <f t="shared" si="64"/>
        <v>160000000</v>
      </c>
      <c r="Q56" s="146">
        <f t="shared" si="64"/>
        <v>120000000</v>
      </c>
      <c r="R56" s="146">
        <f t="shared" si="64"/>
        <v>150000000</v>
      </c>
      <c r="S56" s="146">
        <f t="shared" si="64"/>
        <v>210000000</v>
      </c>
      <c r="T56" s="146">
        <f t="shared" si="64"/>
        <v>140000000</v>
      </c>
      <c r="U56" s="146">
        <f t="shared" si="64"/>
        <v>150000000</v>
      </c>
      <c r="V56" s="146">
        <f t="shared" si="64"/>
        <v>170000000</v>
      </c>
      <c r="W56" s="146">
        <f t="shared" si="64"/>
        <v>160000000</v>
      </c>
      <c r="X56" s="146">
        <f t="shared" si="46"/>
        <v>160000000</v>
      </c>
      <c r="Y56" s="9" t="s">
        <v>104</v>
      </c>
    </row>
    <row r="57" spans="1:48" x14ac:dyDescent="0.25">
      <c r="A57" s="9" t="s">
        <v>105</v>
      </c>
      <c r="B57" s="5">
        <v>5</v>
      </c>
      <c r="C57" s="5">
        <v>8</v>
      </c>
      <c r="D57" s="5">
        <v>6</v>
      </c>
      <c r="E57" s="5">
        <v>10</v>
      </c>
      <c r="F57" s="5">
        <v>13</v>
      </c>
      <c r="G57" s="5">
        <v>9</v>
      </c>
      <c r="H57" s="5">
        <v>8</v>
      </c>
      <c r="I57" s="5">
        <v>14</v>
      </c>
      <c r="J57" s="5">
        <v>8</v>
      </c>
      <c r="K57" s="5">
        <v>9</v>
      </c>
      <c r="L57" s="5">
        <v>9</v>
      </c>
      <c r="N57" s="146">
        <f>(C57/0.01)*10^($B$57)</f>
        <v>80000000</v>
      </c>
      <c r="O57" s="146">
        <f t="shared" ref="O57:W57" si="65">(D57/0.01)*10^($B$57)</f>
        <v>60000000</v>
      </c>
      <c r="P57" s="146">
        <f t="shared" si="65"/>
        <v>100000000</v>
      </c>
      <c r="Q57" s="146">
        <f t="shared" si="65"/>
        <v>130000000</v>
      </c>
      <c r="R57" s="146">
        <f t="shared" si="65"/>
        <v>90000000</v>
      </c>
      <c r="S57" s="146">
        <f t="shared" si="65"/>
        <v>80000000</v>
      </c>
      <c r="T57" s="146">
        <f t="shared" si="65"/>
        <v>140000000</v>
      </c>
      <c r="U57" s="146">
        <f t="shared" si="65"/>
        <v>80000000</v>
      </c>
      <c r="V57" s="146">
        <f t="shared" si="65"/>
        <v>90000000</v>
      </c>
      <c r="W57" s="146">
        <f t="shared" si="65"/>
        <v>90000000</v>
      </c>
      <c r="X57" s="146">
        <f t="shared" si="46"/>
        <v>94000000</v>
      </c>
      <c r="Y57" s="9" t="s">
        <v>105</v>
      </c>
    </row>
    <row r="58" spans="1:48" x14ac:dyDescent="0.25">
      <c r="A58" s="9" t="s">
        <v>106</v>
      </c>
      <c r="B58" s="5">
        <v>5</v>
      </c>
      <c r="C58" s="5">
        <v>18</v>
      </c>
      <c r="D58" s="5">
        <v>6</v>
      </c>
      <c r="E58" s="5">
        <v>9</v>
      </c>
      <c r="F58" s="5">
        <v>10</v>
      </c>
      <c r="G58" s="5">
        <v>9</v>
      </c>
      <c r="H58" s="5">
        <v>13</v>
      </c>
      <c r="I58" s="5">
        <v>17</v>
      </c>
      <c r="J58" s="5">
        <v>12</v>
      </c>
      <c r="K58" s="5">
        <v>9</v>
      </c>
      <c r="L58" s="5">
        <v>17</v>
      </c>
      <c r="N58" s="146">
        <f>(C58/0.01)*10^($B$58)</f>
        <v>180000000</v>
      </c>
      <c r="O58" s="146">
        <f t="shared" ref="O58:W58" si="66">(D58/0.01)*10^($B$58)</f>
        <v>60000000</v>
      </c>
      <c r="P58" s="146">
        <f t="shared" si="66"/>
        <v>90000000</v>
      </c>
      <c r="Q58" s="146">
        <f t="shared" si="66"/>
        <v>100000000</v>
      </c>
      <c r="R58" s="146">
        <f t="shared" si="66"/>
        <v>90000000</v>
      </c>
      <c r="S58" s="146">
        <f t="shared" si="66"/>
        <v>130000000</v>
      </c>
      <c r="T58" s="146">
        <f t="shared" si="66"/>
        <v>170000000</v>
      </c>
      <c r="U58" s="146">
        <f t="shared" si="66"/>
        <v>120000000</v>
      </c>
      <c r="V58" s="146">
        <f t="shared" si="66"/>
        <v>90000000</v>
      </c>
      <c r="W58" s="146">
        <f t="shared" si="66"/>
        <v>170000000</v>
      </c>
      <c r="X58" s="146">
        <f t="shared" si="46"/>
        <v>120000000</v>
      </c>
      <c r="Y58" s="9" t="s">
        <v>106</v>
      </c>
    </row>
    <row r="59" spans="1:48" x14ac:dyDescent="0.25">
      <c r="A59" s="9" t="s">
        <v>107</v>
      </c>
      <c r="B59" s="5">
        <v>5</v>
      </c>
      <c r="C59" s="5">
        <v>16</v>
      </c>
      <c r="D59" s="5">
        <v>19</v>
      </c>
      <c r="E59" s="5">
        <v>19</v>
      </c>
      <c r="F59" s="5">
        <v>14</v>
      </c>
      <c r="G59" s="5">
        <v>19</v>
      </c>
      <c r="H59" s="5">
        <v>13</v>
      </c>
      <c r="I59" s="5">
        <v>18</v>
      </c>
      <c r="J59" s="5">
        <v>11</v>
      </c>
      <c r="K59" s="5">
        <v>11</v>
      </c>
      <c r="L59" s="5">
        <v>12</v>
      </c>
      <c r="N59" s="146">
        <f>(C59/0.01)*10^($B$59)</f>
        <v>160000000</v>
      </c>
      <c r="O59" s="146">
        <f t="shared" ref="O59:W59" si="67">(D59/0.01)*10^($B$59)</f>
        <v>190000000</v>
      </c>
      <c r="P59" s="146">
        <f t="shared" si="67"/>
        <v>190000000</v>
      </c>
      <c r="Q59" s="146">
        <f t="shared" si="67"/>
        <v>140000000</v>
      </c>
      <c r="R59" s="146">
        <f t="shared" si="67"/>
        <v>190000000</v>
      </c>
      <c r="S59" s="146">
        <f t="shared" si="67"/>
        <v>130000000</v>
      </c>
      <c r="T59" s="146">
        <f t="shared" si="67"/>
        <v>180000000</v>
      </c>
      <c r="U59" s="146">
        <f t="shared" si="67"/>
        <v>110000000</v>
      </c>
      <c r="V59" s="146">
        <f t="shared" si="67"/>
        <v>110000000</v>
      </c>
      <c r="W59" s="146">
        <f t="shared" si="67"/>
        <v>120000000</v>
      </c>
      <c r="X59" s="146">
        <f t="shared" si="46"/>
        <v>152000000</v>
      </c>
      <c r="Y59" s="9" t="s">
        <v>107</v>
      </c>
    </row>
    <row r="60" spans="1:48" x14ac:dyDescent="0.25">
      <c r="A60" s="9" t="s">
        <v>108</v>
      </c>
      <c r="B60" s="5">
        <v>5</v>
      </c>
      <c r="C60" s="5">
        <v>14</v>
      </c>
      <c r="D60" s="5">
        <v>7</v>
      </c>
      <c r="E60" s="5">
        <v>11</v>
      </c>
      <c r="F60" s="5">
        <v>10</v>
      </c>
      <c r="G60" s="5">
        <v>14</v>
      </c>
      <c r="H60" s="5">
        <v>12</v>
      </c>
      <c r="I60" s="5">
        <v>12</v>
      </c>
      <c r="J60" s="5">
        <v>17</v>
      </c>
      <c r="K60" s="5">
        <v>13</v>
      </c>
      <c r="L60" s="5">
        <v>15</v>
      </c>
      <c r="N60" s="146">
        <f>(C60/0.01)*10^($B$60)</f>
        <v>140000000</v>
      </c>
      <c r="O60" s="146">
        <f t="shared" ref="O60:W60" si="68">(D60/0.01)*10^($B$60)</f>
        <v>70000000</v>
      </c>
      <c r="P60" s="146">
        <f t="shared" si="68"/>
        <v>110000000</v>
      </c>
      <c r="Q60" s="146">
        <f t="shared" si="68"/>
        <v>100000000</v>
      </c>
      <c r="R60" s="146">
        <f t="shared" si="68"/>
        <v>140000000</v>
      </c>
      <c r="S60" s="146">
        <f t="shared" si="68"/>
        <v>120000000</v>
      </c>
      <c r="T60" s="146">
        <f t="shared" si="68"/>
        <v>120000000</v>
      </c>
      <c r="U60" s="146">
        <f t="shared" si="68"/>
        <v>170000000</v>
      </c>
      <c r="V60" s="146">
        <f t="shared" si="68"/>
        <v>130000000</v>
      </c>
      <c r="W60" s="146">
        <f t="shared" si="68"/>
        <v>150000000</v>
      </c>
      <c r="X60" s="146">
        <f t="shared" si="46"/>
        <v>125000000</v>
      </c>
      <c r="Y60" s="9" t="s">
        <v>108</v>
      </c>
    </row>
    <row r="61" spans="1:48" x14ac:dyDescent="0.25">
      <c r="A61" s="9" t="s">
        <v>109</v>
      </c>
      <c r="B61" s="5">
        <v>5</v>
      </c>
      <c r="C61" s="5">
        <v>25</v>
      </c>
      <c r="D61" s="5">
        <v>13</v>
      </c>
      <c r="E61" s="5">
        <v>15</v>
      </c>
      <c r="F61" s="5">
        <v>15</v>
      </c>
      <c r="G61" s="5">
        <v>10</v>
      </c>
      <c r="H61" s="5">
        <v>16</v>
      </c>
      <c r="I61" s="5">
        <v>16</v>
      </c>
      <c r="J61" s="5">
        <v>18</v>
      </c>
      <c r="K61" s="5">
        <v>14</v>
      </c>
      <c r="L61" s="5">
        <v>18</v>
      </c>
      <c r="N61" s="146">
        <f>(C61/0.01)*10^($B$61)</f>
        <v>250000000</v>
      </c>
      <c r="O61" s="146">
        <f t="shared" ref="O61:W61" si="69">(D61/0.01)*10^($B$61)</f>
        <v>130000000</v>
      </c>
      <c r="P61" s="146">
        <f t="shared" si="69"/>
        <v>150000000</v>
      </c>
      <c r="Q61" s="146">
        <f t="shared" si="69"/>
        <v>150000000</v>
      </c>
      <c r="R61" s="146">
        <f t="shared" si="69"/>
        <v>100000000</v>
      </c>
      <c r="S61" s="146">
        <f t="shared" si="69"/>
        <v>160000000</v>
      </c>
      <c r="T61" s="146">
        <f t="shared" si="69"/>
        <v>160000000</v>
      </c>
      <c r="U61" s="146">
        <f t="shared" si="69"/>
        <v>180000000</v>
      </c>
      <c r="V61" s="146">
        <f t="shared" si="69"/>
        <v>140000000</v>
      </c>
      <c r="W61" s="146">
        <f t="shared" si="69"/>
        <v>180000000</v>
      </c>
      <c r="X61" s="146">
        <f t="shared" si="46"/>
        <v>160000000</v>
      </c>
      <c r="Y61" s="9" t="s">
        <v>109</v>
      </c>
    </row>
    <row r="62" spans="1:48" x14ac:dyDescent="0.25"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</row>
    <row r="63" spans="1:48" x14ac:dyDescent="0.25">
      <c r="A63" s="145" t="s">
        <v>200</v>
      </c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</row>
    <row r="64" spans="1:48" x14ac:dyDescent="0.25">
      <c r="A64" s="9" t="s">
        <v>92</v>
      </c>
      <c r="B64" s="5">
        <v>5</v>
      </c>
      <c r="C64" s="5">
        <v>5</v>
      </c>
      <c r="D64" s="5">
        <v>3</v>
      </c>
      <c r="E64" s="5">
        <v>7</v>
      </c>
      <c r="F64" s="5">
        <v>5</v>
      </c>
      <c r="G64" s="5">
        <v>4</v>
      </c>
      <c r="H64" s="5">
        <v>5</v>
      </c>
      <c r="I64" s="5">
        <v>5</v>
      </c>
      <c r="J64" s="5">
        <v>5</v>
      </c>
      <c r="K64" s="5">
        <v>7</v>
      </c>
      <c r="L64" s="5">
        <v>4</v>
      </c>
      <c r="N64" s="146">
        <f>(C64/0.01)*10^($B$64)</f>
        <v>50000000</v>
      </c>
      <c r="O64" s="146">
        <f t="shared" ref="O64:W64" si="70">(D64/0.01)*10^($B$64)</f>
        <v>30000000</v>
      </c>
      <c r="P64" s="146">
        <f t="shared" si="70"/>
        <v>70000000</v>
      </c>
      <c r="Q64" s="146">
        <f t="shared" si="70"/>
        <v>50000000</v>
      </c>
      <c r="R64" s="146">
        <f t="shared" si="70"/>
        <v>40000000</v>
      </c>
      <c r="S64" s="146">
        <f t="shared" si="70"/>
        <v>50000000</v>
      </c>
      <c r="T64" s="146">
        <f t="shared" si="70"/>
        <v>50000000</v>
      </c>
      <c r="U64" s="146">
        <f t="shared" si="70"/>
        <v>50000000</v>
      </c>
      <c r="V64" s="146">
        <f t="shared" si="70"/>
        <v>70000000</v>
      </c>
      <c r="W64" s="146">
        <f t="shared" si="70"/>
        <v>40000000</v>
      </c>
      <c r="X64" s="146">
        <f t="shared" si="46"/>
        <v>50000000</v>
      </c>
      <c r="Y64" s="9" t="s">
        <v>92</v>
      </c>
    </row>
    <row r="65" spans="1:25" x14ac:dyDescent="0.25">
      <c r="A65" s="9" t="s">
        <v>93</v>
      </c>
      <c r="B65" s="5">
        <v>5</v>
      </c>
      <c r="C65" s="5">
        <v>3</v>
      </c>
      <c r="D65" s="5">
        <v>5</v>
      </c>
      <c r="E65" s="5">
        <v>6</v>
      </c>
      <c r="F65" s="5">
        <v>7</v>
      </c>
      <c r="G65" s="5">
        <v>5</v>
      </c>
      <c r="H65" s="5">
        <v>4</v>
      </c>
      <c r="I65" s="5">
        <v>3</v>
      </c>
      <c r="J65" s="5">
        <v>6</v>
      </c>
      <c r="K65" s="5">
        <v>5</v>
      </c>
      <c r="L65" s="5">
        <v>7</v>
      </c>
      <c r="N65" s="146">
        <f>(C65/0.01)*10^($B$65)</f>
        <v>30000000</v>
      </c>
      <c r="O65" s="146">
        <f t="shared" ref="O65:W65" si="71">(D65/0.01)*10^($B$65)</f>
        <v>50000000</v>
      </c>
      <c r="P65" s="146">
        <f t="shared" si="71"/>
        <v>60000000</v>
      </c>
      <c r="Q65" s="146">
        <f t="shared" si="71"/>
        <v>70000000</v>
      </c>
      <c r="R65" s="146">
        <f t="shared" si="71"/>
        <v>50000000</v>
      </c>
      <c r="S65" s="146">
        <f t="shared" si="71"/>
        <v>40000000</v>
      </c>
      <c r="T65" s="146">
        <f t="shared" si="71"/>
        <v>30000000</v>
      </c>
      <c r="U65" s="146">
        <f t="shared" si="71"/>
        <v>60000000</v>
      </c>
      <c r="V65" s="146">
        <f t="shared" si="71"/>
        <v>50000000</v>
      </c>
      <c r="W65" s="146">
        <f t="shared" si="71"/>
        <v>70000000</v>
      </c>
      <c r="X65" s="146">
        <f t="shared" si="46"/>
        <v>51000000</v>
      </c>
      <c r="Y65" s="9" t="s">
        <v>93</v>
      </c>
    </row>
    <row r="66" spans="1:25" x14ac:dyDescent="0.25">
      <c r="A66" s="9" t="s">
        <v>94</v>
      </c>
      <c r="B66" s="5">
        <v>5</v>
      </c>
      <c r="C66" s="5">
        <v>4</v>
      </c>
      <c r="D66" s="5">
        <v>4</v>
      </c>
      <c r="E66" s="5">
        <v>7</v>
      </c>
      <c r="F66" s="5">
        <v>7</v>
      </c>
      <c r="G66" s="5">
        <v>8</v>
      </c>
      <c r="H66" s="5">
        <v>6</v>
      </c>
      <c r="I66" s="5">
        <v>8</v>
      </c>
      <c r="J66" s="5">
        <v>6</v>
      </c>
      <c r="K66" s="5">
        <v>5</v>
      </c>
      <c r="L66" s="5">
        <v>6</v>
      </c>
      <c r="N66" s="146">
        <f>(C66/0.01)*10^($B$66)</f>
        <v>40000000</v>
      </c>
      <c r="O66" s="146">
        <f t="shared" ref="O66:W66" si="72">(D66/0.01)*10^($B$66)</f>
        <v>40000000</v>
      </c>
      <c r="P66" s="146">
        <f t="shared" si="72"/>
        <v>70000000</v>
      </c>
      <c r="Q66" s="146">
        <f t="shared" si="72"/>
        <v>70000000</v>
      </c>
      <c r="R66" s="146">
        <f t="shared" si="72"/>
        <v>80000000</v>
      </c>
      <c r="S66" s="146">
        <f t="shared" si="72"/>
        <v>60000000</v>
      </c>
      <c r="T66" s="146">
        <f t="shared" si="72"/>
        <v>80000000</v>
      </c>
      <c r="U66" s="146">
        <f t="shared" si="72"/>
        <v>60000000</v>
      </c>
      <c r="V66" s="146">
        <f t="shared" si="72"/>
        <v>50000000</v>
      </c>
      <c r="W66" s="146">
        <f t="shared" si="72"/>
        <v>60000000</v>
      </c>
      <c r="X66" s="146">
        <f t="shared" si="46"/>
        <v>61000000</v>
      </c>
      <c r="Y66" s="9" t="s">
        <v>94</v>
      </c>
    </row>
    <row r="67" spans="1:25" x14ac:dyDescent="0.25">
      <c r="A67" s="9" t="s">
        <v>95</v>
      </c>
      <c r="B67" s="5">
        <v>5</v>
      </c>
      <c r="C67" s="5">
        <v>5</v>
      </c>
      <c r="D67" s="5">
        <v>7</v>
      </c>
      <c r="E67" s="5">
        <v>3</v>
      </c>
      <c r="F67" s="5">
        <v>7</v>
      </c>
      <c r="G67" s="5">
        <v>3</v>
      </c>
      <c r="H67" s="5">
        <v>3</v>
      </c>
      <c r="I67" s="5">
        <v>3</v>
      </c>
      <c r="J67" s="5">
        <v>7</v>
      </c>
      <c r="K67" s="5">
        <v>4</v>
      </c>
      <c r="L67" s="5">
        <v>6</v>
      </c>
      <c r="N67" s="146">
        <f>(C67/0.01)*10^($B$67)</f>
        <v>50000000</v>
      </c>
      <c r="O67" s="146">
        <f t="shared" ref="O67:W67" si="73">(D67/0.01)*10^($B$67)</f>
        <v>70000000</v>
      </c>
      <c r="P67" s="146">
        <f t="shared" si="73"/>
        <v>30000000</v>
      </c>
      <c r="Q67" s="146">
        <f t="shared" si="73"/>
        <v>70000000</v>
      </c>
      <c r="R67" s="146">
        <f t="shared" si="73"/>
        <v>30000000</v>
      </c>
      <c r="S67" s="146">
        <f t="shared" si="73"/>
        <v>30000000</v>
      </c>
      <c r="T67" s="146">
        <f t="shared" si="73"/>
        <v>30000000</v>
      </c>
      <c r="U67" s="146">
        <f t="shared" si="73"/>
        <v>70000000</v>
      </c>
      <c r="V67" s="146">
        <f t="shared" si="73"/>
        <v>40000000</v>
      </c>
      <c r="W67" s="146">
        <f t="shared" si="73"/>
        <v>60000000</v>
      </c>
      <c r="X67" s="146">
        <f t="shared" si="46"/>
        <v>48000000</v>
      </c>
      <c r="Y67" s="9" t="s">
        <v>95</v>
      </c>
    </row>
    <row r="68" spans="1:25" x14ac:dyDescent="0.25">
      <c r="A68" s="9" t="s">
        <v>96</v>
      </c>
      <c r="B68" s="5">
        <v>5</v>
      </c>
      <c r="C68" s="5">
        <v>4</v>
      </c>
      <c r="D68" s="5">
        <v>3</v>
      </c>
      <c r="E68" s="5">
        <v>5</v>
      </c>
      <c r="F68" s="5">
        <v>5</v>
      </c>
      <c r="G68" s="5">
        <v>5</v>
      </c>
      <c r="H68" s="5">
        <v>7</v>
      </c>
      <c r="I68" s="5">
        <v>7</v>
      </c>
      <c r="J68" s="5">
        <v>5</v>
      </c>
      <c r="K68" s="5">
        <v>14</v>
      </c>
      <c r="L68" s="5">
        <v>3</v>
      </c>
      <c r="N68" s="146">
        <f>(C68/0.01)*10^($B$68)</f>
        <v>40000000</v>
      </c>
      <c r="O68" s="146">
        <f t="shared" ref="O68:W68" si="74">(D68/0.01)*10^($B$68)</f>
        <v>30000000</v>
      </c>
      <c r="P68" s="146">
        <f t="shared" si="74"/>
        <v>50000000</v>
      </c>
      <c r="Q68" s="146">
        <f t="shared" si="74"/>
        <v>50000000</v>
      </c>
      <c r="R68" s="146">
        <f t="shared" si="74"/>
        <v>50000000</v>
      </c>
      <c r="S68" s="146">
        <f t="shared" si="74"/>
        <v>70000000</v>
      </c>
      <c r="T68" s="146">
        <f t="shared" si="74"/>
        <v>70000000</v>
      </c>
      <c r="U68" s="146">
        <f t="shared" si="74"/>
        <v>50000000</v>
      </c>
      <c r="V68" s="146">
        <f t="shared" si="74"/>
        <v>140000000</v>
      </c>
      <c r="W68" s="146">
        <f t="shared" si="74"/>
        <v>30000000</v>
      </c>
      <c r="X68" s="146">
        <f t="shared" si="46"/>
        <v>58000000</v>
      </c>
      <c r="Y68" s="9" t="s">
        <v>96</v>
      </c>
    </row>
    <row r="69" spans="1:25" x14ac:dyDescent="0.25">
      <c r="A69" s="9" t="s">
        <v>97</v>
      </c>
      <c r="B69" s="5">
        <v>5</v>
      </c>
      <c r="C69" s="5">
        <v>5</v>
      </c>
      <c r="D69" s="5">
        <v>5</v>
      </c>
      <c r="E69" s="5">
        <v>8</v>
      </c>
      <c r="F69" s="5">
        <v>3</v>
      </c>
      <c r="G69" s="5">
        <v>3</v>
      </c>
      <c r="H69" s="5">
        <v>6</v>
      </c>
      <c r="I69" s="5">
        <v>5</v>
      </c>
      <c r="J69" s="5">
        <v>7</v>
      </c>
      <c r="K69" s="5">
        <v>5</v>
      </c>
      <c r="L69" s="5">
        <v>4</v>
      </c>
      <c r="N69" s="146">
        <f>(C69/0.01)*10^($B$69)</f>
        <v>50000000</v>
      </c>
      <c r="O69" s="146">
        <f t="shared" ref="O69:W69" si="75">(D69/0.01)*10^($B$69)</f>
        <v>50000000</v>
      </c>
      <c r="P69" s="146">
        <f t="shared" si="75"/>
        <v>80000000</v>
      </c>
      <c r="Q69" s="146">
        <f t="shared" si="75"/>
        <v>30000000</v>
      </c>
      <c r="R69" s="146">
        <f t="shared" si="75"/>
        <v>30000000</v>
      </c>
      <c r="S69" s="146">
        <f t="shared" si="75"/>
        <v>60000000</v>
      </c>
      <c r="T69" s="146">
        <f t="shared" si="75"/>
        <v>50000000</v>
      </c>
      <c r="U69" s="146">
        <f t="shared" si="75"/>
        <v>70000000</v>
      </c>
      <c r="V69" s="146">
        <f t="shared" si="75"/>
        <v>50000000</v>
      </c>
      <c r="W69" s="146">
        <f t="shared" si="75"/>
        <v>40000000</v>
      </c>
      <c r="X69" s="146">
        <f t="shared" si="46"/>
        <v>51000000</v>
      </c>
      <c r="Y69" s="9" t="s">
        <v>97</v>
      </c>
    </row>
    <row r="70" spans="1:25" x14ac:dyDescent="0.25">
      <c r="A70" s="9" t="s">
        <v>98</v>
      </c>
      <c r="B70" s="5">
        <v>5</v>
      </c>
      <c r="C70" s="5">
        <v>13</v>
      </c>
      <c r="D70" s="5">
        <v>7</v>
      </c>
      <c r="E70" s="5">
        <v>2</v>
      </c>
      <c r="F70" s="5">
        <v>3</v>
      </c>
      <c r="G70" s="5">
        <v>7</v>
      </c>
      <c r="H70" s="5">
        <v>16</v>
      </c>
      <c r="I70" s="5">
        <v>2</v>
      </c>
      <c r="J70" s="5">
        <v>6</v>
      </c>
      <c r="K70" s="5">
        <v>8</v>
      </c>
      <c r="L70" s="5">
        <v>6</v>
      </c>
      <c r="N70" s="146">
        <f>(C70/0.01)*10^($B$70)</f>
        <v>130000000</v>
      </c>
      <c r="O70" s="146">
        <f t="shared" ref="O70:W70" si="76">(D70/0.01)*10^($B$70)</f>
        <v>70000000</v>
      </c>
      <c r="P70" s="146">
        <f t="shared" si="76"/>
        <v>20000000</v>
      </c>
      <c r="Q70" s="146">
        <f t="shared" si="76"/>
        <v>30000000</v>
      </c>
      <c r="R70" s="146">
        <f t="shared" si="76"/>
        <v>70000000</v>
      </c>
      <c r="S70" s="146">
        <f t="shared" si="76"/>
        <v>160000000</v>
      </c>
      <c r="T70" s="146">
        <f t="shared" si="76"/>
        <v>20000000</v>
      </c>
      <c r="U70" s="146">
        <f t="shared" si="76"/>
        <v>60000000</v>
      </c>
      <c r="V70" s="146">
        <f t="shared" si="76"/>
        <v>80000000</v>
      </c>
      <c r="W70" s="146">
        <f t="shared" si="76"/>
        <v>60000000</v>
      </c>
      <c r="X70" s="146">
        <f t="shared" si="46"/>
        <v>70000000</v>
      </c>
      <c r="Y70" s="9" t="s">
        <v>98</v>
      </c>
    </row>
    <row r="71" spans="1:25" x14ac:dyDescent="0.25">
      <c r="A71" s="9" t="s">
        <v>99</v>
      </c>
      <c r="B71" s="5">
        <v>5</v>
      </c>
      <c r="C71" s="5">
        <v>3</v>
      </c>
      <c r="D71" s="5">
        <v>8</v>
      </c>
      <c r="E71" s="5">
        <v>11</v>
      </c>
      <c r="F71" s="5">
        <v>6</v>
      </c>
      <c r="G71" s="5">
        <v>12</v>
      </c>
      <c r="H71" s="5">
        <v>8</v>
      </c>
      <c r="I71" s="5">
        <v>7</v>
      </c>
      <c r="J71" s="5">
        <v>1</v>
      </c>
      <c r="K71" s="5">
        <v>7</v>
      </c>
      <c r="L71" s="5">
        <v>6</v>
      </c>
      <c r="N71" s="146">
        <f>(C71/0.01)*10^($B$71)</f>
        <v>30000000</v>
      </c>
      <c r="O71" s="146">
        <f t="shared" ref="O71:W71" si="77">(D71/0.01)*10^($B$71)</f>
        <v>80000000</v>
      </c>
      <c r="P71" s="146">
        <f t="shared" si="77"/>
        <v>110000000</v>
      </c>
      <c r="Q71" s="146">
        <f t="shared" si="77"/>
        <v>60000000</v>
      </c>
      <c r="R71" s="146">
        <f t="shared" si="77"/>
        <v>120000000</v>
      </c>
      <c r="S71" s="146">
        <f t="shared" si="77"/>
        <v>80000000</v>
      </c>
      <c r="T71" s="146">
        <f t="shared" si="77"/>
        <v>70000000</v>
      </c>
      <c r="U71" s="146">
        <f t="shared" si="77"/>
        <v>10000000</v>
      </c>
      <c r="V71" s="146">
        <f t="shared" si="77"/>
        <v>70000000</v>
      </c>
      <c r="W71" s="146">
        <f t="shared" si="77"/>
        <v>60000000</v>
      </c>
      <c r="X71" s="146">
        <f t="shared" si="46"/>
        <v>69000000</v>
      </c>
      <c r="Y71" s="9" t="s">
        <v>99</v>
      </c>
    </row>
    <row r="72" spans="1:25" x14ac:dyDescent="0.25">
      <c r="A72" s="9" t="s">
        <v>100</v>
      </c>
      <c r="B72" s="5">
        <v>5</v>
      </c>
      <c r="C72" s="5">
        <v>7</v>
      </c>
      <c r="D72" s="5">
        <v>4</v>
      </c>
      <c r="E72" s="5">
        <v>7</v>
      </c>
      <c r="F72" s="5">
        <v>8</v>
      </c>
      <c r="G72" s="5">
        <v>2</v>
      </c>
      <c r="H72" s="5">
        <v>6</v>
      </c>
      <c r="I72" s="5">
        <v>6</v>
      </c>
      <c r="J72" s="5">
        <v>6</v>
      </c>
      <c r="K72" s="5">
        <v>7</v>
      </c>
      <c r="L72" s="5">
        <v>6</v>
      </c>
      <c r="N72" s="146">
        <f>(C72/0.01)*10^($B$72)</f>
        <v>70000000</v>
      </c>
      <c r="O72" s="146">
        <f t="shared" ref="O72:W72" si="78">(D72/0.01)*10^($B$72)</f>
        <v>40000000</v>
      </c>
      <c r="P72" s="146">
        <f t="shared" si="78"/>
        <v>70000000</v>
      </c>
      <c r="Q72" s="146">
        <f t="shared" si="78"/>
        <v>80000000</v>
      </c>
      <c r="R72" s="146">
        <f t="shared" si="78"/>
        <v>20000000</v>
      </c>
      <c r="S72" s="146">
        <f t="shared" si="78"/>
        <v>60000000</v>
      </c>
      <c r="T72" s="146">
        <f t="shared" si="78"/>
        <v>60000000</v>
      </c>
      <c r="U72" s="146">
        <f t="shared" si="78"/>
        <v>60000000</v>
      </c>
      <c r="V72" s="146">
        <f t="shared" si="78"/>
        <v>70000000</v>
      </c>
      <c r="W72" s="146">
        <f t="shared" si="78"/>
        <v>60000000</v>
      </c>
      <c r="X72" s="146">
        <f t="shared" si="46"/>
        <v>59000000</v>
      </c>
      <c r="Y72" s="9" t="s">
        <v>100</v>
      </c>
    </row>
    <row r="73" spans="1:25" x14ac:dyDescent="0.25">
      <c r="A73" s="9" t="s">
        <v>101</v>
      </c>
      <c r="B73" s="5">
        <v>5</v>
      </c>
      <c r="C73" s="5">
        <v>6</v>
      </c>
      <c r="D73" s="5">
        <v>4</v>
      </c>
      <c r="E73" s="5">
        <v>11</v>
      </c>
      <c r="F73" s="5">
        <v>6</v>
      </c>
      <c r="G73" s="5">
        <v>13</v>
      </c>
      <c r="H73" s="5">
        <v>4</v>
      </c>
      <c r="I73" s="5">
        <v>8</v>
      </c>
      <c r="J73" s="5">
        <v>5</v>
      </c>
      <c r="K73" s="5">
        <v>11</v>
      </c>
      <c r="L73" s="5">
        <v>7</v>
      </c>
      <c r="N73" s="146">
        <f>(C73/0.01)*10^($B$73)</f>
        <v>60000000</v>
      </c>
      <c r="O73" s="146">
        <f t="shared" ref="O73:W73" si="79">(D73/0.01)*10^($B$73)</f>
        <v>40000000</v>
      </c>
      <c r="P73" s="146">
        <f t="shared" si="79"/>
        <v>110000000</v>
      </c>
      <c r="Q73" s="146">
        <f t="shared" si="79"/>
        <v>60000000</v>
      </c>
      <c r="R73" s="146">
        <f t="shared" si="79"/>
        <v>130000000</v>
      </c>
      <c r="S73" s="146">
        <f t="shared" si="79"/>
        <v>40000000</v>
      </c>
      <c r="T73" s="146">
        <f t="shared" si="79"/>
        <v>80000000</v>
      </c>
      <c r="U73" s="146">
        <f t="shared" si="79"/>
        <v>50000000</v>
      </c>
      <c r="V73" s="146">
        <f t="shared" si="79"/>
        <v>110000000</v>
      </c>
      <c r="W73" s="146">
        <f t="shared" si="79"/>
        <v>70000000</v>
      </c>
      <c r="X73" s="146">
        <f t="shared" si="46"/>
        <v>75000000</v>
      </c>
      <c r="Y73" s="9" t="s">
        <v>101</v>
      </c>
    </row>
    <row r="74" spans="1:25" x14ac:dyDescent="0.25">
      <c r="A74" s="9" t="s">
        <v>102</v>
      </c>
      <c r="B74" s="5">
        <v>5</v>
      </c>
      <c r="C74" s="5">
        <v>8</v>
      </c>
      <c r="D74" s="5">
        <v>8</v>
      </c>
      <c r="E74" s="5">
        <v>10</v>
      </c>
      <c r="F74" s="5">
        <v>10</v>
      </c>
      <c r="G74" s="5">
        <v>5</v>
      </c>
      <c r="H74" s="5">
        <v>11</v>
      </c>
      <c r="I74" s="5">
        <v>14</v>
      </c>
      <c r="J74" s="5">
        <v>10</v>
      </c>
      <c r="K74" s="5">
        <v>8</v>
      </c>
      <c r="L74" s="5">
        <v>10</v>
      </c>
      <c r="N74" s="146">
        <f>(C74/0.01)*10^($B$74)</f>
        <v>80000000</v>
      </c>
      <c r="O74" s="146">
        <f t="shared" ref="O74:W74" si="80">(D74/0.01)*10^($B$74)</f>
        <v>80000000</v>
      </c>
      <c r="P74" s="146">
        <f t="shared" si="80"/>
        <v>100000000</v>
      </c>
      <c r="Q74" s="146">
        <f t="shared" si="80"/>
        <v>100000000</v>
      </c>
      <c r="R74" s="146">
        <f t="shared" si="80"/>
        <v>50000000</v>
      </c>
      <c r="S74" s="146">
        <f t="shared" si="80"/>
        <v>110000000</v>
      </c>
      <c r="T74" s="146">
        <f t="shared" si="80"/>
        <v>140000000</v>
      </c>
      <c r="U74" s="146">
        <f t="shared" si="80"/>
        <v>100000000</v>
      </c>
      <c r="V74" s="146">
        <f t="shared" si="80"/>
        <v>80000000</v>
      </c>
      <c r="W74" s="146">
        <f t="shared" si="80"/>
        <v>100000000</v>
      </c>
      <c r="X74" s="146">
        <f t="shared" si="46"/>
        <v>94000000</v>
      </c>
      <c r="Y74" s="9" t="s">
        <v>102</v>
      </c>
    </row>
    <row r="75" spans="1:25" x14ac:dyDescent="0.25">
      <c r="A75" s="9" t="s">
        <v>103</v>
      </c>
      <c r="B75" s="5">
        <v>5</v>
      </c>
      <c r="C75" s="5">
        <v>4</v>
      </c>
      <c r="D75" s="5">
        <v>11</v>
      </c>
      <c r="E75" s="5">
        <v>7</v>
      </c>
      <c r="F75" s="5">
        <v>10</v>
      </c>
      <c r="G75" s="5">
        <v>12</v>
      </c>
      <c r="H75" s="5">
        <v>9</v>
      </c>
      <c r="I75" s="5">
        <v>10</v>
      </c>
      <c r="J75" s="5">
        <v>7</v>
      </c>
      <c r="K75" s="5">
        <v>8</v>
      </c>
      <c r="L75" s="5">
        <v>7</v>
      </c>
      <c r="N75" s="146">
        <f>(C75/0.01)*10^($B$75)</f>
        <v>40000000</v>
      </c>
      <c r="O75" s="146">
        <f t="shared" ref="O75:W75" si="81">(D75/0.01)*10^($B$75)</f>
        <v>110000000</v>
      </c>
      <c r="P75" s="146">
        <f t="shared" si="81"/>
        <v>70000000</v>
      </c>
      <c r="Q75" s="146">
        <f t="shared" si="81"/>
        <v>100000000</v>
      </c>
      <c r="R75" s="146">
        <f t="shared" si="81"/>
        <v>120000000</v>
      </c>
      <c r="S75" s="146">
        <f t="shared" si="81"/>
        <v>90000000</v>
      </c>
      <c r="T75" s="146">
        <f t="shared" si="81"/>
        <v>100000000</v>
      </c>
      <c r="U75" s="146">
        <f t="shared" si="81"/>
        <v>70000000</v>
      </c>
      <c r="V75" s="146">
        <f t="shared" si="81"/>
        <v>80000000</v>
      </c>
      <c r="W75" s="146">
        <f t="shared" si="81"/>
        <v>70000000</v>
      </c>
      <c r="X75" s="146">
        <f t="shared" si="46"/>
        <v>85000000</v>
      </c>
      <c r="Y75" s="9" t="s">
        <v>103</v>
      </c>
    </row>
    <row r="76" spans="1:25" x14ac:dyDescent="0.25">
      <c r="A76" s="9" t="s">
        <v>104</v>
      </c>
      <c r="B76" s="5">
        <v>5</v>
      </c>
      <c r="C76" s="5">
        <v>13</v>
      </c>
      <c r="D76" s="5">
        <v>15</v>
      </c>
      <c r="E76" s="5">
        <v>7</v>
      </c>
      <c r="F76" s="5">
        <v>15</v>
      </c>
      <c r="G76" s="5">
        <v>15</v>
      </c>
      <c r="H76" s="5">
        <v>14</v>
      </c>
      <c r="I76" s="5">
        <v>15</v>
      </c>
      <c r="J76" s="5">
        <v>15</v>
      </c>
      <c r="K76" s="5">
        <v>14</v>
      </c>
      <c r="L76" s="5">
        <v>17</v>
      </c>
      <c r="N76" s="146">
        <f>(C76/0.01)*10^($B$76)</f>
        <v>130000000</v>
      </c>
      <c r="O76" s="146">
        <f t="shared" ref="O76:W76" si="82">(D76/0.01)*10^($B$76)</f>
        <v>150000000</v>
      </c>
      <c r="P76" s="146">
        <f t="shared" si="82"/>
        <v>70000000</v>
      </c>
      <c r="Q76" s="146">
        <f t="shared" si="82"/>
        <v>150000000</v>
      </c>
      <c r="R76" s="146">
        <f t="shared" si="82"/>
        <v>150000000</v>
      </c>
      <c r="S76" s="146">
        <f t="shared" si="82"/>
        <v>140000000</v>
      </c>
      <c r="T76" s="146">
        <f t="shared" si="82"/>
        <v>150000000</v>
      </c>
      <c r="U76" s="146">
        <f t="shared" si="82"/>
        <v>150000000</v>
      </c>
      <c r="V76" s="146">
        <f t="shared" si="82"/>
        <v>140000000</v>
      </c>
      <c r="W76" s="146">
        <f t="shared" si="82"/>
        <v>170000000</v>
      </c>
      <c r="X76" s="146">
        <f t="shared" si="46"/>
        <v>140000000</v>
      </c>
      <c r="Y76" s="9" t="s">
        <v>104</v>
      </c>
    </row>
    <row r="77" spans="1:25" x14ac:dyDescent="0.25">
      <c r="A77" s="9" t="s">
        <v>105</v>
      </c>
      <c r="B77" s="5">
        <v>5</v>
      </c>
      <c r="C77" s="5">
        <v>18</v>
      </c>
      <c r="D77" s="5">
        <v>15</v>
      </c>
      <c r="E77" s="5">
        <v>15</v>
      </c>
      <c r="F77" s="5">
        <v>14</v>
      </c>
      <c r="G77" s="5">
        <v>19</v>
      </c>
      <c r="H77" s="5">
        <v>12</v>
      </c>
      <c r="I77" s="5">
        <v>4</v>
      </c>
      <c r="J77" s="5">
        <v>11</v>
      </c>
      <c r="K77" s="5">
        <v>7</v>
      </c>
      <c r="L77" s="5">
        <v>10</v>
      </c>
      <c r="N77" s="146">
        <f>(C77/0.01)*10^($B$77)</f>
        <v>180000000</v>
      </c>
      <c r="O77" s="146">
        <f t="shared" ref="O77:W77" si="83">(D77/0.01)*10^($B$77)</f>
        <v>150000000</v>
      </c>
      <c r="P77" s="146">
        <f t="shared" si="83"/>
        <v>150000000</v>
      </c>
      <c r="Q77" s="146">
        <f t="shared" si="83"/>
        <v>140000000</v>
      </c>
      <c r="R77" s="146">
        <f t="shared" si="83"/>
        <v>190000000</v>
      </c>
      <c r="S77" s="146">
        <f t="shared" si="83"/>
        <v>120000000</v>
      </c>
      <c r="T77" s="146">
        <f t="shared" si="83"/>
        <v>40000000</v>
      </c>
      <c r="U77" s="146">
        <f t="shared" si="83"/>
        <v>110000000</v>
      </c>
      <c r="V77" s="146">
        <f t="shared" si="83"/>
        <v>70000000</v>
      </c>
      <c r="W77" s="146">
        <f t="shared" si="83"/>
        <v>100000000</v>
      </c>
      <c r="X77" s="146">
        <f t="shared" si="46"/>
        <v>125000000</v>
      </c>
      <c r="Y77" s="9" t="s">
        <v>105</v>
      </c>
    </row>
    <row r="78" spans="1:25" x14ac:dyDescent="0.25">
      <c r="A78" s="9" t="s">
        <v>106</v>
      </c>
      <c r="B78" s="5">
        <v>5</v>
      </c>
      <c r="C78" s="5">
        <v>11</v>
      </c>
      <c r="D78" s="5">
        <v>11</v>
      </c>
      <c r="E78" s="5">
        <v>11</v>
      </c>
      <c r="F78" s="5">
        <v>12</v>
      </c>
      <c r="G78" s="5">
        <v>11</v>
      </c>
      <c r="H78" s="5">
        <v>10</v>
      </c>
      <c r="I78" s="5">
        <v>20</v>
      </c>
      <c r="J78" s="5">
        <v>9</v>
      </c>
      <c r="K78" s="5">
        <v>11</v>
      </c>
      <c r="L78" s="5">
        <v>11</v>
      </c>
      <c r="N78" s="146">
        <f>(C78/0.01)*10^($B$78)</f>
        <v>110000000</v>
      </c>
      <c r="O78" s="146">
        <f t="shared" ref="O78:W78" si="84">(D78/0.01)*10^($B$78)</f>
        <v>110000000</v>
      </c>
      <c r="P78" s="146">
        <f t="shared" si="84"/>
        <v>110000000</v>
      </c>
      <c r="Q78" s="146">
        <f t="shared" si="84"/>
        <v>120000000</v>
      </c>
      <c r="R78" s="146">
        <f t="shared" si="84"/>
        <v>110000000</v>
      </c>
      <c r="S78" s="146">
        <f t="shared" si="84"/>
        <v>100000000</v>
      </c>
      <c r="T78" s="146">
        <f t="shared" si="84"/>
        <v>200000000</v>
      </c>
      <c r="U78" s="146">
        <f t="shared" si="84"/>
        <v>90000000</v>
      </c>
      <c r="V78" s="146">
        <f t="shared" si="84"/>
        <v>110000000</v>
      </c>
      <c r="W78" s="146">
        <f t="shared" si="84"/>
        <v>110000000</v>
      </c>
      <c r="X78" s="146">
        <f t="shared" si="46"/>
        <v>117000000</v>
      </c>
      <c r="Y78" s="9" t="s">
        <v>106</v>
      </c>
    </row>
    <row r="79" spans="1:25" x14ac:dyDescent="0.25">
      <c r="A79" s="9" t="s">
        <v>107</v>
      </c>
      <c r="B79" s="5">
        <v>5</v>
      </c>
      <c r="C79" s="5">
        <v>8</v>
      </c>
      <c r="D79" s="5">
        <v>14</v>
      </c>
      <c r="E79" s="5">
        <v>14</v>
      </c>
      <c r="F79" s="5">
        <v>12</v>
      </c>
      <c r="G79" s="5">
        <v>22</v>
      </c>
      <c r="H79" s="5">
        <v>17</v>
      </c>
      <c r="I79" s="5">
        <v>17</v>
      </c>
      <c r="J79" s="5">
        <v>12</v>
      </c>
      <c r="K79" s="5">
        <v>9</v>
      </c>
      <c r="L79" s="5">
        <v>12</v>
      </c>
      <c r="N79" s="146">
        <f>(C79/0.01)*10^($B$79)</f>
        <v>80000000</v>
      </c>
      <c r="O79" s="146">
        <f t="shared" ref="O79:W79" si="85">(D79/0.01)*10^($B$79)</f>
        <v>140000000</v>
      </c>
      <c r="P79" s="146">
        <f t="shared" si="85"/>
        <v>140000000</v>
      </c>
      <c r="Q79" s="146">
        <f t="shared" si="85"/>
        <v>120000000</v>
      </c>
      <c r="R79" s="146">
        <f t="shared" si="85"/>
        <v>220000000</v>
      </c>
      <c r="S79" s="146">
        <f t="shared" si="85"/>
        <v>170000000</v>
      </c>
      <c r="T79" s="146">
        <f t="shared" si="85"/>
        <v>170000000</v>
      </c>
      <c r="U79" s="146">
        <f t="shared" si="85"/>
        <v>120000000</v>
      </c>
      <c r="V79" s="146">
        <f t="shared" si="85"/>
        <v>90000000</v>
      </c>
      <c r="W79" s="146">
        <f t="shared" si="85"/>
        <v>120000000</v>
      </c>
      <c r="X79" s="146">
        <f t="shared" si="46"/>
        <v>137000000</v>
      </c>
      <c r="Y79" s="9" t="s">
        <v>107</v>
      </c>
    </row>
    <row r="80" spans="1:25" x14ac:dyDescent="0.25">
      <c r="A80" s="9" t="s">
        <v>108</v>
      </c>
      <c r="B80" s="5">
        <v>5</v>
      </c>
      <c r="C80" s="5">
        <v>13</v>
      </c>
      <c r="D80" s="5">
        <v>15</v>
      </c>
      <c r="E80" s="5">
        <v>14</v>
      </c>
      <c r="F80" s="5">
        <v>10</v>
      </c>
      <c r="G80" s="5">
        <v>19</v>
      </c>
      <c r="H80" s="5">
        <v>11</v>
      </c>
      <c r="I80" s="5">
        <v>16</v>
      </c>
      <c r="J80" s="5">
        <v>10</v>
      </c>
      <c r="K80" s="5">
        <v>12</v>
      </c>
      <c r="L80" s="5">
        <v>13</v>
      </c>
      <c r="N80" s="146">
        <f>(C80/0.01)*10^($B$80)</f>
        <v>130000000</v>
      </c>
      <c r="O80" s="146">
        <f t="shared" ref="O80:W80" si="86">(D80/0.01)*10^($B$80)</f>
        <v>150000000</v>
      </c>
      <c r="P80" s="146">
        <f t="shared" si="86"/>
        <v>140000000</v>
      </c>
      <c r="Q80" s="146">
        <f t="shared" si="86"/>
        <v>100000000</v>
      </c>
      <c r="R80" s="146">
        <f t="shared" si="86"/>
        <v>190000000</v>
      </c>
      <c r="S80" s="146">
        <f t="shared" si="86"/>
        <v>110000000</v>
      </c>
      <c r="T80" s="146">
        <f t="shared" si="86"/>
        <v>160000000</v>
      </c>
      <c r="U80" s="146">
        <f t="shared" si="86"/>
        <v>100000000</v>
      </c>
      <c r="V80" s="146">
        <f t="shared" si="86"/>
        <v>120000000</v>
      </c>
      <c r="W80" s="146">
        <f t="shared" si="86"/>
        <v>130000000</v>
      </c>
      <c r="X80" s="146">
        <f t="shared" si="46"/>
        <v>133000000</v>
      </c>
      <c r="Y80" s="9" t="s">
        <v>108</v>
      </c>
    </row>
    <row r="81" spans="1:25" x14ac:dyDescent="0.25">
      <c r="A81" s="9" t="s">
        <v>109</v>
      </c>
      <c r="B81" s="5">
        <v>5</v>
      </c>
      <c r="C81" s="5">
        <v>21</v>
      </c>
      <c r="D81" s="5">
        <v>15</v>
      </c>
      <c r="E81" s="5">
        <v>13</v>
      </c>
      <c r="F81" s="5">
        <v>13</v>
      </c>
      <c r="G81" s="5">
        <v>16</v>
      </c>
      <c r="H81" s="5">
        <v>6</v>
      </c>
      <c r="I81" s="5">
        <v>21</v>
      </c>
      <c r="J81" s="5">
        <v>12</v>
      </c>
      <c r="K81" s="5">
        <v>15</v>
      </c>
      <c r="L81" s="5">
        <v>16</v>
      </c>
      <c r="N81" s="146">
        <f>(C81/0.01)*10^($B$81)</f>
        <v>210000000</v>
      </c>
      <c r="O81" s="146">
        <f t="shared" ref="O81:W81" si="87">(D81/0.01)*10^($B$81)</f>
        <v>150000000</v>
      </c>
      <c r="P81" s="146">
        <f t="shared" si="87"/>
        <v>130000000</v>
      </c>
      <c r="Q81" s="146">
        <f t="shared" si="87"/>
        <v>130000000</v>
      </c>
      <c r="R81" s="146">
        <f t="shared" si="87"/>
        <v>160000000</v>
      </c>
      <c r="S81" s="146">
        <f t="shared" si="87"/>
        <v>60000000</v>
      </c>
      <c r="T81" s="146">
        <f t="shared" si="87"/>
        <v>210000000</v>
      </c>
      <c r="U81" s="146">
        <f t="shared" si="87"/>
        <v>120000000</v>
      </c>
      <c r="V81" s="146">
        <f t="shared" si="87"/>
        <v>150000000</v>
      </c>
      <c r="W81" s="146">
        <f t="shared" si="87"/>
        <v>160000000</v>
      </c>
      <c r="X81" s="146">
        <f t="shared" si="46"/>
        <v>148000000</v>
      </c>
      <c r="Y81" s="9" t="s">
        <v>109</v>
      </c>
    </row>
  </sheetData>
  <mergeCells count="8">
    <mergeCell ref="AL4:AP4"/>
    <mergeCell ref="AQ4:AU4"/>
    <mergeCell ref="D4:I4"/>
    <mergeCell ref="J4:O4"/>
    <mergeCell ref="P4:U4"/>
    <mergeCell ref="V4:AA4"/>
    <mergeCell ref="AB4:AF4"/>
    <mergeCell ref="AG4:AK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7DB2-5F8E-46DF-893D-8E9E04C9677E}">
  <dimension ref="A1:AW89"/>
  <sheetViews>
    <sheetView zoomScaleNormal="100" workbookViewId="0"/>
  </sheetViews>
  <sheetFormatPr defaultColWidth="8.7109375" defaultRowHeight="15" x14ac:dyDescent="0.25"/>
  <cols>
    <col min="1" max="1" width="8.7109375" style="5"/>
    <col min="2" max="2" width="13.85546875" style="5" customWidth="1"/>
    <col min="3" max="13" width="8.7109375" style="5"/>
    <col min="14" max="14" width="10" style="5" bestFit="1" customWidth="1"/>
    <col min="15" max="21" width="8.7109375" style="5"/>
    <col min="22" max="24" width="10" style="5" bestFit="1" customWidth="1"/>
    <col min="25" max="26" width="8.7109375" style="5"/>
    <col min="27" max="29" width="10" style="5" bestFit="1" customWidth="1"/>
    <col min="30" max="30" width="11" style="5" bestFit="1" customWidth="1"/>
    <col min="31" max="16384" width="8.7109375" style="5"/>
  </cols>
  <sheetData>
    <row r="1" spans="1:49" x14ac:dyDescent="0.25">
      <c r="A1" s="8" t="s">
        <v>202</v>
      </c>
      <c r="D1" s="5">
        <v>20170202</v>
      </c>
    </row>
    <row r="2" spans="1:49" x14ac:dyDescent="0.25">
      <c r="A2" s="9" t="s">
        <v>196</v>
      </c>
    </row>
    <row r="3" spans="1:49" x14ac:dyDescent="0.25">
      <c r="A3" s="9" t="s">
        <v>42</v>
      </c>
    </row>
    <row r="4" spans="1:49" x14ac:dyDescent="0.25">
      <c r="D4" s="382" t="s">
        <v>12</v>
      </c>
      <c r="E4" s="383"/>
      <c r="F4" s="383"/>
      <c r="G4" s="383"/>
      <c r="H4" s="383"/>
      <c r="I4" s="384"/>
      <c r="J4" s="382" t="s">
        <v>5</v>
      </c>
      <c r="K4" s="383"/>
      <c r="L4" s="383"/>
      <c r="M4" s="383"/>
      <c r="N4" s="383"/>
      <c r="O4" s="384"/>
      <c r="P4" s="382" t="s">
        <v>13</v>
      </c>
      <c r="Q4" s="385"/>
      <c r="R4" s="385"/>
      <c r="S4" s="385"/>
      <c r="T4" s="385"/>
      <c r="U4" s="384"/>
      <c r="V4" s="382" t="s">
        <v>14</v>
      </c>
      <c r="W4" s="383"/>
      <c r="X4" s="383"/>
      <c r="Y4" s="383"/>
      <c r="Z4" s="383"/>
      <c r="AA4" s="384"/>
      <c r="AB4" s="383" t="s">
        <v>198</v>
      </c>
      <c r="AC4" s="383"/>
      <c r="AD4" s="383"/>
      <c r="AE4" s="383"/>
      <c r="AF4" s="384"/>
      <c r="AG4" s="382" t="s">
        <v>84</v>
      </c>
      <c r="AH4" s="383"/>
      <c r="AI4" s="383"/>
      <c r="AJ4" s="383"/>
      <c r="AK4" s="384"/>
      <c r="AL4" s="382" t="s">
        <v>199</v>
      </c>
      <c r="AM4" s="383"/>
      <c r="AN4" s="383"/>
      <c r="AO4" s="383"/>
      <c r="AP4" s="384"/>
      <c r="AQ4" s="383" t="s">
        <v>86</v>
      </c>
      <c r="AR4" s="383"/>
      <c r="AS4" s="383"/>
      <c r="AT4" s="383"/>
      <c r="AU4" s="384"/>
      <c r="AV4" s="5" t="s">
        <v>76</v>
      </c>
      <c r="AW4" s="5" t="s">
        <v>77</v>
      </c>
    </row>
    <row r="5" spans="1:49" x14ac:dyDescent="0.25">
      <c r="B5" s="9" t="s">
        <v>15</v>
      </c>
      <c r="C5" s="11" t="s">
        <v>16</v>
      </c>
      <c r="D5" s="12">
        <v>1</v>
      </c>
      <c r="E5" s="13">
        <v>2</v>
      </c>
      <c r="F5" s="13">
        <v>3</v>
      </c>
      <c r="G5" s="13" t="s">
        <v>4</v>
      </c>
      <c r="H5" s="14" t="s">
        <v>17</v>
      </c>
      <c r="I5" s="15" t="s">
        <v>18</v>
      </c>
      <c r="J5" s="12">
        <v>1</v>
      </c>
      <c r="K5" s="13">
        <v>2</v>
      </c>
      <c r="L5" s="13">
        <v>3</v>
      </c>
      <c r="M5" s="13" t="s">
        <v>4</v>
      </c>
      <c r="N5" s="14" t="s">
        <v>17</v>
      </c>
      <c r="O5" s="15" t="s">
        <v>18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5" t="s">
        <v>18</v>
      </c>
      <c r="V5" s="12">
        <v>1</v>
      </c>
      <c r="W5" s="13">
        <v>2</v>
      </c>
      <c r="X5" s="13">
        <v>3</v>
      </c>
      <c r="Y5" s="13" t="s">
        <v>4</v>
      </c>
      <c r="Z5" s="14" t="s">
        <v>17</v>
      </c>
      <c r="AA5" s="15" t="s">
        <v>18</v>
      </c>
      <c r="AB5" s="13">
        <v>1</v>
      </c>
      <c r="AC5" s="13">
        <v>2</v>
      </c>
      <c r="AD5" s="13">
        <v>3</v>
      </c>
      <c r="AE5" s="14" t="s">
        <v>17</v>
      </c>
      <c r="AF5" s="196" t="s">
        <v>18</v>
      </c>
      <c r="AG5" s="12">
        <v>1</v>
      </c>
      <c r="AH5" s="13">
        <v>2</v>
      </c>
      <c r="AI5" s="13">
        <v>3</v>
      </c>
      <c r="AJ5" s="14" t="s">
        <v>17</v>
      </c>
      <c r="AK5" s="196" t="s">
        <v>18</v>
      </c>
      <c r="AL5" s="12">
        <v>1</v>
      </c>
      <c r="AM5" s="13">
        <v>2</v>
      </c>
      <c r="AN5" s="13">
        <v>3</v>
      </c>
      <c r="AO5" s="14" t="s">
        <v>17</v>
      </c>
      <c r="AP5" s="15" t="s">
        <v>18</v>
      </c>
      <c r="AQ5" s="13">
        <v>1</v>
      </c>
      <c r="AR5" s="13">
        <v>2</v>
      </c>
      <c r="AS5" s="13">
        <v>3</v>
      </c>
      <c r="AT5" s="14" t="s">
        <v>17</v>
      </c>
      <c r="AU5" s="15" t="s">
        <v>18</v>
      </c>
      <c r="AV5" s="5" t="s">
        <v>45</v>
      </c>
      <c r="AW5" s="269" t="s">
        <v>45</v>
      </c>
    </row>
    <row r="6" spans="1:49" x14ac:dyDescent="0.25">
      <c r="A6" s="5" t="s">
        <v>19</v>
      </c>
      <c r="B6" s="17">
        <v>42768.270138888889</v>
      </c>
      <c r="C6" s="266">
        <f t="shared" ref="C6:C13" si="0">(B6-$B$6)*24</f>
        <v>0</v>
      </c>
      <c r="D6" s="109">
        <v>4.3999999999999997E-2</v>
      </c>
      <c r="E6" s="109">
        <v>4.2999999999999997E-2</v>
      </c>
      <c r="F6" s="109">
        <v>4.3999999999999997E-2</v>
      </c>
      <c r="G6" s="109">
        <v>0</v>
      </c>
      <c r="H6" s="87">
        <f>AVERAGE(D6:F6)</f>
        <v>4.3666666666666666E-2</v>
      </c>
      <c r="I6" s="22">
        <f>STDEV(D6:F6)</f>
        <v>5.7735026918962634E-4</v>
      </c>
      <c r="J6" s="55">
        <v>6.97</v>
      </c>
      <c r="K6" s="55">
        <v>6.98</v>
      </c>
      <c r="L6" s="55">
        <v>6.98</v>
      </c>
      <c r="M6" s="55">
        <v>7.03</v>
      </c>
      <c r="N6" s="111">
        <f>AVERAGE(J6:L6)</f>
        <v>6.9766666666666666</v>
      </c>
      <c r="O6" s="26">
        <f>STDEV(J6:L6)</f>
        <v>5.7735026918966474E-3</v>
      </c>
      <c r="T6" s="81"/>
      <c r="U6" s="120"/>
      <c r="V6" s="84"/>
      <c r="W6" s="49"/>
      <c r="X6" s="49"/>
      <c r="Y6" s="49"/>
      <c r="Z6" s="85"/>
      <c r="AA6" s="86"/>
      <c r="AB6" s="146">
        <f>X52</f>
        <v>26900000</v>
      </c>
      <c r="AC6" s="146">
        <f>X53</f>
        <v>25300000</v>
      </c>
      <c r="AD6" s="146">
        <f>X54</f>
        <v>28100000</v>
      </c>
      <c r="AE6" s="88">
        <f>AVERAGE(AB6:AD6)</f>
        <v>26766666.666666668</v>
      </c>
      <c r="AF6" s="207">
        <f>STDEV(AB6:AD6)</f>
        <v>1404753.8337136984</v>
      </c>
      <c r="AG6" s="146">
        <f>X72</f>
        <v>49000000</v>
      </c>
      <c r="AH6" s="146">
        <f>X73</f>
        <v>49000000</v>
      </c>
      <c r="AI6" s="146">
        <f>X74</f>
        <v>66000000</v>
      </c>
      <c r="AJ6" s="88">
        <f>AVERAGE(AG6:AI6)</f>
        <v>54666666.666666664</v>
      </c>
      <c r="AK6" s="207">
        <f>STDEV(AG6:AI6)</f>
        <v>9814954.5762236472</v>
      </c>
      <c r="AL6" s="23">
        <f>AB6/(AB6+AG6)</f>
        <v>0.35441370223978919</v>
      </c>
      <c r="AM6" s="24">
        <f t="shared" ref="AM6:AN12" si="1">AC6/(AC6+AH6)</f>
        <v>0.34051144010767159</v>
      </c>
      <c r="AN6" s="24">
        <f t="shared" si="1"/>
        <v>0.29861849096705634</v>
      </c>
      <c r="AO6" s="25">
        <f>AVERAGE(AL6:AN6)</f>
        <v>0.33118121110483906</v>
      </c>
      <c r="AP6" s="26">
        <f>STDEV(AL6:AN6)</f>
        <v>2.9044212507420421E-2</v>
      </c>
      <c r="AQ6" s="24">
        <f>AG6/(AB6+AG6)</f>
        <v>0.64558629776021081</v>
      </c>
      <c r="AR6" s="24">
        <f t="shared" ref="AR6:AS12" si="2">AH6/(AC6+AH6)</f>
        <v>0.65948855989232835</v>
      </c>
      <c r="AS6" s="24">
        <f t="shared" si="2"/>
        <v>0.70138150903294372</v>
      </c>
      <c r="AT6" s="25">
        <f>AVERAGE(AQ6:AS6)</f>
        <v>0.668818788895161</v>
      </c>
      <c r="AU6" s="26">
        <f>STDEV(AQ6:AS6)</f>
        <v>2.9044212507420463E-2</v>
      </c>
      <c r="AV6" s="5">
        <f>H6*0.46</f>
        <v>2.0086666666666666E-2</v>
      </c>
      <c r="AW6" s="5">
        <f>I6*0.46</f>
        <v>2.6558112382722812E-4</v>
      </c>
    </row>
    <row r="7" spans="1:49" x14ac:dyDescent="0.25">
      <c r="A7" s="5" t="s">
        <v>20</v>
      </c>
      <c r="B7" s="17">
        <v>42768.356944444444</v>
      </c>
      <c r="C7" s="112">
        <f t="shared" si="0"/>
        <v>2.0833333333139308</v>
      </c>
      <c r="D7" s="113">
        <v>7.8E-2</v>
      </c>
      <c r="E7" s="113">
        <v>7.2999999999999995E-2</v>
      </c>
      <c r="F7" s="113">
        <v>7.8E-2</v>
      </c>
      <c r="G7" s="113">
        <v>0</v>
      </c>
      <c r="H7" s="114">
        <f t="shared" ref="H7:H15" si="3">AVERAGE(D7:F7)</f>
        <v>7.6333333333333322E-2</v>
      </c>
      <c r="I7" s="32">
        <f t="shared" ref="I7:I15" si="4">STDEV(D7:F7)</f>
        <v>2.8867513459481312E-3</v>
      </c>
      <c r="J7" s="115">
        <v>6.83</v>
      </c>
      <c r="K7" s="115">
        <v>6.83</v>
      </c>
      <c r="L7" s="115">
        <v>6.8</v>
      </c>
      <c r="M7" s="115">
        <v>7.01</v>
      </c>
      <c r="N7" s="116">
        <f t="shared" ref="N7:N13" si="5">AVERAGE(J7:L7)</f>
        <v>6.82</v>
      </c>
      <c r="O7" s="36">
        <f t="shared" ref="O7:O13" si="6">STDEV(J7:L7)</f>
        <v>1.7320508075688915E-2</v>
      </c>
      <c r="P7" s="115">
        <v>28.086456812931516</v>
      </c>
      <c r="Q7" s="115">
        <v>28.395762405792901</v>
      </c>
      <c r="R7" s="115">
        <v>29.317075589068736</v>
      </c>
      <c r="S7" s="34">
        <v>29.905023860977614</v>
      </c>
      <c r="T7" s="116">
        <f>AVERAGE(P7:R7)</f>
        <v>28.599764935931052</v>
      </c>
      <c r="U7" s="36">
        <f>STDEV(P7:R7)</f>
        <v>0.6401706157521152</v>
      </c>
      <c r="V7" s="33">
        <v>0.28187748909477961</v>
      </c>
      <c r="W7" s="34">
        <v>0.22682231477244802</v>
      </c>
      <c r="X7" s="34">
        <v>0.29976733391360705</v>
      </c>
      <c r="Y7" s="90" t="s">
        <v>21</v>
      </c>
      <c r="Z7" s="35">
        <f>AVERAGE(V7:X7)</f>
        <v>0.26948904592694495</v>
      </c>
      <c r="AA7" s="36">
        <f>STDEV(V7:X7)</f>
        <v>3.8017747138250978E-2</v>
      </c>
      <c r="AB7" s="154">
        <f>X55</f>
        <v>29400000</v>
      </c>
      <c r="AC7" s="154">
        <f>X56</f>
        <v>29000000</v>
      </c>
      <c r="AD7" s="154">
        <f>X57</f>
        <v>16300000</v>
      </c>
      <c r="AE7" s="270">
        <f t="shared" ref="AE7:AE12" si="7">AVERAGE(AB7:AD7)</f>
        <v>24900000</v>
      </c>
      <c r="AF7" s="142">
        <f t="shared" ref="AF7:AF12" si="8">STDEV(AB7:AD7)</f>
        <v>7450503.3387013525</v>
      </c>
      <c r="AG7" s="154">
        <f>X75</f>
        <v>64000000</v>
      </c>
      <c r="AH7" s="154">
        <f>X76</f>
        <v>54000000</v>
      </c>
      <c r="AI7" s="154">
        <f>X77</f>
        <v>44000000</v>
      </c>
      <c r="AJ7" s="270">
        <f t="shared" ref="AJ7:AJ12" si="9">AVERAGE(AG7:AI7)</f>
        <v>54000000</v>
      </c>
      <c r="AK7" s="142">
        <f t="shared" ref="AK7:AK12" si="10">STDEV(AG7:AI7)</f>
        <v>10000000</v>
      </c>
      <c r="AL7" s="33">
        <f t="shared" ref="AL7:AL12" si="11">AB7/(AB7+AG7)</f>
        <v>0.31477516059957172</v>
      </c>
      <c r="AM7" s="34">
        <f t="shared" si="1"/>
        <v>0.3493975903614458</v>
      </c>
      <c r="AN7" s="34">
        <f t="shared" si="1"/>
        <v>0.27031509121061359</v>
      </c>
      <c r="AO7" s="35">
        <f t="shared" ref="AO7:AO12" si="12">AVERAGE(AL7:AN7)</f>
        <v>0.3114959473905437</v>
      </c>
      <c r="AP7" s="36">
        <f t="shared" ref="AP7:AP12" si="13">STDEV(AL7:AN7)</f>
        <v>3.9643099619455113E-2</v>
      </c>
      <c r="AQ7" s="34">
        <f t="shared" ref="AQ7:AQ12" si="14">AG7/(AB7+AG7)</f>
        <v>0.68522483940042822</v>
      </c>
      <c r="AR7" s="34">
        <f t="shared" si="2"/>
        <v>0.6506024096385542</v>
      </c>
      <c r="AS7" s="34">
        <f t="shared" si="2"/>
        <v>0.72968490878938641</v>
      </c>
      <c r="AT7" s="35">
        <f t="shared" ref="AT7:AT12" si="15">AVERAGE(AQ7:AS7)</f>
        <v>0.68850405260945635</v>
      </c>
      <c r="AU7" s="36">
        <f t="shared" ref="AU7:AU12" si="16">STDEV(AQ7:AS7)</f>
        <v>3.9643099619455113E-2</v>
      </c>
      <c r="AV7" s="5">
        <f t="shared" ref="AV7:AW13" si="17">H7*0.46</f>
        <v>3.511333333333333E-2</v>
      </c>
      <c r="AW7" s="5">
        <f t="shared" si="17"/>
        <v>1.3279056191361405E-3</v>
      </c>
    </row>
    <row r="8" spans="1:49" x14ac:dyDescent="0.25">
      <c r="A8" s="5" t="s">
        <v>22</v>
      </c>
      <c r="B8" s="17">
        <v>42768.432638888888</v>
      </c>
      <c r="C8" s="112">
        <f t="shared" si="0"/>
        <v>3.8999999999650754</v>
      </c>
      <c r="D8" s="113">
        <v>0.13</v>
      </c>
      <c r="E8" s="113">
        <v>0.12</v>
      </c>
      <c r="F8" s="113">
        <v>0.13200000000000001</v>
      </c>
      <c r="G8" s="113">
        <v>0</v>
      </c>
      <c r="H8" s="114">
        <f t="shared" si="3"/>
        <v>0.12733333333333333</v>
      </c>
      <c r="I8" s="32">
        <f t="shared" si="4"/>
        <v>6.4291005073286427E-3</v>
      </c>
      <c r="J8" s="115">
        <v>6.56</v>
      </c>
      <c r="K8" s="115">
        <v>6.59</v>
      </c>
      <c r="L8" s="115">
        <v>6.54</v>
      </c>
      <c r="M8" s="115">
        <v>7.01</v>
      </c>
      <c r="N8" s="116">
        <f t="shared" si="5"/>
        <v>6.5633333333333326</v>
      </c>
      <c r="O8" s="36">
        <f t="shared" si="6"/>
        <v>2.5166114784235766E-2</v>
      </c>
      <c r="P8" s="115"/>
      <c r="Q8" s="115"/>
      <c r="R8" s="115"/>
      <c r="S8" s="115"/>
      <c r="T8" s="116"/>
      <c r="U8" s="36"/>
      <c r="V8" s="33"/>
      <c r="W8" s="34"/>
      <c r="X8" s="34"/>
      <c r="Y8" s="90"/>
      <c r="Z8" s="91"/>
      <c r="AA8" s="92"/>
      <c r="AB8" s="154">
        <f>X58</f>
        <v>83000000</v>
      </c>
      <c r="AC8" s="154">
        <f>X59</f>
        <v>57000000</v>
      </c>
      <c r="AD8" s="154">
        <f>X60</f>
        <v>92000000</v>
      </c>
      <c r="AE8" s="270">
        <f t="shared" si="7"/>
        <v>77333333.333333328</v>
      </c>
      <c r="AF8" s="142">
        <f t="shared" si="8"/>
        <v>18175074.506954104</v>
      </c>
      <c r="AG8" s="154">
        <f>X78</f>
        <v>67000000</v>
      </c>
      <c r="AH8" s="154">
        <f>X79</f>
        <v>61000000</v>
      </c>
      <c r="AI8" s="154">
        <f>X80</f>
        <v>76000000</v>
      </c>
      <c r="AJ8" s="270">
        <f t="shared" si="9"/>
        <v>68000000</v>
      </c>
      <c r="AK8" s="142">
        <f t="shared" si="10"/>
        <v>7549834.43527075</v>
      </c>
      <c r="AL8" s="33">
        <f t="shared" si="11"/>
        <v>0.55333333333333334</v>
      </c>
      <c r="AM8" s="34">
        <f t="shared" si="1"/>
        <v>0.48305084745762711</v>
      </c>
      <c r="AN8" s="34">
        <f t="shared" si="1"/>
        <v>0.54761904761904767</v>
      </c>
      <c r="AO8" s="35">
        <f t="shared" si="12"/>
        <v>0.52800107613666936</v>
      </c>
      <c r="AP8" s="36">
        <f t="shared" si="13"/>
        <v>3.9032749826648998E-2</v>
      </c>
      <c r="AQ8" s="34">
        <f t="shared" si="14"/>
        <v>0.44666666666666666</v>
      </c>
      <c r="AR8" s="34">
        <f t="shared" si="2"/>
        <v>0.51694915254237284</v>
      </c>
      <c r="AS8" s="34">
        <f t="shared" si="2"/>
        <v>0.45238095238095238</v>
      </c>
      <c r="AT8" s="35">
        <f t="shared" si="15"/>
        <v>0.47199892386333064</v>
      </c>
      <c r="AU8" s="36">
        <f t="shared" si="16"/>
        <v>3.9032749826648956E-2</v>
      </c>
      <c r="AV8" s="5">
        <f t="shared" si="17"/>
        <v>5.8573333333333331E-2</v>
      </c>
      <c r="AW8" s="5">
        <f t="shared" si="17"/>
        <v>2.9573862333711759E-3</v>
      </c>
    </row>
    <row r="9" spans="1:49" x14ac:dyDescent="0.25">
      <c r="A9" s="5" t="s">
        <v>23</v>
      </c>
      <c r="B9" s="17">
        <v>42768.504166666666</v>
      </c>
      <c r="C9" s="112">
        <f t="shared" si="0"/>
        <v>5.6166666666395031</v>
      </c>
      <c r="D9" s="113">
        <v>0.20599999999999999</v>
      </c>
      <c r="E9" s="113">
        <v>0.17699999999999999</v>
      </c>
      <c r="F9" s="113">
        <v>0.20699999999999999</v>
      </c>
      <c r="G9" s="113">
        <v>0</v>
      </c>
      <c r="H9" s="114">
        <f t="shared" si="3"/>
        <v>0.19666666666666666</v>
      </c>
      <c r="I9" s="32">
        <f t="shared" si="4"/>
        <v>1.7039170558842742E-2</v>
      </c>
      <c r="J9" s="115">
        <v>6.08</v>
      </c>
      <c r="K9" s="115">
        <v>6.23</v>
      </c>
      <c r="L9" s="115">
        <v>6.06</v>
      </c>
      <c r="M9" s="115">
        <v>7</v>
      </c>
      <c r="N9" s="116">
        <f t="shared" si="5"/>
        <v>6.123333333333334</v>
      </c>
      <c r="O9" s="36">
        <f t="shared" si="6"/>
        <v>9.291573243177606E-2</v>
      </c>
      <c r="P9" s="115">
        <v>26.897649246453064</v>
      </c>
      <c r="Q9" s="115">
        <v>27.987292812392987</v>
      </c>
      <c r="R9" s="115">
        <v>28.159093904302779</v>
      </c>
      <c r="S9" s="115">
        <v>29.851707801481119</v>
      </c>
      <c r="T9" s="116">
        <f t="shared" ref="T9" si="18">AVERAGE(P9:R9)</f>
        <v>27.681345321049609</v>
      </c>
      <c r="U9" s="36">
        <f t="shared" ref="U9" si="19">STDEV(P9:R9)</f>
        <v>0.68411516340370315</v>
      </c>
      <c r="V9" s="33">
        <v>2.08259490959139</v>
      </c>
      <c r="W9" s="34">
        <v>1.8420157742300995</v>
      </c>
      <c r="X9" s="34">
        <v>2.2337978368216529</v>
      </c>
      <c r="Y9" s="90" t="s">
        <v>21</v>
      </c>
      <c r="Z9" s="35">
        <f t="shared" ref="Z9" si="20">AVERAGE(V9:X9)</f>
        <v>2.052802840214381</v>
      </c>
      <c r="AA9" s="36">
        <f t="shared" ref="AA9" si="21">STDEV(V9:X9)</f>
        <v>0.19758282235671795</v>
      </c>
      <c r="AB9" s="154">
        <f>X61</f>
        <v>204000000</v>
      </c>
      <c r="AC9" s="154">
        <f>X62</f>
        <v>161000000</v>
      </c>
      <c r="AD9" s="154">
        <f>X63</f>
        <v>189000000</v>
      </c>
      <c r="AE9" s="270">
        <f t="shared" si="7"/>
        <v>184666666.66666666</v>
      </c>
      <c r="AF9" s="142">
        <f t="shared" si="8"/>
        <v>21825062.046494469</v>
      </c>
      <c r="AG9" s="154">
        <f>X81</f>
        <v>110000000</v>
      </c>
      <c r="AH9" s="154">
        <f>X82</f>
        <v>116000000</v>
      </c>
      <c r="AI9" s="154">
        <f>X83</f>
        <v>125000000</v>
      </c>
      <c r="AJ9" s="270">
        <f t="shared" si="9"/>
        <v>117000000</v>
      </c>
      <c r="AK9" s="142">
        <f t="shared" si="10"/>
        <v>7549834.43527075</v>
      </c>
      <c r="AL9" s="33">
        <f t="shared" si="11"/>
        <v>0.64968152866242035</v>
      </c>
      <c r="AM9" s="34">
        <f t="shared" si="1"/>
        <v>0.58122743682310474</v>
      </c>
      <c r="AN9" s="34">
        <f t="shared" si="1"/>
        <v>0.60191082802547768</v>
      </c>
      <c r="AO9" s="35">
        <f t="shared" si="12"/>
        <v>0.61093993117033429</v>
      </c>
      <c r="AP9" s="36">
        <f t="shared" si="13"/>
        <v>3.5108890613158202E-2</v>
      </c>
      <c r="AQ9" s="34">
        <f t="shared" si="14"/>
        <v>0.3503184713375796</v>
      </c>
      <c r="AR9" s="34">
        <f t="shared" si="2"/>
        <v>0.41877256317689532</v>
      </c>
      <c r="AS9" s="34">
        <f t="shared" si="2"/>
        <v>0.39808917197452232</v>
      </c>
      <c r="AT9" s="35">
        <f t="shared" si="15"/>
        <v>0.38906006882966571</v>
      </c>
      <c r="AU9" s="36">
        <f t="shared" si="16"/>
        <v>3.5108890613158257E-2</v>
      </c>
      <c r="AV9" s="5">
        <f t="shared" si="17"/>
        <v>9.0466666666666667E-2</v>
      </c>
      <c r="AW9" s="5">
        <f t="shared" si="17"/>
        <v>7.8380184570676619E-3</v>
      </c>
    </row>
    <row r="10" spans="1:49" x14ac:dyDescent="0.25">
      <c r="A10" s="5" t="s">
        <v>24</v>
      </c>
      <c r="B10" s="17">
        <v>42768.590277777781</v>
      </c>
      <c r="C10" s="266">
        <f t="shared" si="0"/>
        <v>7.683333333407063</v>
      </c>
      <c r="D10" s="109">
        <v>0.22600000000000001</v>
      </c>
      <c r="E10" s="109">
        <v>0.20100000000000001</v>
      </c>
      <c r="F10" s="109">
        <v>0.22700000000000001</v>
      </c>
      <c r="G10" s="109">
        <v>0</v>
      </c>
      <c r="H10" s="87">
        <f t="shared" si="3"/>
        <v>0.218</v>
      </c>
      <c r="I10" s="22">
        <f t="shared" si="4"/>
        <v>1.4730919862656231E-2</v>
      </c>
      <c r="J10" s="55">
        <v>5.44</v>
      </c>
      <c r="K10" s="55">
        <v>5.72</v>
      </c>
      <c r="L10" s="55">
        <v>5.36</v>
      </c>
      <c r="M10" s="55">
        <v>7.01</v>
      </c>
      <c r="N10" s="111">
        <f t="shared" si="5"/>
        <v>5.5066666666666668</v>
      </c>
      <c r="O10" s="26">
        <f t="shared" si="6"/>
        <v>0.18903262505010401</v>
      </c>
      <c r="T10" s="111"/>
      <c r="U10" s="26"/>
      <c r="V10" s="84"/>
      <c r="W10" s="49"/>
      <c r="X10" s="49"/>
      <c r="Y10" s="49"/>
      <c r="Z10" s="25"/>
      <c r="AA10" s="26"/>
      <c r="AB10" s="146">
        <f>X64</f>
        <v>227000000</v>
      </c>
      <c r="AC10" s="146">
        <f>X65</f>
        <v>176000000</v>
      </c>
      <c r="AD10" s="146">
        <f>X66</f>
        <v>199000000</v>
      </c>
      <c r="AE10" s="88">
        <f t="shared" si="7"/>
        <v>200666666.66666666</v>
      </c>
      <c r="AF10" s="136">
        <f t="shared" si="8"/>
        <v>25540817.005987417</v>
      </c>
      <c r="AG10" s="146">
        <f>X84</f>
        <v>148000000</v>
      </c>
      <c r="AH10" s="146">
        <f>X85</f>
        <v>108000000</v>
      </c>
      <c r="AI10" s="146">
        <f>X86</f>
        <v>135000000</v>
      </c>
      <c r="AJ10" s="88">
        <f t="shared" si="9"/>
        <v>130333333.33333333</v>
      </c>
      <c r="AK10" s="136">
        <f t="shared" si="10"/>
        <v>20404247.923737153</v>
      </c>
      <c r="AL10" s="23">
        <f t="shared" si="11"/>
        <v>0.60533333333333328</v>
      </c>
      <c r="AM10" s="24">
        <f t="shared" si="1"/>
        <v>0.61971830985915488</v>
      </c>
      <c r="AN10" s="24">
        <f t="shared" si="1"/>
        <v>0.59580838323353291</v>
      </c>
      <c r="AO10" s="25">
        <f t="shared" si="12"/>
        <v>0.60695334214200702</v>
      </c>
      <c r="AP10" s="26">
        <f t="shared" si="13"/>
        <v>1.2037004162821909E-2</v>
      </c>
      <c r="AQ10" s="24">
        <f t="shared" si="14"/>
        <v>0.39466666666666667</v>
      </c>
      <c r="AR10" s="24">
        <f t="shared" si="2"/>
        <v>0.38028169014084506</v>
      </c>
      <c r="AS10" s="24">
        <f t="shared" si="2"/>
        <v>0.40419161676646709</v>
      </c>
      <c r="AT10" s="25">
        <f t="shared" si="15"/>
        <v>0.39304665785799298</v>
      </c>
      <c r="AU10" s="26">
        <f t="shared" si="16"/>
        <v>1.2037004162821935E-2</v>
      </c>
      <c r="AV10" s="5">
        <f t="shared" si="17"/>
        <v>0.10028000000000001</v>
      </c>
      <c r="AW10" s="5">
        <f t="shared" si="17"/>
        <v>6.7762231368218668E-3</v>
      </c>
    </row>
    <row r="11" spans="1:49" x14ac:dyDescent="0.25">
      <c r="A11" s="5" t="s">
        <v>40</v>
      </c>
      <c r="B11" s="17">
        <v>42768.65902777778</v>
      </c>
      <c r="C11" s="266">
        <f t="shared" si="0"/>
        <v>9.3333333333721384</v>
      </c>
      <c r="D11" s="109">
        <v>0.22500000000000001</v>
      </c>
      <c r="E11" s="109">
        <v>0.20300000000000001</v>
      </c>
      <c r="F11" s="109">
        <v>0.22600000000000001</v>
      </c>
      <c r="G11" s="109">
        <v>0</v>
      </c>
      <c r="H11" s="87">
        <f t="shared" si="3"/>
        <v>0.218</v>
      </c>
      <c r="I11" s="22">
        <f t="shared" si="4"/>
        <v>1.2999999999999996E-2</v>
      </c>
      <c r="J11" s="55">
        <v>5</v>
      </c>
      <c r="K11" s="55">
        <v>5.19</v>
      </c>
      <c r="L11" s="55">
        <v>4.95</v>
      </c>
      <c r="M11" s="55">
        <v>6.97</v>
      </c>
      <c r="N11" s="111">
        <f t="shared" si="5"/>
        <v>5.0466666666666669</v>
      </c>
      <c r="O11" s="26">
        <f t="shared" si="6"/>
        <v>0.12662279942148402</v>
      </c>
      <c r="T11" s="111"/>
      <c r="U11" s="26"/>
      <c r="V11" s="84"/>
      <c r="W11" s="49"/>
      <c r="X11" s="49"/>
      <c r="Y11" s="49"/>
      <c r="Z11" s="25"/>
      <c r="AA11" s="26"/>
      <c r="AB11" s="146"/>
      <c r="AC11" s="146"/>
      <c r="AD11" s="146"/>
      <c r="AE11" s="88"/>
      <c r="AF11" s="136"/>
      <c r="AG11" s="146"/>
      <c r="AH11" s="146"/>
      <c r="AI11" s="146"/>
      <c r="AJ11" s="88"/>
      <c r="AK11" s="136"/>
      <c r="AL11" s="23"/>
      <c r="AM11" s="24"/>
      <c r="AN11" s="24"/>
      <c r="AO11" s="25"/>
      <c r="AP11" s="26"/>
      <c r="AQ11" s="24"/>
      <c r="AR11" s="24"/>
      <c r="AS11" s="24"/>
      <c r="AT11" s="25"/>
      <c r="AU11" s="26"/>
      <c r="AV11" s="5">
        <f t="shared" si="17"/>
        <v>0.10028000000000001</v>
      </c>
      <c r="AW11" s="5">
        <f t="shared" si="17"/>
        <v>5.9799999999999983E-3</v>
      </c>
    </row>
    <row r="12" spans="1:49" x14ac:dyDescent="0.25">
      <c r="A12" s="5" t="s">
        <v>46</v>
      </c>
      <c r="B12" s="17">
        <v>42768.757638888892</v>
      </c>
      <c r="C12" s="266">
        <f t="shared" si="0"/>
        <v>11.700000000069849</v>
      </c>
      <c r="D12" s="109">
        <v>0.218</v>
      </c>
      <c r="E12" s="109">
        <v>0.20100000000000001</v>
      </c>
      <c r="F12" s="109">
        <v>0.22</v>
      </c>
      <c r="G12" s="109">
        <v>0</v>
      </c>
      <c r="H12" s="87">
        <f t="shared" si="3"/>
        <v>0.21299999999999999</v>
      </c>
      <c r="I12" s="22">
        <f t="shared" si="4"/>
        <v>1.0440306508910544E-2</v>
      </c>
      <c r="J12" s="55">
        <v>4.7300000000000004</v>
      </c>
      <c r="K12" s="55">
        <v>4.79</v>
      </c>
      <c r="L12" s="55">
        <v>4.6900000000000004</v>
      </c>
      <c r="M12" s="55">
        <v>6.98</v>
      </c>
      <c r="N12" s="111">
        <f t="shared" si="5"/>
        <v>4.7366666666666672</v>
      </c>
      <c r="O12" s="26">
        <f t="shared" si="6"/>
        <v>5.033222956847147E-2</v>
      </c>
      <c r="P12" s="55">
        <v>24.309144875585851</v>
      </c>
      <c r="Q12" s="55">
        <v>24.445392640963348</v>
      </c>
      <c r="R12" s="55">
        <v>24.39779930849534</v>
      </c>
      <c r="S12" s="55">
        <v>28.843257498906489</v>
      </c>
      <c r="T12" s="111">
        <f t="shared" ref="T12" si="22">AVERAGE(P12:R12)</f>
        <v>24.384112275014846</v>
      </c>
      <c r="U12" s="26">
        <f t="shared" ref="U12" si="23">STDEV(P12:R12)</f>
        <v>6.9147411786071325E-2</v>
      </c>
      <c r="V12" s="55">
        <v>5.9605505149071298</v>
      </c>
      <c r="W12" s="55">
        <v>5.424896107753419</v>
      </c>
      <c r="X12" s="55">
        <v>6.1917640092318074</v>
      </c>
      <c r="Y12" s="49" t="s">
        <v>21</v>
      </c>
      <c r="Z12" s="25">
        <f t="shared" ref="Z12" si="24">AVERAGE(V12:X12)</f>
        <v>5.8590702106307857</v>
      </c>
      <c r="AA12" s="26">
        <f t="shared" ref="AA12" si="25">STDEV(V12:X12)</f>
        <v>0.39337677066202242</v>
      </c>
      <c r="AB12" s="146">
        <f>X67</f>
        <v>176000000</v>
      </c>
      <c r="AC12" s="146">
        <f>X68</f>
        <v>175000000</v>
      </c>
      <c r="AD12" s="146">
        <f>X69</f>
        <v>224000000</v>
      </c>
      <c r="AE12" s="88">
        <f t="shared" si="7"/>
        <v>191666666.66666666</v>
      </c>
      <c r="AF12" s="136">
        <f t="shared" si="8"/>
        <v>28005951.748393342</v>
      </c>
      <c r="AG12" s="146">
        <f>X87</f>
        <v>125000000</v>
      </c>
      <c r="AH12" s="146">
        <f>X88</f>
        <v>125000000</v>
      </c>
      <c r="AI12" s="146">
        <f>X89</f>
        <v>146000000</v>
      </c>
      <c r="AJ12" s="88">
        <f t="shared" si="9"/>
        <v>132000000</v>
      </c>
      <c r="AK12" s="136">
        <f t="shared" si="10"/>
        <v>12124355.652982142</v>
      </c>
      <c r="AL12" s="23">
        <f t="shared" si="11"/>
        <v>0.58471760797342198</v>
      </c>
      <c r="AM12" s="24">
        <f t="shared" si="1"/>
        <v>0.58333333333333337</v>
      </c>
      <c r="AN12" s="24">
        <f t="shared" si="1"/>
        <v>0.60540540540540544</v>
      </c>
      <c r="AO12" s="25">
        <f t="shared" si="12"/>
        <v>0.59115211557072023</v>
      </c>
      <c r="AP12" s="26">
        <f t="shared" si="13"/>
        <v>1.2363100638733511E-2</v>
      </c>
      <c r="AQ12" s="24">
        <f t="shared" si="14"/>
        <v>0.41528239202657807</v>
      </c>
      <c r="AR12" s="24">
        <f t="shared" si="2"/>
        <v>0.41666666666666669</v>
      </c>
      <c r="AS12" s="24">
        <f t="shared" si="2"/>
        <v>0.39459459459459462</v>
      </c>
      <c r="AT12" s="25">
        <f t="shared" si="15"/>
        <v>0.40884788442927977</v>
      </c>
      <c r="AU12" s="26">
        <f t="shared" si="16"/>
        <v>1.2363100638733511E-2</v>
      </c>
      <c r="AV12" s="5">
        <f t="shared" si="17"/>
        <v>9.7979999999999998E-2</v>
      </c>
      <c r="AW12" s="5">
        <f t="shared" si="17"/>
        <v>4.8025409940988502E-3</v>
      </c>
    </row>
    <row r="13" spans="1:49" x14ac:dyDescent="0.25">
      <c r="A13" s="5" t="s">
        <v>65</v>
      </c>
      <c r="B13" s="17">
        <v>42768.927777777775</v>
      </c>
      <c r="C13" s="267">
        <f t="shared" si="0"/>
        <v>15.783333333267365</v>
      </c>
      <c r="D13" s="41">
        <v>0.20899999999999999</v>
      </c>
      <c r="E13" s="41">
        <v>0.192</v>
      </c>
      <c r="F13" s="41">
        <v>0.21099999999999999</v>
      </c>
      <c r="G13" s="41">
        <v>2E-3</v>
      </c>
      <c r="H13" s="42">
        <f t="shared" si="3"/>
        <v>0.20399999999999999</v>
      </c>
      <c r="I13" s="43">
        <f t="shared" si="4"/>
        <v>1.0440306508910544E-2</v>
      </c>
      <c r="J13" s="45">
        <v>4.45</v>
      </c>
      <c r="K13" s="45">
        <v>4.49</v>
      </c>
      <c r="L13" s="45">
        <v>4.5</v>
      </c>
      <c r="M13" s="45">
        <v>6.91</v>
      </c>
      <c r="N13" s="46">
        <f t="shared" si="5"/>
        <v>4.4800000000000004</v>
      </c>
      <c r="O13" s="47">
        <f t="shared" si="6"/>
        <v>2.6457513110645845E-2</v>
      </c>
      <c r="P13" s="64"/>
      <c r="Q13" s="62"/>
      <c r="R13" s="62"/>
      <c r="S13" s="62"/>
      <c r="T13" s="104"/>
      <c r="U13" s="80"/>
      <c r="V13" s="64"/>
      <c r="W13" s="49"/>
      <c r="X13" s="62"/>
      <c r="Y13" s="62"/>
      <c r="Z13" s="46"/>
      <c r="AA13" s="47"/>
      <c r="AB13" s="62"/>
      <c r="AC13" s="62"/>
      <c r="AD13" s="62"/>
      <c r="AE13" s="104"/>
      <c r="AF13" s="80"/>
      <c r="AG13" s="62"/>
      <c r="AH13" s="62"/>
      <c r="AI13" s="62"/>
      <c r="AJ13" s="62"/>
      <c r="AK13" s="63"/>
      <c r="AL13" s="64"/>
      <c r="AM13" s="62"/>
      <c r="AN13" s="62"/>
      <c r="AO13" s="62"/>
      <c r="AP13" s="63"/>
      <c r="AQ13" s="62"/>
      <c r="AR13" s="62"/>
      <c r="AS13" s="62"/>
      <c r="AT13" s="62"/>
      <c r="AU13" s="63"/>
      <c r="AV13" s="5">
        <f t="shared" si="17"/>
        <v>9.3839999999999993E-2</v>
      </c>
      <c r="AW13" s="5">
        <f t="shared" si="17"/>
        <v>4.8025409940988502E-3</v>
      </c>
    </row>
    <row r="14" spans="1:49" ht="18.75" x14ac:dyDescent="0.35">
      <c r="C14" s="268" t="s">
        <v>25</v>
      </c>
      <c r="D14" s="55">
        <f>LN(LOGEST(D7:D9,$C$7:$C$9))</f>
        <v>0.27492006985031975</v>
      </c>
      <c r="E14" s="55">
        <f t="shared" ref="E14:F14" si="26">LN(LOGEST(E7:E9,$C$7:$C$9))</f>
        <v>0.25088943465556901</v>
      </c>
      <c r="F14" s="55">
        <f t="shared" si="26"/>
        <v>0.2763588380170996</v>
      </c>
      <c r="G14" s="55"/>
      <c r="H14" s="111">
        <f t="shared" si="3"/>
        <v>0.2673894475076628</v>
      </c>
      <c r="I14" s="51">
        <f t="shared" si="4"/>
        <v>1.4307527094116564E-2</v>
      </c>
      <c r="M14" s="50"/>
      <c r="N14" s="81"/>
      <c r="O14" s="123" t="s">
        <v>87</v>
      </c>
      <c r="P14" s="55">
        <f>P7-P9</f>
        <v>1.1888075664784523</v>
      </c>
      <c r="Q14" s="55">
        <f t="shared" ref="Q14:R14" si="27">Q7-Q9</f>
        <v>0.40846959339991429</v>
      </c>
      <c r="R14" s="55">
        <f t="shared" si="27"/>
        <v>1.1579816847659572</v>
      </c>
      <c r="T14" s="111">
        <f>AVERAGE(P14:R14)</f>
        <v>0.9184196148814413</v>
      </c>
      <c r="U14" s="26">
        <f>STDEV(P14:R14)</f>
        <v>0.44189854837122472</v>
      </c>
      <c r="V14" s="23">
        <f>V9-V7</f>
        <v>1.8007174204966105</v>
      </c>
      <c r="W14" s="119">
        <f t="shared" ref="W14:X14" si="28">W9-W7</f>
        <v>1.6151934594576516</v>
      </c>
      <c r="X14" s="24">
        <f t="shared" si="28"/>
        <v>1.9340305029080458</v>
      </c>
      <c r="Y14" s="49"/>
      <c r="Z14" s="25">
        <f t="shared" ref="Z14" si="29">AVERAGE(V14:X14)</f>
        <v>1.7833137942874362</v>
      </c>
      <c r="AA14" s="26">
        <f t="shared" ref="AA14" si="30">STDEV(V14:X14)</f>
        <v>0.16012941554557875</v>
      </c>
      <c r="AF14" s="59"/>
      <c r="AK14" s="59"/>
      <c r="AL14" s="84"/>
      <c r="AM14" s="49"/>
      <c r="AN14" s="49"/>
      <c r="AO14" s="49"/>
      <c r="AP14" s="59"/>
      <c r="AQ14" s="49"/>
      <c r="AR14" s="49"/>
      <c r="AS14" s="49"/>
      <c r="AT14" s="49"/>
      <c r="AU14" s="59"/>
    </row>
    <row r="15" spans="1:49" ht="18" x14ac:dyDescent="0.35">
      <c r="A15" s="52" t="s">
        <v>27</v>
      </c>
      <c r="B15" s="53"/>
      <c r="C15" s="54" t="s">
        <v>28</v>
      </c>
      <c r="D15" s="55">
        <f>D11*0.46</f>
        <v>0.10350000000000001</v>
      </c>
      <c r="E15" s="55">
        <f>E11*0.46</f>
        <v>9.3380000000000005E-2</v>
      </c>
      <c r="F15" s="55">
        <f>F11*0.46</f>
        <v>0.10396000000000001</v>
      </c>
      <c r="G15" s="55"/>
      <c r="H15" s="111">
        <f t="shared" si="3"/>
        <v>0.10027999999999999</v>
      </c>
      <c r="I15" s="26">
        <f t="shared" si="4"/>
        <v>5.9800000000000035E-3</v>
      </c>
      <c r="M15" s="50"/>
      <c r="N15" s="81"/>
      <c r="O15" s="54" t="s">
        <v>29</v>
      </c>
      <c r="P15" s="55">
        <f>(D9-D7)*0.46</f>
        <v>5.8880000000000002E-2</v>
      </c>
      <c r="Q15" s="55">
        <f t="shared" ref="Q15:R15" si="31">(E9-E7)*0.46</f>
        <v>4.7840000000000001E-2</v>
      </c>
      <c r="R15" s="55">
        <f t="shared" si="31"/>
        <v>5.9340000000000004E-2</v>
      </c>
      <c r="S15" s="55"/>
      <c r="T15" s="111">
        <f>AVERAGE(P15:R15)</f>
        <v>5.5353333333333338E-2</v>
      </c>
      <c r="U15" s="26">
        <f>STDEV(P15:R15)</f>
        <v>6.5108012819723926E-3</v>
      </c>
      <c r="V15" s="84"/>
      <c r="W15" s="49"/>
      <c r="X15" s="49"/>
      <c r="Y15" s="49"/>
      <c r="Z15" s="25"/>
      <c r="AA15" s="26"/>
      <c r="AF15" s="59"/>
      <c r="AK15" s="59"/>
      <c r="AL15" s="84"/>
      <c r="AM15" s="49"/>
      <c r="AN15" s="49"/>
      <c r="AO15" s="49"/>
      <c r="AP15" s="59"/>
      <c r="AQ15" s="49"/>
      <c r="AR15" s="49"/>
      <c r="AS15" s="49"/>
      <c r="AT15" s="49"/>
      <c r="AU15" s="59"/>
    </row>
    <row r="16" spans="1:49" ht="18" x14ac:dyDescent="0.35">
      <c r="C16" s="59"/>
      <c r="H16" s="55"/>
      <c r="I16" s="59"/>
      <c r="M16" s="50"/>
      <c r="N16" s="81"/>
      <c r="O16" s="54" t="s">
        <v>30</v>
      </c>
      <c r="P16" s="55">
        <f>P15/(P14/1000*180.16)</f>
        <v>0.2749146397812412</v>
      </c>
      <c r="Q16" s="55">
        <f>Q15/(Q14/1000*180.16)</f>
        <v>0.65008937009168166</v>
      </c>
      <c r="R16" s="55">
        <f t="shared" ref="R16" si="32">R15/(R14/1000*180.16)</f>
        <v>0.2844379096913236</v>
      </c>
      <c r="T16" s="111">
        <f>AVERAGE(P16:R16)</f>
        <v>0.4031473065214155</v>
      </c>
      <c r="U16" s="26">
        <f>STDEV(P16:R16)</f>
        <v>0.21391110358674956</v>
      </c>
      <c r="V16" s="23">
        <f>(V14/1000*59.04)/(P14/1000*180.16)</f>
        <v>0.49638880812592401</v>
      </c>
      <c r="W16" s="24">
        <f t="shared" ref="W16:X16" si="33">(W14/1000*59.04)/(Q14/1000*180.16)</f>
        <v>1.2958442019944001</v>
      </c>
      <c r="X16" s="24">
        <f t="shared" si="33"/>
        <v>0.54733044290192223</v>
      </c>
      <c r="Y16" s="49"/>
      <c r="Z16" s="25">
        <f t="shared" ref="Z16:Z19" si="34">AVERAGE(V16:X16)</f>
        <v>0.77985448434074878</v>
      </c>
      <c r="AA16" s="26">
        <f t="shared" ref="AA16:AA19" si="35">STDEV(V16:X16)</f>
        <v>0.44758552711368338</v>
      </c>
      <c r="AF16" s="59"/>
      <c r="AK16" s="59"/>
      <c r="AL16" s="84"/>
      <c r="AM16" s="49"/>
      <c r="AN16" s="49"/>
      <c r="AO16" s="49"/>
      <c r="AP16" s="59"/>
      <c r="AQ16" s="49"/>
      <c r="AR16" s="49"/>
      <c r="AS16" s="49"/>
      <c r="AT16" s="49"/>
      <c r="AU16" s="59"/>
    </row>
    <row r="17" spans="3:47" ht="18" x14ac:dyDescent="0.35">
      <c r="C17" s="59"/>
      <c r="I17" s="59"/>
      <c r="M17" s="98"/>
      <c r="O17" s="60" t="s">
        <v>31</v>
      </c>
      <c r="P17" s="55"/>
      <c r="Q17" s="55"/>
      <c r="R17" s="55"/>
      <c r="S17" s="55"/>
      <c r="T17" s="111"/>
      <c r="U17" s="26"/>
      <c r="V17" s="23">
        <f>(V14/1000*59.04)/P15</f>
        <v>1.8056106743566556</v>
      </c>
      <c r="W17" s="24">
        <f t="shared" ref="W17:X17" si="36">(W14/1000*59.04)/Q15</f>
        <v>1.9933323964544261</v>
      </c>
      <c r="X17" s="24">
        <f t="shared" si="36"/>
        <v>1.9242527956132627</v>
      </c>
      <c r="Y17" s="49"/>
      <c r="Z17" s="25">
        <f t="shared" si="34"/>
        <v>1.9077319554747814</v>
      </c>
      <c r="AA17" s="26">
        <f t="shared" si="35"/>
        <v>9.494506230446681E-2</v>
      </c>
      <c r="AF17" s="59"/>
      <c r="AK17" s="59"/>
      <c r="AL17" s="84"/>
      <c r="AM17" s="49"/>
      <c r="AN17" s="49"/>
      <c r="AO17" s="49"/>
      <c r="AP17" s="59"/>
      <c r="AQ17" s="49"/>
      <c r="AR17" s="49"/>
      <c r="AS17" s="49"/>
      <c r="AT17" s="49"/>
      <c r="AU17" s="59"/>
    </row>
    <row r="18" spans="3:47" ht="18.75" x14ac:dyDescent="0.35">
      <c r="C18" s="59"/>
      <c r="I18" s="59"/>
      <c r="M18" s="98"/>
      <c r="O18" s="54" t="s">
        <v>32</v>
      </c>
      <c r="P18" s="55">
        <f>D14*(P14)</f>
        <v>0.32682705921484473</v>
      </c>
      <c r="Q18" s="55">
        <f t="shared" ref="Q18:R18" si="37">E14*(Q14)</f>
        <v>0.10248070536209464</v>
      </c>
      <c r="R18" s="55">
        <f t="shared" si="37"/>
        <v>0.32001847284700324</v>
      </c>
      <c r="S18" s="55"/>
      <c r="T18" s="111">
        <f t="shared" ref="T18:T19" si="38">AVERAGE(P18:R18)</f>
        <v>0.24977541247464755</v>
      </c>
      <c r="U18" s="26">
        <f t="shared" ref="U18:U19" si="39">STDEV(P18:R18)</f>
        <v>0.12760637628900695</v>
      </c>
      <c r="V18" s="23">
        <f>D14*(V14)</f>
        <v>0.49505335902361575</v>
      </c>
      <c r="W18" s="23">
        <f t="shared" ref="W18:X18" si="40">E14*(W14)</f>
        <v>0.40523497390270291</v>
      </c>
      <c r="X18" s="23">
        <f t="shared" si="40"/>
        <v>0.53448642247329425</v>
      </c>
      <c r="Y18" s="49"/>
      <c r="Z18" s="25">
        <f t="shared" si="34"/>
        <v>0.47825825179987103</v>
      </c>
      <c r="AA18" s="26">
        <f t="shared" si="35"/>
        <v>6.6242289810904229E-2</v>
      </c>
      <c r="AF18" s="59"/>
      <c r="AK18" s="59"/>
      <c r="AL18" s="84"/>
      <c r="AM18" s="49"/>
      <c r="AN18" s="49"/>
      <c r="AO18" s="49"/>
      <c r="AP18" s="59"/>
      <c r="AQ18" s="49"/>
      <c r="AR18" s="49"/>
      <c r="AS18" s="49"/>
      <c r="AT18" s="49"/>
      <c r="AU18" s="59"/>
    </row>
    <row r="19" spans="3:47" ht="18.75" x14ac:dyDescent="0.35">
      <c r="C19" s="63"/>
      <c r="D19" s="62"/>
      <c r="E19" s="62"/>
      <c r="F19" s="62"/>
      <c r="G19" s="62"/>
      <c r="H19" s="62"/>
      <c r="I19" s="63"/>
      <c r="J19" s="62"/>
      <c r="K19" s="62"/>
      <c r="L19" s="62"/>
      <c r="M19" s="65"/>
      <c r="N19" s="62"/>
      <c r="O19" s="124" t="s">
        <v>33</v>
      </c>
      <c r="P19" s="45">
        <f>D14*(P14/P15)</f>
        <v>5.5507313045999451</v>
      </c>
      <c r="Q19" s="45">
        <f>E14*(Q14/Q15)</f>
        <v>2.1421552124183658</v>
      </c>
      <c r="R19" s="45">
        <f>F14*(R14/R15)</f>
        <v>5.3929638160937516</v>
      </c>
      <c r="S19" s="45"/>
      <c r="T19" s="46">
        <f t="shared" si="38"/>
        <v>4.3619501110373546</v>
      </c>
      <c r="U19" s="47">
        <f t="shared" si="39"/>
        <v>1.9240165511394511</v>
      </c>
      <c r="V19" s="44">
        <f>D14*(V14/P15)</f>
        <v>8.4078355812434751</v>
      </c>
      <c r="W19" s="45">
        <f t="shared" ref="W19:X19" si="41">E14*(W14/Q15)</f>
        <v>8.4706307253909472</v>
      </c>
      <c r="X19" s="45">
        <f t="shared" si="41"/>
        <v>9.0071860881916788</v>
      </c>
      <c r="Y19" s="62"/>
      <c r="Z19" s="46">
        <f t="shared" si="34"/>
        <v>8.6285507982753682</v>
      </c>
      <c r="AA19" s="47">
        <f t="shared" si="35"/>
        <v>0.32940752816174756</v>
      </c>
      <c r="AB19" s="62"/>
      <c r="AC19" s="62"/>
      <c r="AD19" s="62"/>
      <c r="AE19" s="62"/>
      <c r="AF19" s="63"/>
      <c r="AG19" s="62"/>
      <c r="AH19" s="62"/>
      <c r="AI19" s="62"/>
      <c r="AJ19" s="62"/>
      <c r="AK19" s="63"/>
      <c r="AL19" s="64"/>
      <c r="AM19" s="62"/>
      <c r="AN19" s="62"/>
      <c r="AO19" s="62"/>
      <c r="AP19" s="63"/>
      <c r="AQ19" s="62"/>
      <c r="AR19" s="62"/>
      <c r="AS19" s="62"/>
      <c r="AT19" s="62"/>
      <c r="AU19" s="63"/>
    </row>
    <row r="20" spans="3:47" x14ac:dyDescent="0.25">
      <c r="I20" s="54" t="s">
        <v>34</v>
      </c>
      <c r="J20" s="55">
        <f>P15/(J7-J9)</f>
        <v>7.8506666666666669E-2</v>
      </c>
      <c r="K20" s="55">
        <f>Q15/(K7-K9)</f>
        <v>7.9733333333333378E-2</v>
      </c>
      <c r="L20" s="55">
        <f>R15/(L7-L9)</f>
        <v>8.0189189189189172E-2</v>
      </c>
      <c r="N20" s="111">
        <f>AVERAGE(J20:L20)</f>
        <v>7.9476396396396407E-2</v>
      </c>
      <c r="O20" s="26">
        <f>STDEV(J20:L20)</f>
        <v>8.7019133061114033E-4</v>
      </c>
      <c r="T20" s="55"/>
      <c r="U20" s="55"/>
    </row>
    <row r="21" spans="3:47" x14ac:dyDescent="0.25">
      <c r="T21" s="55"/>
      <c r="Z21" s="55"/>
    </row>
    <row r="22" spans="3:47" x14ac:dyDescent="0.25">
      <c r="K22" s="9" t="s">
        <v>47</v>
      </c>
      <c r="O22" s="100" t="s">
        <v>48</v>
      </c>
      <c r="P22" s="55">
        <f>P14*6</f>
        <v>7.1328453988707139</v>
      </c>
      <c r="Q22" s="130">
        <f>Q14*6</f>
        <v>2.4508175603994857</v>
      </c>
      <c r="R22" s="55">
        <f>R14*6</f>
        <v>6.9478901085957432</v>
      </c>
      <c r="U22" s="100" t="s">
        <v>49</v>
      </c>
      <c r="V22" s="55">
        <f>V14*2</f>
        <v>3.6014348409932211</v>
      </c>
      <c r="W22" s="55">
        <f t="shared" ref="W22:X22" si="42">W14*2</f>
        <v>3.2303869189153032</v>
      </c>
      <c r="X22" s="55">
        <f t="shared" si="42"/>
        <v>3.8680610058160916</v>
      </c>
    </row>
    <row r="23" spans="3:47" x14ac:dyDescent="0.25">
      <c r="O23" s="100" t="s">
        <v>50</v>
      </c>
      <c r="P23" s="55">
        <f>P15*0.5/12.01*1000</f>
        <v>2.4512905911740215</v>
      </c>
      <c r="Q23" s="130">
        <f t="shared" ref="Q23:R23" si="43">Q15*0.5/12.01*1000</f>
        <v>1.9916736053288928</v>
      </c>
      <c r="R23" s="55">
        <f t="shared" si="43"/>
        <v>2.470441298917569</v>
      </c>
      <c r="S23" s="71" t="s">
        <v>17</v>
      </c>
      <c r="T23" s="101" t="s">
        <v>18</v>
      </c>
      <c r="U23" s="120" t="s">
        <v>51</v>
      </c>
    </row>
    <row r="24" spans="3:47" x14ac:dyDescent="0.25">
      <c r="O24" s="100" t="s">
        <v>52</v>
      </c>
      <c r="P24" s="55">
        <f>P22-V22-P23</f>
        <v>1.0801199667034713</v>
      </c>
      <c r="Q24" s="130">
        <f t="shared" ref="Q24:R24" si="44">Q22-W22-Q23</f>
        <v>-2.7712429638447102</v>
      </c>
      <c r="R24" s="55">
        <f t="shared" si="44"/>
        <v>0.60938780386208258</v>
      </c>
      <c r="S24" s="102">
        <f>AVERAGE(P24,R24)</f>
        <v>0.84475388528277695</v>
      </c>
      <c r="T24" s="85"/>
      <c r="U24" s="26">
        <f>MEDIAN(P24:R24)</f>
        <v>0.60938780386208258</v>
      </c>
    </row>
    <row r="25" spans="3:47" x14ac:dyDescent="0.25">
      <c r="O25" s="100" t="s">
        <v>53</v>
      </c>
      <c r="P25" s="55">
        <f>(P22-V22-P23)/P22*100</f>
        <v>15.142904497474149</v>
      </c>
      <c r="Q25" s="130">
        <f>(Q22-W22-Q23)/Q22*100</f>
        <v>-113.07422505137407</v>
      </c>
      <c r="R25" s="55">
        <f t="shared" ref="R25" si="45">(R22-X22-R23)/R22*100</f>
        <v>8.7708325022032856</v>
      </c>
      <c r="S25" s="103">
        <f>AVERAGE(P25,R25)</f>
        <v>11.956868499838716</v>
      </c>
      <c r="T25" s="104">
        <f>STDEV(P25,R25)</f>
        <v>4.5057353180649224</v>
      </c>
      <c r="U25" s="47">
        <f>MEDIAN(P25:R25)</f>
        <v>8.7708325022032856</v>
      </c>
    </row>
    <row r="26" spans="3:47" x14ac:dyDescent="0.25">
      <c r="K26" s="9" t="s">
        <v>54</v>
      </c>
      <c r="O26" s="100" t="s">
        <v>55</v>
      </c>
      <c r="P26" s="55">
        <f>P22*4</f>
        <v>28.531381595482856</v>
      </c>
      <c r="Q26" s="130">
        <f t="shared" ref="Q26:R26" si="46">Q22*4</f>
        <v>9.8032702415979429</v>
      </c>
      <c r="R26" s="55">
        <f t="shared" si="46"/>
        <v>27.791560434382973</v>
      </c>
      <c r="S26" s="55"/>
      <c r="T26" s="55"/>
      <c r="U26" s="100" t="s">
        <v>56</v>
      </c>
      <c r="V26" s="5">
        <f>V22*4</f>
        <v>14.405739363972884</v>
      </c>
      <c r="W26" s="5">
        <f t="shared" ref="W26:X26" si="47">W22*4</f>
        <v>12.921547675661213</v>
      </c>
      <c r="X26" s="5">
        <f t="shared" si="47"/>
        <v>15.472244023264366</v>
      </c>
    </row>
    <row r="27" spans="3:47" x14ac:dyDescent="0.25">
      <c r="O27" s="100" t="s">
        <v>57</v>
      </c>
      <c r="P27" s="55">
        <f>P23*4.1</f>
        <v>10.050291423813487</v>
      </c>
      <c r="Q27" s="130">
        <f t="shared" ref="Q27:R27" si="48">Q23*4.1</f>
        <v>8.1658617818484593</v>
      </c>
      <c r="R27" s="55">
        <f t="shared" si="48"/>
        <v>10.128809325562033</v>
      </c>
      <c r="S27" s="71" t="s">
        <v>17</v>
      </c>
      <c r="T27" s="120" t="s">
        <v>51</v>
      </c>
    </row>
    <row r="28" spans="3:47" x14ac:dyDescent="0.25">
      <c r="O28" s="100" t="s">
        <v>58</v>
      </c>
      <c r="P28" s="55">
        <f>(P26-V26-P27)</f>
        <v>4.0753508076964842</v>
      </c>
      <c r="Q28" s="130">
        <f t="shared" ref="Q28:R28" si="49">(Q26-W26-Q27)</f>
        <v>-11.284139215911729</v>
      </c>
      <c r="R28" s="55">
        <f t="shared" si="49"/>
        <v>2.1905070855565736</v>
      </c>
      <c r="S28" s="102">
        <f>AVERAGE(P28,R28)</f>
        <v>3.1329289466265289</v>
      </c>
      <c r="T28" s="26">
        <f>MEDIAN(P28:R28)</f>
        <v>2.1905070855565736</v>
      </c>
    </row>
    <row r="29" spans="3:47" x14ac:dyDescent="0.25">
      <c r="O29" s="100" t="s">
        <v>53</v>
      </c>
      <c r="P29" s="55">
        <f>(P26-V26-P27)/P26*100</f>
        <v>14.283748559662115</v>
      </c>
      <c r="Q29" s="130">
        <f t="shared" ref="Q29:R29" si="50">(Q26-W26-Q27)/Q26*100</f>
        <v>-115.10586710167445</v>
      </c>
      <c r="R29" s="55">
        <f t="shared" si="50"/>
        <v>7.8819146939534095</v>
      </c>
      <c r="S29" s="103">
        <f>AVERAGE(P29,R29)</f>
        <v>11.082831626807762</v>
      </c>
      <c r="T29" s="47">
        <f>MEDIAN(P29:R29)</f>
        <v>7.8819146939534095</v>
      </c>
    </row>
    <row r="30" spans="3:47" x14ac:dyDescent="0.25">
      <c r="K30" s="9" t="s">
        <v>59</v>
      </c>
      <c r="O30" s="100" t="s">
        <v>60</v>
      </c>
      <c r="P30" s="55">
        <f>P28/4</f>
        <v>1.018837701924121</v>
      </c>
      <c r="Q30" s="130">
        <f t="shared" ref="Q30:R30" si="51">Q28/4</f>
        <v>-2.8210348039779323</v>
      </c>
      <c r="R30" s="55">
        <f t="shared" si="51"/>
        <v>0.5476267713891434</v>
      </c>
      <c r="S30" s="24"/>
      <c r="T30" s="24"/>
    </row>
    <row r="31" spans="3:47" x14ac:dyDescent="0.25">
      <c r="O31" s="100" t="s">
        <v>61</v>
      </c>
      <c r="P31" s="55">
        <f>P30/P15</f>
        <v>17.303629448439555</v>
      </c>
      <c r="Q31" s="130">
        <f t="shared" ref="Q31:R31" si="52">Q30/Q15</f>
        <v>-58.968118812247745</v>
      </c>
      <c r="R31" s="55">
        <f t="shared" si="52"/>
        <v>9.2286277618662513</v>
      </c>
      <c r="S31" s="71" t="s">
        <v>17</v>
      </c>
      <c r="T31" s="120" t="s">
        <v>51</v>
      </c>
    </row>
    <row r="32" spans="3:47" x14ac:dyDescent="0.25">
      <c r="O32" s="100" t="s">
        <v>62</v>
      </c>
      <c r="P32" s="55">
        <f>D14*P31</f>
        <v>4.7571150166290526</v>
      </c>
      <c r="Q32" s="130">
        <f>E14*Q31</f>
        <v>-14.794477991507261</v>
      </c>
      <c r="R32" s="55">
        <f t="shared" ref="R32" si="53">F14*R31</f>
        <v>2.5504128447617038</v>
      </c>
      <c r="S32" s="103">
        <f>AVERAGE(P32,R32)</f>
        <v>3.6537639306953782</v>
      </c>
      <c r="T32" s="47">
        <f>MEDIAN(P32:R32)</f>
        <v>2.5504128447617038</v>
      </c>
    </row>
    <row r="33" spans="15:20" x14ac:dyDescent="0.25">
      <c r="O33" s="100"/>
      <c r="P33" s="55"/>
      <c r="Q33" s="130"/>
      <c r="R33" s="55"/>
      <c r="S33" s="24"/>
      <c r="T33" s="24"/>
    </row>
    <row r="34" spans="15:20" x14ac:dyDescent="0.25">
      <c r="O34" s="100"/>
      <c r="P34" s="55"/>
      <c r="Q34" s="130"/>
      <c r="R34" s="55"/>
      <c r="S34" s="24"/>
      <c r="T34" s="24"/>
    </row>
    <row r="35" spans="15:20" x14ac:dyDescent="0.25">
      <c r="O35" s="100"/>
      <c r="P35" s="55"/>
      <c r="Q35" s="130"/>
      <c r="R35" s="55"/>
      <c r="S35" s="24"/>
      <c r="T35" s="24"/>
    </row>
    <row r="36" spans="15:20" x14ac:dyDescent="0.25">
      <c r="O36" s="100"/>
      <c r="P36" s="55"/>
      <c r="Q36" s="130"/>
      <c r="R36" s="55"/>
      <c r="S36" s="24"/>
      <c r="T36" s="24"/>
    </row>
    <row r="37" spans="15:20" x14ac:dyDescent="0.25">
      <c r="O37" s="100"/>
      <c r="P37" s="55"/>
      <c r="Q37" s="130"/>
      <c r="R37" s="55"/>
      <c r="S37" s="24"/>
      <c r="T37" s="24"/>
    </row>
    <row r="38" spans="15:20" x14ac:dyDescent="0.25">
      <c r="O38" s="100"/>
      <c r="P38" s="55"/>
      <c r="Q38" s="130"/>
      <c r="R38" s="55"/>
      <c r="S38" s="55"/>
      <c r="T38" s="55"/>
    </row>
    <row r="39" spans="15:20" x14ac:dyDescent="0.25">
      <c r="O39" s="100"/>
      <c r="P39" s="55"/>
      <c r="Q39" s="130"/>
      <c r="R39" s="55"/>
      <c r="S39" s="55"/>
      <c r="T39" s="55"/>
    </row>
    <row r="50" spans="1:48" x14ac:dyDescent="0.25">
      <c r="A50" s="145" t="s">
        <v>113</v>
      </c>
    </row>
    <row r="51" spans="1:48" x14ac:dyDescent="0.25">
      <c r="B51" s="73" t="s">
        <v>90</v>
      </c>
      <c r="C51" s="73">
        <v>1</v>
      </c>
      <c r="D51" s="73">
        <v>2</v>
      </c>
      <c r="E51" s="73">
        <v>3</v>
      </c>
      <c r="F51" s="73">
        <v>4</v>
      </c>
      <c r="G51" s="73">
        <v>5</v>
      </c>
      <c r="H51" s="73">
        <v>6</v>
      </c>
      <c r="I51" s="73">
        <v>7</v>
      </c>
      <c r="J51" s="73">
        <v>8</v>
      </c>
      <c r="K51" s="73">
        <v>9</v>
      </c>
      <c r="L51" s="73">
        <v>10</v>
      </c>
      <c r="M51" s="73"/>
      <c r="N51" s="73">
        <v>1</v>
      </c>
      <c r="O51" s="73">
        <v>2</v>
      </c>
      <c r="P51" s="73">
        <v>3</v>
      </c>
      <c r="Q51" s="73">
        <v>4</v>
      </c>
      <c r="R51" s="73">
        <v>5</v>
      </c>
      <c r="S51" s="73">
        <v>6</v>
      </c>
      <c r="T51" s="73">
        <v>7</v>
      </c>
      <c r="U51" s="73">
        <v>8</v>
      </c>
      <c r="V51" s="73">
        <v>9</v>
      </c>
      <c r="W51" s="73">
        <v>10</v>
      </c>
      <c r="X51" s="73" t="s">
        <v>17</v>
      </c>
      <c r="Y51" s="73"/>
      <c r="Z51" s="73" t="s">
        <v>90</v>
      </c>
      <c r="AA51" s="73">
        <v>1</v>
      </c>
      <c r="AB51" s="73">
        <v>2</v>
      </c>
      <c r="AC51" s="73">
        <v>3</v>
      </c>
      <c r="AD51" s="73">
        <v>4</v>
      </c>
      <c r="AE51" s="73">
        <v>5</v>
      </c>
      <c r="AF51" s="73">
        <v>6</v>
      </c>
      <c r="AG51" s="73">
        <v>7</v>
      </c>
      <c r="AH51" s="73">
        <v>8</v>
      </c>
      <c r="AI51" s="73">
        <v>9</v>
      </c>
      <c r="AJ51" s="73">
        <v>10</v>
      </c>
      <c r="AK51" s="73"/>
      <c r="AL51" s="73">
        <v>1</v>
      </c>
      <c r="AM51" s="73">
        <v>2</v>
      </c>
      <c r="AN51" s="73">
        <v>3</v>
      </c>
      <c r="AO51" s="73">
        <v>4</v>
      </c>
      <c r="AP51" s="73">
        <v>5</v>
      </c>
      <c r="AQ51" s="73">
        <v>6</v>
      </c>
      <c r="AR51" s="73">
        <v>7</v>
      </c>
      <c r="AS51" s="73">
        <v>8</v>
      </c>
      <c r="AT51" s="73">
        <v>9</v>
      </c>
      <c r="AU51" s="73">
        <v>10</v>
      </c>
      <c r="AV51" s="73" t="s">
        <v>17</v>
      </c>
    </row>
    <row r="52" spans="1:48" x14ac:dyDescent="0.25">
      <c r="A52" s="9" t="s">
        <v>92</v>
      </c>
      <c r="B52" s="5">
        <v>4</v>
      </c>
      <c r="C52" s="5">
        <v>18</v>
      </c>
      <c r="D52" s="5">
        <v>30</v>
      </c>
      <c r="E52" s="5">
        <v>32</v>
      </c>
      <c r="F52" s="5">
        <v>28</v>
      </c>
      <c r="G52" s="5">
        <v>37</v>
      </c>
      <c r="H52" s="5">
        <v>26</v>
      </c>
      <c r="I52" s="5">
        <v>31</v>
      </c>
      <c r="J52" s="5">
        <v>28</v>
      </c>
      <c r="K52" s="5">
        <v>20</v>
      </c>
      <c r="L52" s="5">
        <v>19</v>
      </c>
      <c r="N52" s="146">
        <f>(C52/0.01)*10^($B$52)</f>
        <v>18000000</v>
      </c>
      <c r="O52" s="146">
        <f t="shared" ref="O52:W52" si="54">(D52/0.01)*10^($B$52)</f>
        <v>30000000</v>
      </c>
      <c r="P52" s="146">
        <f t="shared" si="54"/>
        <v>32000000</v>
      </c>
      <c r="Q52" s="146">
        <f t="shared" si="54"/>
        <v>28000000</v>
      </c>
      <c r="R52" s="146">
        <f t="shared" si="54"/>
        <v>37000000</v>
      </c>
      <c r="S52" s="146">
        <f t="shared" si="54"/>
        <v>26000000</v>
      </c>
      <c r="T52" s="146">
        <f t="shared" si="54"/>
        <v>31000000</v>
      </c>
      <c r="U52" s="146">
        <f t="shared" si="54"/>
        <v>28000000</v>
      </c>
      <c r="V52" s="146">
        <f t="shared" si="54"/>
        <v>20000000</v>
      </c>
      <c r="W52" s="146">
        <f t="shared" si="54"/>
        <v>19000000</v>
      </c>
      <c r="X52" s="146">
        <f>AVERAGE(N52:W52)</f>
        <v>26900000</v>
      </c>
      <c r="Y52" s="9" t="s">
        <v>92</v>
      </c>
      <c r="Z52" s="5">
        <v>5</v>
      </c>
      <c r="AA52" s="5">
        <v>1</v>
      </c>
      <c r="AB52" s="5">
        <v>2</v>
      </c>
      <c r="AC52" s="5">
        <v>2</v>
      </c>
      <c r="AD52" s="5">
        <v>1</v>
      </c>
      <c r="AE52" s="5">
        <v>1</v>
      </c>
      <c r="AF52" s="5">
        <v>1</v>
      </c>
      <c r="AG52" s="5">
        <v>2</v>
      </c>
      <c r="AH52" s="5">
        <v>3</v>
      </c>
      <c r="AI52" s="5">
        <v>3</v>
      </c>
      <c r="AJ52" s="5">
        <v>4</v>
      </c>
      <c r="AL52" s="146">
        <f>(AA52/0.01)*10^($Z$52)</f>
        <v>10000000</v>
      </c>
      <c r="AM52" s="146">
        <f t="shared" ref="AM52:AU52" si="55">(AB52/0.01)*10^($Z$52)</f>
        <v>20000000</v>
      </c>
      <c r="AN52" s="146">
        <f t="shared" si="55"/>
        <v>20000000</v>
      </c>
      <c r="AO52" s="146">
        <f t="shared" si="55"/>
        <v>10000000</v>
      </c>
      <c r="AP52" s="146">
        <f t="shared" si="55"/>
        <v>10000000</v>
      </c>
      <c r="AQ52" s="146">
        <f t="shared" si="55"/>
        <v>10000000</v>
      </c>
      <c r="AR52" s="146">
        <f t="shared" si="55"/>
        <v>20000000</v>
      </c>
      <c r="AS52" s="146">
        <f t="shared" si="55"/>
        <v>30000000</v>
      </c>
      <c r="AT52" s="146">
        <f t="shared" si="55"/>
        <v>30000000</v>
      </c>
      <c r="AU52" s="146">
        <f t="shared" si="55"/>
        <v>40000000</v>
      </c>
      <c r="AV52" s="146">
        <f>AVERAGE(AL52:AU52)</f>
        <v>20000000</v>
      </c>
    </row>
    <row r="53" spans="1:48" x14ac:dyDescent="0.25">
      <c r="A53" s="9" t="s">
        <v>93</v>
      </c>
      <c r="B53" s="5">
        <v>4</v>
      </c>
      <c r="C53" s="5">
        <v>24</v>
      </c>
      <c r="D53" s="5">
        <v>25</v>
      </c>
      <c r="E53" s="5">
        <v>18</v>
      </c>
      <c r="F53" s="5">
        <v>22</v>
      </c>
      <c r="G53" s="5">
        <v>30</v>
      </c>
      <c r="H53" s="5">
        <v>39</v>
      </c>
      <c r="I53" s="5">
        <v>21</v>
      </c>
      <c r="J53" s="5">
        <v>25</v>
      </c>
      <c r="K53" s="5">
        <v>29</v>
      </c>
      <c r="L53" s="5">
        <v>20</v>
      </c>
      <c r="N53" s="146">
        <f>(C53/0.01)*10^($B$53)</f>
        <v>24000000</v>
      </c>
      <c r="O53" s="146">
        <f t="shared" ref="O53:W53" si="56">(D53/0.01)*10^($B$53)</f>
        <v>25000000</v>
      </c>
      <c r="P53" s="146">
        <f t="shared" si="56"/>
        <v>18000000</v>
      </c>
      <c r="Q53" s="146">
        <f t="shared" si="56"/>
        <v>22000000</v>
      </c>
      <c r="R53" s="146">
        <f t="shared" si="56"/>
        <v>30000000</v>
      </c>
      <c r="S53" s="146">
        <f t="shared" si="56"/>
        <v>39000000</v>
      </c>
      <c r="T53" s="146">
        <f t="shared" si="56"/>
        <v>21000000</v>
      </c>
      <c r="U53" s="146">
        <f t="shared" si="56"/>
        <v>25000000</v>
      </c>
      <c r="V53" s="146">
        <f t="shared" si="56"/>
        <v>29000000</v>
      </c>
      <c r="W53" s="146">
        <f t="shared" si="56"/>
        <v>20000000</v>
      </c>
      <c r="X53" s="146">
        <f t="shared" ref="X53:X89" si="57">AVERAGE(N53:W53)</f>
        <v>25300000</v>
      </c>
      <c r="Y53" s="9" t="s">
        <v>93</v>
      </c>
      <c r="Z53" s="5">
        <v>5</v>
      </c>
      <c r="AA53" s="5">
        <v>3</v>
      </c>
      <c r="AB53" s="5">
        <v>2</v>
      </c>
      <c r="AC53" s="5">
        <v>3</v>
      </c>
      <c r="AD53" s="5">
        <v>1</v>
      </c>
      <c r="AE53" s="5">
        <v>2</v>
      </c>
      <c r="AF53" s="5">
        <v>6</v>
      </c>
      <c r="AG53" s="5">
        <v>2</v>
      </c>
      <c r="AH53" s="5">
        <v>2</v>
      </c>
      <c r="AI53" s="5">
        <v>2</v>
      </c>
      <c r="AJ53" s="5">
        <v>1</v>
      </c>
      <c r="AL53" s="146">
        <f>(AA53/0.01)*10^($Z$53)</f>
        <v>30000000</v>
      </c>
      <c r="AM53" s="146">
        <f t="shared" ref="AM53:AU53" si="58">(AB53/0.01)*10^($Z$53)</f>
        <v>20000000</v>
      </c>
      <c r="AN53" s="146">
        <f t="shared" si="58"/>
        <v>30000000</v>
      </c>
      <c r="AO53" s="146">
        <f t="shared" si="58"/>
        <v>10000000</v>
      </c>
      <c r="AP53" s="146">
        <f t="shared" si="58"/>
        <v>20000000</v>
      </c>
      <c r="AQ53" s="146">
        <f t="shared" si="58"/>
        <v>60000000</v>
      </c>
      <c r="AR53" s="146">
        <f t="shared" si="58"/>
        <v>20000000</v>
      </c>
      <c r="AS53" s="146">
        <f t="shared" si="58"/>
        <v>20000000</v>
      </c>
      <c r="AT53" s="146">
        <f t="shared" si="58"/>
        <v>20000000</v>
      </c>
      <c r="AU53" s="146">
        <f t="shared" si="58"/>
        <v>10000000</v>
      </c>
      <c r="AV53" s="146">
        <f t="shared" ref="AV53:AV57" si="59">AVERAGE(AL53:AU53)</f>
        <v>24000000</v>
      </c>
    </row>
    <row r="54" spans="1:48" x14ac:dyDescent="0.25">
      <c r="A54" s="9" t="s">
        <v>94</v>
      </c>
      <c r="B54" s="5">
        <v>4</v>
      </c>
      <c r="C54" s="5">
        <v>45</v>
      </c>
      <c r="D54" s="5">
        <v>29</v>
      </c>
      <c r="E54" s="5">
        <v>33</v>
      </c>
      <c r="F54" s="5">
        <v>34</v>
      </c>
      <c r="G54" s="5">
        <v>32</v>
      </c>
      <c r="H54" s="5">
        <v>4</v>
      </c>
      <c r="I54" s="5">
        <v>28</v>
      </c>
      <c r="J54" s="5">
        <v>23</v>
      </c>
      <c r="K54" s="5">
        <v>31</v>
      </c>
      <c r="L54" s="5">
        <v>22</v>
      </c>
      <c r="N54" s="146">
        <f>(C54/0.01)*10^($B$54)</f>
        <v>45000000</v>
      </c>
      <c r="O54" s="146">
        <f t="shared" ref="O54:W54" si="60">(D54/0.01)*10^($B$54)</f>
        <v>29000000</v>
      </c>
      <c r="P54" s="146">
        <f t="shared" si="60"/>
        <v>33000000</v>
      </c>
      <c r="Q54" s="146">
        <f t="shared" si="60"/>
        <v>34000000</v>
      </c>
      <c r="R54" s="146">
        <f t="shared" si="60"/>
        <v>32000000</v>
      </c>
      <c r="S54" s="146">
        <f t="shared" si="60"/>
        <v>4000000</v>
      </c>
      <c r="T54" s="146">
        <f t="shared" si="60"/>
        <v>28000000</v>
      </c>
      <c r="U54" s="146">
        <f t="shared" si="60"/>
        <v>23000000</v>
      </c>
      <c r="V54" s="146">
        <f t="shared" si="60"/>
        <v>31000000</v>
      </c>
      <c r="W54" s="146">
        <f t="shared" si="60"/>
        <v>22000000</v>
      </c>
      <c r="X54" s="146">
        <f t="shared" si="57"/>
        <v>28100000</v>
      </c>
      <c r="Y54" s="9" t="s">
        <v>94</v>
      </c>
      <c r="Z54" s="5">
        <v>5</v>
      </c>
      <c r="AA54" s="5">
        <v>5</v>
      </c>
      <c r="AB54" s="5">
        <v>3</v>
      </c>
      <c r="AC54" s="5">
        <v>6</v>
      </c>
      <c r="AD54" s="5">
        <v>1</v>
      </c>
      <c r="AE54" s="5">
        <v>5</v>
      </c>
      <c r="AF54" s="5">
        <v>1</v>
      </c>
      <c r="AG54" s="5">
        <v>3</v>
      </c>
      <c r="AH54" s="5">
        <v>4</v>
      </c>
      <c r="AI54" s="5">
        <v>5</v>
      </c>
      <c r="AJ54" s="5">
        <v>3</v>
      </c>
      <c r="AL54" s="146">
        <f>(AA54/0.01)*10^($Z$54)</f>
        <v>50000000</v>
      </c>
      <c r="AM54" s="146">
        <f t="shared" ref="AM54:AU54" si="61">(AB54/0.01)*10^($Z$54)</f>
        <v>30000000</v>
      </c>
      <c r="AN54" s="146">
        <f t="shared" si="61"/>
        <v>60000000</v>
      </c>
      <c r="AO54" s="146">
        <f t="shared" si="61"/>
        <v>10000000</v>
      </c>
      <c r="AP54" s="146">
        <f t="shared" si="61"/>
        <v>50000000</v>
      </c>
      <c r="AQ54" s="146">
        <f t="shared" si="61"/>
        <v>10000000</v>
      </c>
      <c r="AR54" s="146">
        <f t="shared" si="61"/>
        <v>30000000</v>
      </c>
      <c r="AS54" s="146">
        <f t="shared" si="61"/>
        <v>40000000</v>
      </c>
      <c r="AT54" s="146">
        <f t="shared" si="61"/>
        <v>50000000</v>
      </c>
      <c r="AU54" s="146">
        <f t="shared" si="61"/>
        <v>30000000</v>
      </c>
      <c r="AV54" s="146">
        <f t="shared" si="59"/>
        <v>36000000</v>
      </c>
    </row>
    <row r="55" spans="1:48" x14ac:dyDescent="0.25">
      <c r="A55" s="9" t="s">
        <v>95</v>
      </c>
      <c r="B55" s="5">
        <v>4</v>
      </c>
      <c r="C55" s="5">
        <v>36</v>
      </c>
      <c r="D55" s="5">
        <v>29</v>
      </c>
      <c r="E55" s="5">
        <v>27</v>
      </c>
      <c r="F55" s="5">
        <v>29</v>
      </c>
      <c r="G55" s="5">
        <v>34</v>
      </c>
      <c r="H55" s="5">
        <v>25</v>
      </c>
      <c r="I55" s="5">
        <v>30</v>
      </c>
      <c r="J55" s="5">
        <v>24</v>
      </c>
      <c r="K55" s="5">
        <v>28</v>
      </c>
      <c r="L55" s="5">
        <v>32</v>
      </c>
      <c r="N55" s="146">
        <f>(C55/0.01)*10^($B$55)</f>
        <v>36000000</v>
      </c>
      <c r="O55" s="146">
        <f t="shared" ref="O55:W55" si="62">(D55/0.01)*10^($B$55)</f>
        <v>29000000</v>
      </c>
      <c r="P55" s="146">
        <f t="shared" si="62"/>
        <v>27000000</v>
      </c>
      <c r="Q55" s="146">
        <f t="shared" si="62"/>
        <v>29000000</v>
      </c>
      <c r="R55" s="146">
        <f t="shared" si="62"/>
        <v>34000000</v>
      </c>
      <c r="S55" s="146">
        <f t="shared" si="62"/>
        <v>25000000</v>
      </c>
      <c r="T55" s="146">
        <f t="shared" si="62"/>
        <v>30000000</v>
      </c>
      <c r="U55" s="146">
        <f t="shared" si="62"/>
        <v>24000000</v>
      </c>
      <c r="V55" s="146">
        <f t="shared" si="62"/>
        <v>28000000</v>
      </c>
      <c r="W55" s="146">
        <f t="shared" si="62"/>
        <v>32000000</v>
      </c>
      <c r="X55" s="146">
        <f t="shared" si="57"/>
        <v>29400000</v>
      </c>
      <c r="Y55" s="9" t="s">
        <v>95</v>
      </c>
      <c r="Z55" s="5">
        <v>5</v>
      </c>
      <c r="AA55" s="5">
        <v>2</v>
      </c>
      <c r="AB55" s="5">
        <v>3</v>
      </c>
      <c r="AC55" s="5">
        <v>8</v>
      </c>
      <c r="AD55" s="5">
        <v>3</v>
      </c>
      <c r="AE55" s="5">
        <v>7</v>
      </c>
      <c r="AF55" s="5">
        <v>2</v>
      </c>
      <c r="AG55" s="5">
        <v>1</v>
      </c>
      <c r="AH55" s="5">
        <v>4</v>
      </c>
      <c r="AI55" s="5">
        <v>1</v>
      </c>
      <c r="AJ55" s="5">
        <v>4</v>
      </c>
      <c r="AL55" s="146">
        <f>(AA55/0.01)*10^($Z$55)</f>
        <v>20000000</v>
      </c>
      <c r="AM55" s="146">
        <f t="shared" ref="AM55:AU55" si="63">(AB55/0.01)*10^($Z$55)</f>
        <v>30000000</v>
      </c>
      <c r="AN55" s="146">
        <f t="shared" si="63"/>
        <v>80000000</v>
      </c>
      <c r="AO55" s="146">
        <f t="shared" si="63"/>
        <v>30000000</v>
      </c>
      <c r="AP55" s="146">
        <f t="shared" si="63"/>
        <v>70000000</v>
      </c>
      <c r="AQ55" s="146">
        <f t="shared" si="63"/>
        <v>20000000</v>
      </c>
      <c r="AR55" s="146">
        <f t="shared" si="63"/>
        <v>10000000</v>
      </c>
      <c r="AS55" s="146">
        <f t="shared" si="63"/>
        <v>40000000</v>
      </c>
      <c r="AT55" s="146">
        <f t="shared" si="63"/>
        <v>10000000</v>
      </c>
      <c r="AU55" s="146">
        <f t="shared" si="63"/>
        <v>40000000</v>
      </c>
      <c r="AV55" s="146">
        <f t="shared" si="59"/>
        <v>35000000</v>
      </c>
    </row>
    <row r="56" spans="1:48" x14ac:dyDescent="0.25">
      <c r="A56" s="9" t="s">
        <v>96</v>
      </c>
      <c r="B56" s="5">
        <v>4</v>
      </c>
      <c r="C56" s="5">
        <v>33</v>
      </c>
      <c r="D56" s="5">
        <v>19</v>
      </c>
      <c r="E56" s="5">
        <v>33</v>
      </c>
      <c r="F56" s="5">
        <v>38</v>
      </c>
      <c r="G56" s="5">
        <v>24</v>
      </c>
      <c r="H56" s="5">
        <v>23</v>
      </c>
      <c r="I56" s="5">
        <v>30</v>
      </c>
      <c r="J56" s="5">
        <v>28</v>
      </c>
      <c r="K56" s="5">
        <v>31</v>
      </c>
      <c r="L56" s="5">
        <v>31</v>
      </c>
      <c r="N56" s="146">
        <f>(C56/0.01)*10^($B$56)</f>
        <v>33000000</v>
      </c>
      <c r="O56" s="146">
        <f t="shared" ref="O56:W56" si="64">(D56/0.01)*10^($B$56)</f>
        <v>19000000</v>
      </c>
      <c r="P56" s="146">
        <f t="shared" si="64"/>
        <v>33000000</v>
      </c>
      <c r="Q56" s="146">
        <f t="shared" si="64"/>
        <v>38000000</v>
      </c>
      <c r="R56" s="146">
        <f t="shared" si="64"/>
        <v>24000000</v>
      </c>
      <c r="S56" s="146">
        <f t="shared" si="64"/>
        <v>23000000</v>
      </c>
      <c r="T56" s="146">
        <f t="shared" si="64"/>
        <v>30000000</v>
      </c>
      <c r="U56" s="146">
        <f t="shared" si="64"/>
        <v>28000000</v>
      </c>
      <c r="V56" s="146">
        <f t="shared" si="64"/>
        <v>31000000</v>
      </c>
      <c r="W56" s="146">
        <f t="shared" si="64"/>
        <v>31000000</v>
      </c>
      <c r="X56" s="146">
        <f t="shared" si="57"/>
        <v>29000000</v>
      </c>
      <c r="Y56" s="9" t="s">
        <v>96</v>
      </c>
      <c r="Z56" s="5">
        <v>5</v>
      </c>
      <c r="AA56" s="5">
        <v>0</v>
      </c>
      <c r="AB56" s="5">
        <v>4</v>
      </c>
      <c r="AC56" s="5">
        <v>1</v>
      </c>
      <c r="AD56" s="5">
        <v>1</v>
      </c>
      <c r="AE56" s="5">
        <v>4</v>
      </c>
      <c r="AF56" s="5">
        <v>4</v>
      </c>
      <c r="AG56" s="5">
        <v>3</v>
      </c>
      <c r="AH56" s="5">
        <v>1</v>
      </c>
      <c r="AI56" s="5">
        <v>8</v>
      </c>
      <c r="AJ56" s="5">
        <v>2</v>
      </c>
      <c r="AL56" s="146">
        <f>(AA56/0.01)*10^($Z$56)</f>
        <v>0</v>
      </c>
      <c r="AM56" s="146">
        <f t="shared" ref="AM56:AU56" si="65">(AB56/0.01)*10^($Z$56)</f>
        <v>40000000</v>
      </c>
      <c r="AN56" s="146">
        <f t="shared" si="65"/>
        <v>10000000</v>
      </c>
      <c r="AO56" s="146">
        <f t="shared" si="65"/>
        <v>10000000</v>
      </c>
      <c r="AP56" s="146">
        <f t="shared" si="65"/>
        <v>40000000</v>
      </c>
      <c r="AQ56" s="146">
        <f t="shared" si="65"/>
        <v>40000000</v>
      </c>
      <c r="AR56" s="146">
        <f t="shared" si="65"/>
        <v>30000000</v>
      </c>
      <c r="AS56" s="146">
        <f t="shared" si="65"/>
        <v>10000000</v>
      </c>
      <c r="AT56" s="146">
        <f t="shared" si="65"/>
        <v>80000000</v>
      </c>
      <c r="AU56" s="146">
        <f t="shared" si="65"/>
        <v>20000000</v>
      </c>
      <c r="AV56" s="146">
        <f t="shared" si="59"/>
        <v>28000000</v>
      </c>
    </row>
    <row r="57" spans="1:48" x14ac:dyDescent="0.25">
      <c r="A57" s="9" t="s">
        <v>97</v>
      </c>
      <c r="B57" s="5">
        <v>4</v>
      </c>
      <c r="C57" s="5">
        <v>15</v>
      </c>
      <c r="D57" s="5">
        <v>11</v>
      </c>
      <c r="E57" s="5">
        <v>15</v>
      </c>
      <c r="F57" s="5">
        <v>25</v>
      </c>
      <c r="G57" s="5">
        <v>14</v>
      </c>
      <c r="H57" s="5">
        <v>14</v>
      </c>
      <c r="I57" s="5">
        <v>19</v>
      </c>
      <c r="J57" s="5">
        <v>14</v>
      </c>
      <c r="K57" s="5">
        <v>12</v>
      </c>
      <c r="L57" s="5">
        <v>24</v>
      </c>
      <c r="N57" s="146">
        <f>(C57/0.01)*10^($B$57)</f>
        <v>15000000</v>
      </c>
      <c r="O57" s="146">
        <f t="shared" ref="O57:W57" si="66">(D57/0.01)*10^($B$57)</f>
        <v>11000000</v>
      </c>
      <c r="P57" s="146">
        <f t="shared" si="66"/>
        <v>15000000</v>
      </c>
      <c r="Q57" s="146">
        <f t="shared" si="66"/>
        <v>25000000</v>
      </c>
      <c r="R57" s="146">
        <f t="shared" si="66"/>
        <v>14000000</v>
      </c>
      <c r="S57" s="146">
        <f t="shared" si="66"/>
        <v>14000000</v>
      </c>
      <c r="T57" s="146">
        <f t="shared" si="66"/>
        <v>19000000</v>
      </c>
      <c r="U57" s="146">
        <f t="shared" si="66"/>
        <v>14000000</v>
      </c>
      <c r="V57" s="146">
        <f t="shared" si="66"/>
        <v>12000000</v>
      </c>
      <c r="W57" s="146">
        <f t="shared" si="66"/>
        <v>24000000</v>
      </c>
      <c r="X57" s="146">
        <f t="shared" si="57"/>
        <v>16300000</v>
      </c>
      <c r="Y57" s="9" t="s">
        <v>97</v>
      </c>
      <c r="Z57" s="5">
        <v>5</v>
      </c>
      <c r="AA57" s="5">
        <v>2</v>
      </c>
      <c r="AB57" s="5">
        <v>2</v>
      </c>
      <c r="AC57" s="5">
        <v>4</v>
      </c>
      <c r="AD57" s="5">
        <v>3</v>
      </c>
      <c r="AE57" s="5">
        <v>3</v>
      </c>
      <c r="AF57" s="5">
        <v>0</v>
      </c>
      <c r="AG57" s="5">
        <v>1</v>
      </c>
      <c r="AH57" s="5">
        <v>2</v>
      </c>
      <c r="AI57" s="5">
        <v>2</v>
      </c>
      <c r="AJ57" s="5">
        <v>2</v>
      </c>
      <c r="AL57" s="146">
        <f>(AA57/0.01)*10^($Z$57)</f>
        <v>20000000</v>
      </c>
      <c r="AM57" s="146">
        <f t="shared" ref="AM57:AU57" si="67">(AB57/0.01)*10^($Z$57)</f>
        <v>20000000</v>
      </c>
      <c r="AN57" s="146">
        <f t="shared" si="67"/>
        <v>40000000</v>
      </c>
      <c r="AO57" s="146">
        <f t="shared" si="67"/>
        <v>30000000</v>
      </c>
      <c r="AP57" s="146">
        <f t="shared" si="67"/>
        <v>30000000</v>
      </c>
      <c r="AQ57" s="146">
        <f t="shared" si="67"/>
        <v>0</v>
      </c>
      <c r="AR57" s="146">
        <f t="shared" si="67"/>
        <v>10000000</v>
      </c>
      <c r="AS57" s="146">
        <f t="shared" si="67"/>
        <v>20000000</v>
      </c>
      <c r="AT57" s="146">
        <f t="shared" si="67"/>
        <v>20000000</v>
      </c>
      <c r="AU57" s="146">
        <f t="shared" si="67"/>
        <v>20000000</v>
      </c>
      <c r="AV57" s="146">
        <f t="shared" si="59"/>
        <v>21000000</v>
      </c>
    </row>
    <row r="58" spans="1:48" x14ac:dyDescent="0.25">
      <c r="A58" s="9" t="s">
        <v>98</v>
      </c>
      <c r="B58" s="5">
        <v>5</v>
      </c>
      <c r="C58" s="5">
        <v>11</v>
      </c>
      <c r="D58" s="5">
        <v>8</v>
      </c>
      <c r="E58" s="5">
        <v>10</v>
      </c>
      <c r="F58" s="5">
        <v>10</v>
      </c>
      <c r="G58" s="5">
        <v>5</v>
      </c>
      <c r="H58" s="5">
        <v>5</v>
      </c>
      <c r="I58" s="5">
        <v>13</v>
      </c>
      <c r="J58" s="5">
        <v>8</v>
      </c>
      <c r="K58" s="5">
        <v>6</v>
      </c>
      <c r="L58" s="5">
        <v>7</v>
      </c>
      <c r="N58" s="146">
        <f>(C58/0.01)*10^($B$58)</f>
        <v>110000000</v>
      </c>
      <c r="O58" s="146">
        <f t="shared" ref="O58:W58" si="68">(D58/0.01)*10^($B$58)</f>
        <v>80000000</v>
      </c>
      <c r="P58" s="146">
        <f t="shared" si="68"/>
        <v>100000000</v>
      </c>
      <c r="Q58" s="146">
        <f t="shared" si="68"/>
        <v>100000000</v>
      </c>
      <c r="R58" s="146">
        <f>(G58/0.01)*10^($B$58)</f>
        <v>50000000</v>
      </c>
      <c r="S58" s="146">
        <f t="shared" si="68"/>
        <v>50000000</v>
      </c>
      <c r="T58" s="146">
        <f t="shared" si="68"/>
        <v>130000000</v>
      </c>
      <c r="U58" s="146">
        <f t="shared" si="68"/>
        <v>80000000</v>
      </c>
      <c r="V58" s="146">
        <f t="shared" si="68"/>
        <v>60000000</v>
      </c>
      <c r="W58" s="146">
        <f t="shared" si="68"/>
        <v>70000000</v>
      </c>
      <c r="X58" s="146">
        <f t="shared" si="57"/>
        <v>83000000</v>
      </c>
      <c r="Y58" s="9" t="s">
        <v>98</v>
      </c>
    </row>
    <row r="59" spans="1:48" x14ac:dyDescent="0.25">
      <c r="A59" s="9" t="s">
        <v>99</v>
      </c>
      <c r="B59" s="5">
        <v>5</v>
      </c>
      <c r="C59" s="5">
        <v>3</v>
      </c>
      <c r="D59" s="5">
        <v>7</v>
      </c>
      <c r="E59" s="5">
        <v>3</v>
      </c>
      <c r="F59" s="5">
        <v>5</v>
      </c>
      <c r="G59" s="5">
        <v>9</v>
      </c>
      <c r="H59" s="5">
        <v>4</v>
      </c>
      <c r="I59" s="5">
        <v>7</v>
      </c>
      <c r="J59" s="5">
        <v>6</v>
      </c>
      <c r="K59" s="5">
        <v>7</v>
      </c>
      <c r="L59" s="5">
        <v>6</v>
      </c>
      <c r="N59" s="146">
        <f>(C59/0.01)*10^($B$59)</f>
        <v>30000000</v>
      </c>
      <c r="O59" s="146">
        <f t="shared" ref="O59:W59" si="69">(D59/0.01)*10^($B$59)</f>
        <v>70000000</v>
      </c>
      <c r="P59" s="146">
        <f t="shared" si="69"/>
        <v>30000000</v>
      </c>
      <c r="Q59" s="146">
        <f t="shared" si="69"/>
        <v>50000000</v>
      </c>
      <c r="R59" s="146">
        <f t="shared" si="69"/>
        <v>90000000</v>
      </c>
      <c r="S59" s="146">
        <f t="shared" si="69"/>
        <v>40000000</v>
      </c>
      <c r="T59" s="146">
        <f t="shared" si="69"/>
        <v>70000000</v>
      </c>
      <c r="U59" s="146">
        <f t="shared" si="69"/>
        <v>60000000</v>
      </c>
      <c r="V59" s="146">
        <f t="shared" si="69"/>
        <v>70000000</v>
      </c>
      <c r="W59" s="146">
        <f t="shared" si="69"/>
        <v>60000000</v>
      </c>
      <c r="X59" s="146">
        <f t="shared" si="57"/>
        <v>57000000</v>
      </c>
      <c r="Y59" s="9" t="s">
        <v>99</v>
      </c>
    </row>
    <row r="60" spans="1:48" x14ac:dyDescent="0.25">
      <c r="A60" s="9" t="s">
        <v>100</v>
      </c>
      <c r="B60" s="5">
        <v>5</v>
      </c>
      <c r="C60" s="5">
        <v>6</v>
      </c>
      <c r="D60" s="5">
        <v>6</v>
      </c>
      <c r="E60" s="5">
        <v>14</v>
      </c>
      <c r="F60" s="5">
        <v>13</v>
      </c>
      <c r="G60" s="5">
        <v>1</v>
      </c>
      <c r="H60" s="5">
        <v>10</v>
      </c>
      <c r="I60" s="5">
        <v>13</v>
      </c>
      <c r="J60" s="5">
        <v>11</v>
      </c>
      <c r="K60" s="5">
        <v>6</v>
      </c>
      <c r="L60" s="5">
        <v>12</v>
      </c>
      <c r="N60" s="146">
        <f>(C60/0.01)*10^($B$60)</f>
        <v>60000000</v>
      </c>
      <c r="O60" s="146">
        <f t="shared" ref="O60:W60" si="70">(D60/0.01)*10^($B$60)</f>
        <v>60000000</v>
      </c>
      <c r="P60" s="146">
        <f t="shared" si="70"/>
        <v>140000000</v>
      </c>
      <c r="Q60" s="146">
        <f t="shared" si="70"/>
        <v>130000000</v>
      </c>
      <c r="R60" s="146">
        <f t="shared" si="70"/>
        <v>10000000</v>
      </c>
      <c r="S60" s="146">
        <f t="shared" si="70"/>
        <v>100000000</v>
      </c>
      <c r="T60" s="146">
        <f t="shared" si="70"/>
        <v>130000000</v>
      </c>
      <c r="U60" s="146">
        <f t="shared" si="70"/>
        <v>110000000</v>
      </c>
      <c r="V60" s="146">
        <f t="shared" si="70"/>
        <v>60000000</v>
      </c>
      <c r="W60" s="146">
        <f t="shared" si="70"/>
        <v>120000000</v>
      </c>
      <c r="X60" s="146">
        <f t="shared" si="57"/>
        <v>92000000</v>
      </c>
      <c r="Y60" s="9" t="s">
        <v>100</v>
      </c>
    </row>
    <row r="61" spans="1:48" x14ac:dyDescent="0.25">
      <c r="A61" s="9" t="s">
        <v>101</v>
      </c>
      <c r="B61" s="5">
        <v>5</v>
      </c>
      <c r="C61" s="5">
        <v>20</v>
      </c>
      <c r="D61" s="5">
        <v>24</v>
      </c>
      <c r="E61" s="5">
        <v>22</v>
      </c>
      <c r="F61" s="5">
        <v>23</v>
      </c>
      <c r="G61" s="5">
        <v>16</v>
      </c>
      <c r="H61" s="5">
        <v>24</v>
      </c>
      <c r="I61" s="5">
        <v>13</v>
      </c>
      <c r="J61" s="5">
        <v>21</v>
      </c>
      <c r="K61" s="5">
        <v>20</v>
      </c>
      <c r="L61" s="5">
        <v>21</v>
      </c>
      <c r="N61" s="146">
        <f>(C61/0.01)*10^($B$61)</f>
        <v>200000000</v>
      </c>
      <c r="O61" s="146">
        <f t="shared" ref="O61:W61" si="71">(D61/0.01)*10^($B$61)</f>
        <v>240000000</v>
      </c>
      <c r="P61" s="146">
        <f t="shared" si="71"/>
        <v>220000000</v>
      </c>
      <c r="Q61" s="146">
        <f t="shared" si="71"/>
        <v>230000000</v>
      </c>
      <c r="R61" s="146">
        <f t="shared" si="71"/>
        <v>160000000</v>
      </c>
      <c r="S61" s="146">
        <f t="shared" si="71"/>
        <v>240000000</v>
      </c>
      <c r="T61" s="146">
        <f t="shared" si="71"/>
        <v>130000000</v>
      </c>
      <c r="U61" s="146">
        <f t="shared" si="71"/>
        <v>210000000</v>
      </c>
      <c r="V61" s="146">
        <f t="shared" si="71"/>
        <v>200000000</v>
      </c>
      <c r="W61" s="146">
        <f t="shared" si="71"/>
        <v>210000000</v>
      </c>
      <c r="X61" s="146">
        <f t="shared" si="57"/>
        <v>204000000</v>
      </c>
      <c r="Y61" s="9" t="s">
        <v>101</v>
      </c>
    </row>
    <row r="62" spans="1:48" x14ac:dyDescent="0.25">
      <c r="A62" s="9" t="s">
        <v>102</v>
      </c>
      <c r="B62" s="5">
        <v>5</v>
      </c>
      <c r="C62" s="5">
        <v>14</v>
      </c>
      <c r="D62" s="5">
        <v>19</v>
      </c>
      <c r="E62" s="5">
        <v>17</v>
      </c>
      <c r="F62" s="5">
        <v>15</v>
      </c>
      <c r="G62" s="5">
        <v>18</v>
      </c>
      <c r="H62" s="5">
        <v>9</v>
      </c>
      <c r="I62" s="5">
        <v>18</v>
      </c>
      <c r="J62" s="5">
        <v>19</v>
      </c>
      <c r="K62" s="5">
        <v>32</v>
      </c>
      <c r="N62" s="146">
        <f>(C62/0.01)*10^($B$62)</f>
        <v>140000000</v>
      </c>
      <c r="O62" s="146">
        <f t="shared" ref="O62:W62" si="72">(D62/0.01)*10^($B$62)</f>
        <v>190000000</v>
      </c>
      <c r="P62" s="146">
        <f t="shared" si="72"/>
        <v>170000000</v>
      </c>
      <c r="Q62" s="146">
        <f t="shared" si="72"/>
        <v>150000000</v>
      </c>
      <c r="R62" s="146">
        <f t="shared" si="72"/>
        <v>180000000</v>
      </c>
      <c r="S62" s="146">
        <f t="shared" si="72"/>
        <v>90000000</v>
      </c>
      <c r="T62" s="146">
        <f t="shared" si="72"/>
        <v>180000000</v>
      </c>
      <c r="U62" s="146">
        <f t="shared" si="72"/>
        <v>190000000</v>
      </c>
      <c r="V62" s="146">
        <f t="shared" si="72"/>
        <v>320000000</v>
      </c>
      <c r="W62" s="146">
        <f t="shared" si="72"/>
        <v>0</v>
      </c>
      <c r="X62" s="146">
        <f t="shared" si="57"/>
        <v>161000000</v>
      </c>
      <c r="Y62" s="9" t="s">
        <v>102</v>
      </c>
    </row>
    <row r="63" spans="1:48" x14ac:dyDescent="0.25">
      <c r="A63" s="9" t="s">
        <v>103</v>
      </c>
      <c r="B63" s="5">
        <v>5</v>
      </c>
      <c r="C63" s="5">
        <v>18</v>
      </c>
      <c r="D63" s="5">
        <v>18</v>
      </c>
      <c r="E63" s="5">
        <v>20</v>
      </c>
      <c r="F63" s="5">
        <v>15</v>
      </c>
      <c r="G63" s="5">
        <v>21</v>
      </c>
      <c r="H63" s="5">
        <v>26</v>
      </c>
      <c r="I63" s="5">
        <v>22</v>
      </c>
      <c r="J63" s="5">
        <v>13</v>
      </c>
      <c r="K63" s="5">
        <v>20</v>
      </c>
      <c r="L63" s="5">
        <v>16</v>
      </c>
      <c r="N63" s="146">
        <f>(C63/0.01)*10^($B$63)</f>
        <v>180000000</v>
      </c>
      <c r="O63" s="146">
        <f t="shared" ref="O63:W63" si="73">(D63/0.01)*10^($B$63)</f>
        <v>180000000</v>
      </c>
      <c r="P63" s="146">
        <f t="shared" si="73"/>
        <v>200000000</v>
      </c>
      <c r="Q63" s="146">
        <f t="shared" si="73"/>
        <v>150000000</v>
      </c>
      <c r="R63" s="146">
        <f t="shared" si="73"/>
        <v>210000000</v>
      </c>
      <c r="S63" s="146">
        <f t="shared" si="73"/>
        <v>260000000</v>
      </c>
      <c r="T63" s="146">
        <f t="shared" si="73"/>
        <v>220000000</v>
      </c>
      <c r="U63" s="146">
        <f t="shared" si="73"/>
        <v>130000000</v>
      </c>
      <c r="V63" s="146">
        <f t="shared" si="73"/>
        <v>200000000</v>
      </c>
      <c r="W63" s="146">
        <f t="shared" si="73"/>
        <v>160000000</v>
      </c>
      <c r="X63" s="146">
        <f t="shared" si="57"/>
        <v>189000000</v>
      </c>
      <c r="Y63" s="9" t="s">
        <v>103</v>
      </c>
    </row>
    <row r="64" spans="1:48" x14ac:dyDescent="0.25">
      <c r="A64" s="9" t="s">
        <v>104</v>
      </c>
      <c r="B64" s="5">
        <v>5</v>
      </c>
      <c r="C64" s="5">
        <v>5</v>
      </c>
      <c r="D64" s="5">
        <v>32</v>
      </c>
      <c r="E64" s="5">
        <v>24</v>
      </c>
      <c r="F64" s="5">
        <v>21</v>
      </c>
      <c r="G64" s="5">
        <v>29</v>
      </c>
      <c r="H64" s="5">
        <v>29</v>
      </c>
      <c r="I64" s="5">
        <v>25</v>
      </c>
      <c r="J64" s="5">
        <v>21</v>
      </c>
      <c r="K64" s="5">
        <v>21</v>
      </c>
      <c r="L64" s="5">
        <v>20</v>
      </c>
      <c r="N64" s="146">
        <f>(C64/0.01)*10^($B$64)</f>
        <v>50000000</v>
      </c>
      <c r="O64" s="146">
        <f t="shared" ref="O64:W64" si="74">(D64/0.01)*10^($B$64)</f>
        <v>320000000</v>
      </c>
      <c r="P64" s="146">
        <f t="shared" si="74"/>
        <v>240000000</v>
      </c>
      <c r="Q64" s="146">
        <f t="shared" si="74"/>
        <v>210000000</v>
      </c>
      <c r="R64" s="146">
        <f t="shared" si="74"/>
        <v>290000000</v>
      </c>
      <c r="S64" s="146">
        <f t="shared" si="74"/>
        <v>290000000</v>
      </c>
      <c r="T64" s="146">
        <f t="shared" si="74"/>
        <v>250000000</v>
      </c>
      <c r="U64" s="146">
        <f t="shared" si="74"/>
        <v>210000000</v>
      </c>
      <c r="V64" s="146">
        <f t="shared" si="74"/>
        <v>210000000</v>
      </c>
      <c r="W64" s="146">
        <f t="shared" si="74"/>
        <v>200000000</v>
      </c>
      <c r="X64" s="146">
        <f t="shared" si="57"/>
        <v>227000000</v>
      </c>
      <c r="Y64" s="9" t="s">
        <v>104</v>
      </c>
    </row>
    <row r="65" spans="1:25" x14ac:dyDescent="0.25">
      <c r="A65" s="9" t="s">
        <v>105</v>
      </c>
      <c r="B65" s="5">
        <v>5</v>
      </c>
      <c r="C65" s="5">
        <v>25</v>
      </c>
      <c r="D65" s="5">
        <v>17</v>
      </c>
      <c r="E65" s="5">
        <v>16</v>
      </c>
      <c r="F65" s="5">
        <v>19</v>
      </c>
      <c r="G65" s="5">
        <v>19</v>
      </c>
      <c r="H65" s="5">
        <v>17</v>
      </c>
      <c r="I65" s="5">
        <v>21</v>
      </c>
      <c r="J65" s="5">
        <v>13</v>
      </c>
      <c r="K65" s="5">
        <v>15</v>
      </c>
      <c r="L65" s="5">
        <v>14</v>
      </c>
      <c r="N65" s="146">
        <f>(C65/0.01)*10^($B$65)</f>
        <v>250000000</v>
      </c>
      <c r="O65" s="146">
        <f t="shared" ref="O65:W65" si="75">(D65/0.01)*10^($B$65)</f>
        <v>170000000</v>
      </c>
      <c r="P65" s="146">
        <f t="shared" si="75"/>
        <v>160000000</v>
      </c>
      <c r="Q65" s="146">
        <f t="shared" si="75"/>
        <v>190000000</v>
      </c>
      <c r="R65" s="146">
        <f t="shared" si="75"/>
        <v>190000000</v>
      </c>
      <c r="S65" s="146">
        <f t="shared" si="75"/>
        <v>170000000</v>
      </c>
      <c r="T65" s="146">
        <f t="shared" si="75"/>
        <v>210000000</v>
      </c>
      <c r="U65" s="146">
        <f t="shared" si="75"/>
        <v>130000000</v>
      </c>
      <c r="V65" s="146">
        <f t="shared" si="75"/>
        <v>150000000</v>
      </c>
      <c r="W65" s="146">
        <f t="shared" si="75"/>
        <v>140000000</v>
      </c>
      <c r="X65" s="146">
        <f t="shared" si="57"/>
        <v>176000000</v>
      </c>
      <c r="Y65" s="9" t="s">
        <v>105</v>
      </c>
    </row>
    <row r="66" spans="1:25" x14ac:dyDescent="0.25">
      <c r="A66" s="9" t="s">
        <v>106</v>
      </c>
      <c r="B66" s="5">
        <v>5</v>
      </c>
      <c r="C66" s="5">
        <v>18</v>
      </c>
      <c r="D66" s="5">
        <v>15</v>
      </c>
      <c r="E66" s="5">
        <v>25</v>
      </c>
      <c r="F66" s="5">
        <v>16</v>
      </c>
      <c r="G66" s="5">
        <v>20</v>
      </c>
      <c r="H66" s="5">
        <v>21</v>
      </c>
      <c r="I66" s="5">
        <v>14</v>
      </c>
      <c r="J66" s="5">
        <v>22</v>
      </c>
      <c r="K66" s="5">
        <v>28</v>
      </c>
      <c r="L66" s="5">
        <v>20</v>
      </c>
      <c r="N66" s="146">
        <f>(C66/0.01)*10^($B$66)</f>
        <v>180000000</v>
      </c>
      <c r="O66" s="146">
        <f t="shared" ref="O66:W66" si="76">(D66/0.01)*10^($B$66)</f>
        <v>150000000</v>
      </c>
      <c r="P66" s="146">
        <f t="shared" si="76"/>
        <v>250000000</v>
      </c>
      <c r="Q66" s="146">
        <f t="shared" si="76"/>
        <v>160000000</v>
      </c>
      <c r="R66" s="146">
        <f t="shared" si="76"/>
        <v>200000000</v>
      </c>
      <c r="S66" s="146">
        <f t="shared" si="76"/>
        <v>210000000</v>
      </c>
      <c r="T66" s="146">
        <f t="shared" si="76"/>
        <v>140000000</v>
      </c>
      <c r="U66" s="146">
        <f t="shared" si="76"/>
        <v>220000000</v>
      </c>
      <c r="V66" s="146">
        <f t="shared" si="76"/>
        <v>280000000</v>
      </c>
      <c r="W66" s="146">
        <f t="shared" si="76"/>
        <v>200000000</v>
      </c>
      <c r="X66" s="146">
        <f t="shared" si="57"/>
        <v>199000000</v>
      </c>
      <c r="Y66" s="9" t="s">
        <v>106</v>
      </c>
    </row>
    <row r="67" spans="1:25" x14ac:dyDescent="0.25">
      <c r="A67" s="9" t="s">
        <v>110</v>
      </c>
      <c r="B67" s="5">
        <v>5</v>
      </c>
      <c r="C67" s="5">
        <v>19</v>
      </c>
      <c r="D67" s="5">
        <v>13</v>
      </c>
      <c r="E67" s="5">
        <v>15</v>
      </c>
      <c r="F67" s="5">
        <v>23</v>
      </c>
      <c r="G67" s="5">
        <v>20</v>
      </c>
      <c r="H67" s="5">
        <v>17</v>
      </c>
      <c r="I67" s="5">
        <v>10</v>
      </c>
      <c r="J67" s="5">
        <v>17</v>
      </c>
      <c r="K67" s="5">
        <v>20</v>
      </c>
      <c r="L67" s="5">
        <v>22</v>
      </c>
      <c r="N67" s="146">
        <f>(C67/0.01)*10^($B$67)</f>
        <v>190000000</v>
      </c>
      <c r="O67" s="146">
        <f t="shared" ref="O67:W67" si="77">(D67/0.01)*10^($B$67)</f>
        <v>130000000</v>
      </c>
      <c r="P67" s="146">
        <f t="shared" si="77"/>
        <v>150000000</v>
      </c>
      <c r="Q67" s="146">
        <f t="shared" si="77"/>
        <v>230000000</v>
      </c>
      <c r="R67" s="146">
        <f t="shared" si="77"/>
        <v>200000000</v>
      </c>
      <c r="S67" s="146">
        <f t="shared" si="77"/>
        <v>170000000</v>
      </c>
      <c r="T67" s="146">
        <f t="shared" si="77"/>
        <v>100000000</v>
      </c>
      <c r="U67" s="146">
        <f t="shared" si="77"/>
        <v>170000000</v>
      </c>
      <c r="V67" s="146">
        <f t="shared" si="77"/>
        <v>200000000</v>
      </c>
      <c r="W67" s="146">
        <f t="shared" si="77"/>
        <v>220000000</v>
      </c>
      <c r="X67" s="146">
        <f t="shared" si="57"/>
        <v>176000000</v>
      </c>
      <c r="Y67" s="9" t="s">
        <v>110</v>
      </c>
    </row>
    <row r="68" spans="1:25" x14ac:dyDescent="0.25">
      <c r="A68" s="9" t="s">
        <v>111</v>
      </c>
      <c r="B68" s="5">
        <v>5</v>
      </c>
      <c r="C68" s="5">
        <v>22</v>
      </c>
      <c r="D68" s="5">
        <v>16</v>
      </c>
      <c r="E68" s="5">
        <v>30</v>
      </c>
      <c r="G68" s="5">
        <v>16</v>
      </c>
      <c r="H68" s="5">
        <v>15</v>
      </c>
      <c r="I68" s="5">
        <v>9</v>
      </c>
      <c r="J68" s="5">
        <v>27</v>
      </c>
      <c r="K68" s="5">
        <v>22</v>
      </c>
      <c r="L68" s="5">
        <v>18</v>
      </c>
      <c r="N68" s="146">
        <f>(C68/0.01)*10^($B$68)</f>
        <v>220000000</v>
      </c>
      <c r="O68" s="146">
        <f t="shared" ref="O68:W68" si="78">(D68/0.01)*10^($B$68)</f>
        <v>160000000</v>
      </c>
      <c r="P68" s="146">
        <f t="shared" si="78"/>
        <v>300000000</v>
      </c>
      <c r="Q68" s="146">
        <f t="shared" si="78"/>
        <v>0</v>
      </c>
      <c r="R68" s="146">
        <f t="shared" si="78"/>
        <v>160000000</v>
      </c>
      <c r="S68" s="146">
        <f t="shared" si="78"/>
        <v>150000000</v>
      </c>
      <c r="T68" s="146">
        <f t="shared" si="78"/>
        <v>90000000</v>
      </c>
      <c r="U68" s="146">
        <f t="shared" si="78"/>
        <v>270000000</v>
      </c>
      <c r="V68" s="146">
        <f t="shared" si="78"/>
        <v>220000000</v>
      </c>
      <c r="W68" s="146">
        <f t="shared" si="78"/>
        <v>180000000</v>
      </c>
      <c r="X68" s="146">
        <f t="shared" si="57"/>
        <v>175000000</v>
      </c>
      <c r="Y68" s="9" t="s">
        <v>111</v>
      </c>
    </row>
    <row r="69" spans="1:25" x14ac:dyDescent="0.25">
      <c r="A69" s="9" t="s">
        <v>112</v>
      </c>
      <c r="B69" s="5">
        <v>5</v>
      </c>
      <c r="C69" s="5">
        <v>30</v>
      </c>
      <c r="D69" s="5">
        <v>26</v>
      </c>
      <c r="E69" s="5">
        <v>22</v>
      </c>
      <c r="F69" s="5">
        <v>21</v>
      </c>
      <c r="G69" s="5">
        <v>24</v>
      </c>
      <c r="H69" s="5">
        <v>24</v>
      </c>
      <c r="I69" s="5">
        <v>18</v>
      </c>
      <c r="J69" s="5">
        <v>19</v>
      </c>
      <c r="K69" s="5">
        <v>23</v>
      </c>
      <c r="L69" s="5">
        <v>17</v>
      </c>
      <c r="N69" s="146">
        <f>(C69/0.01)*10^($B$69)</f>
        <v>300000000</v>
      </c>
      <c r="O69" s="146">
        <f t="shared" ref="O69:W69" si="79">(D69/0.01)*10^($B$69)</f>
        <v>260000000</v>
      </c>
      <c r="P69" s="146">
        <f t="shared" si="79"/>
        <v>220000000</v>
      </c>
      <c r="Q69" s="146">
        <f t="shared" si="79"/>
        <v>210000000</v>
      </c>
      <c r="R69" s="146">
        <f t="shared" si="79"/>
        <v>240000000</v>
      </c>
      <c r="S69" s="146">
        <f t="shared" si="79"/>
        <v>240000000</v>
      </c>
      <c r="T69" s="146">
        <f t="shared" si="79"/>
        <v>180000000</v>
      </c>
      <c r="U69" s="146">
        <f t="shared" si="79"/>
        <v>190000000</v>
      </c>
      <c r="V69" s="146">
        <f t="shared" si="79"/>
        <v>230000000</v>
      </c>
      <c r="W69" s="146">
        <f t="shared" si="79"/>
        <v>170000000</v>
      </c>
      <c r="X69" s="146">
        <f t="shared" si="57"/>
        <v>224000000</v>
      </c>
      <c r="Y69" s="9" t="s">
        <v>112</v>
      </c>
    </row>
    <row r="70" spans="1:25" x14ac:dyDescent="0.25"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</row>
    <row r="71" spans="1:25" x14ac:dyDescent="0.25">
      <c r="A71" s="145" t="s">
        <v>200</v>
      </c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</row>
    <row r="72" spans="1:25" x14ac:dyDescent="0.25">
      <c r="A72" s="9" t="s">
        <v>92</v>
      </c>
      <c r="B72" s="5">
        <v>5</v>
      </c>
      <c r="C72" s="5">
        <v>6</v>
      </c>
      <c r="D72" s="5">
        <v>3</v>
      </c>
      <c r="E72" s="5">
        <v>6</v>
      </c>
      <c r="F72" s="5">
        <v>8</v>
      </c>
      <c r="G72" s="5">
        <v>6</v>
      </c>
      <c r="H72" s="5">
        <v>6</v>
      </c>
      <c r="I72" s="5">
        <v>3</v>
      </c>
      <c r="J72" s="5">
        <v>3</v>
      </c>
      <c r="K72" s="5">
        <v>3</v>
      </c>
      <c r="L72" s="5">
        <v>5</v>
      </c>
      <c r="N72" s="146">
        <f>(C72/0.01)*10^($B$72)</f>
        <v>60000000</v>
      </c>
      <c r="O72" s="146">
        <f t="shared" ref="O72:W72" si="80">(D72/0.01)*10^($B$72)</f>
        <v>30000000</v>
      </c>
      <c r="P72" s="146">
        <f t="shared" si="80"/>
        <v>60000000</v>
      </c>
      <c r="Q72" s="146">
        <f t="shared" si="80"/>
        <v>80000000</v>
      </c>
      <c r="R72" s="146">
        <f t="shared" si="80"/>
        <v>60000000</v>
      </c>
      <c r="S72" s="146">
        <f t="shared" si="80"/>
        <v>60000000</v>
      </c>
      <c r="T72" s="146">
        <f t="shared" si="80"/>
        <v>30000000</v>
      </c>
      <c r="U72" s="146">
        <f t="shared" si="80"/>
        <v>30000000</v>
      </c>
      <c r="V72" s="146">
        <f t="shared" si="80"/>
        <v>30000000</v>
      </c>
      <c r="W72" s="146">
        <f t="shared" si="80"/>
        <v>50000000</v>
      </c>
      <c r="X72" s="146">
        <f t="shared" si="57"/>
        <v>49000000</v>
      </c>
      <c r="Y72" s="9" t="s">
        <v>92</v>
      </c>
    </row>
    <row r="73" spans="1:25" x14ac:dyDescent="0.25">
      <c r="A73" s="9" t="s">
        <v>93</v>
      </c>
      <c r="B73" s="5">
        <v>5</v>
      </c>
      <c r="C73" s="5">
        <v>5</v>
      </c>
      <c r="D73" s="5">
        <v>4</v>
      </c>
      <c r="E73" s="5">
        <v>8</v>
      </c>
      <c r="F73" s="5">
        <v>5</v>
      </c>
      <c r="G73" s="5">
        <v>5</v>
      </c>
      <c r="H73" s="5">
        <v>3</v>
      </c>
      <c r="I73" s="5">
        <v>5</v>
      </c>
      <c r="J73" s="5">
        <v>4</v>
      </c>
      <c r="K73" s="5">
        <v>5</v>
      </c>
      <c r="L73" s="5">
        <v>5</v>
      </c>
      <c r="N73" s="146">
        <f>(C73/0.01)*10^($B$73)</f>
        <v>50000000</v>
      </c>
      <c r="O73" s="146">
        <f t="shared" ref="O73:W73" si="81">(D73/0.01)*10^($B$73)</f>
        <v>40000000</v>
      </c>
      <c r="P73" s="146">
        <f t="shared" si="81"/>
        <v>80000000</v>
      </c>
      <c r="Q73" s="146">
        <f t="shared" si="81"/>
        <v>50000000</v>
      </c>
      <c r="R73" s="146">
        <f t="shared" si="81"/>
        <v>50000000</v>
      </c>
      <c r="S73" s="146">
        <f t="shared" si="81"/>
        <v>30000000</v>
      </c>
      <c r="T73" s="146">
        <f t="shared" si="81"/>
        <v>50000000</v>
      </c>
      <c r="U73" s="146">
        <f t="shared" si="81"/>
        <v>40000000</v>
      </c>
      <c r="V73" s="146">
        <f t="shared" si="81"/>
        <v>50000000</v>
      </c>
      <c r="W73" s="146">
        <f t="shared" si="81"/>
        <v>50000000</v>
      </c>
      <c r="X73" s="146">
        <f t="shared" si="57"/>
        <v>49000000</v>
      </c>
      <c r="Y73" s="9" t="s">
        <v>93</v>
      </c>
    </row>
    <row r="74" spans="1:25" x14ac:dyDescent="0.25">
      <c r="A74" s="9" t="s">
        <v>94</v>
      </c>
      <c r="B74" s="5">
        <v>5</v>
      </c>
      <c r="C74" s="5">
        <v>6</v>
      </c>
      <c r="D74" s="5">
        <v>6</v>
      </c>
      <c r="E74" s="5">
        <v>9</v>
      </c>
      <c r="F74" s="5">
        <v>4</v>
      </c>
      <c r="G74" s="5">
        <v>10</v>
      </c>
      <c r="H74" s="5">
        <v>9</v>
      </c>
      <c r="I74" s="5">
        <v>6</v>
      </c>
      <c r="J74" s="5">
        <v>6</v>
      </c>
      <c r="K74" s="5">
        <v>6</v>
      </c>
      <c r="L74" s="5">
        <v>4</v>
      </c>
      <c r="N74" s="146">
        <f>(C74/0.01)*10^($B$74)</f>
        <v>60000000</v>
      </c>
      <c r="O74" s="146">
        <f t="shared" ref="O74:W74" si="82">(D74/0.01)*10^($B$74)</f>
        <v>60000000</v>
      </c>
      <c r="P74" s="146">
        <f t="shared" si="82"/>
        <v>90000000</v>
      </c>
      <c r="Q74" s="146">
        <f t="shared" si="82"/>
        <v>40000000</v>
      </c>
      <c r="R74" s="146">
        <f t="shared" si="82"/>
        <v>100000000</v>
      </c>
      <c r="S74" s="146">
        <f t="shared" si="82"/>
        <v>90000000</v>
      </c>
      <c r="T74" s="146">
        <f t="shared" si="82"/>
        <v>60000000</v>
      </c>
      <c r="U74" s="146">
        <f t="shared" si="82"/>
        <v>60000000</v>
      </c>
      <c r="V74" s="146">
        <f t="shared" si="82"/>
        <v>60000000</v>
      </c>
      <c r="W74" s="146">
        <f t="shared" si="82"/>
        <v>40000000</v>
      </c>
      <c r="X74" s="146">
        <f t="shared" si="57"/>
        <v>66000000</v>
      </c>
      <c r="Y74" s="9" t="s">
        <v>94</v>
      </c>
    </row>
    <row r="75" spans="1:25" x14ac:dyDescent="0.25">
      <c r="A75" s="9" t="s">
        <v>95</v>
      </c>
      <c r="B75" s="5">
        <v>5</v>
      </c>
      <c r="C75" s="5">
        <v>7</v>
      </c>
      <c r="D75" s="5">
        <v>10</v>
      </c>
      <c r="E75" s="5">
        <v>7</v>
      </c>
      <c r="F75" s="5">
        <v>6</v>
      </c>
      <c r="G75" s="5">
        <v>3</v>
      </c>
      <c r="H75" s="5">
        <v>0</v>
      </c>
      <c r="I75" s="5">
        <v>8</v>
      </c>
      <c r="J75" s="5">
        <v>10</v>
      </c>
      <c r="K75" s="5">
        <v>10</v>
      </c>
      <c r="L75" s="5">
        <v>3</v>
      </c>
      <c r="N75" s="146">
        <f>(C75/0.01)*10^($B$75)</f>
        <v>70000000</v>
      </c>
      <c r="O75" s="146">
        <f t="shared" ref="O75:W75" si="83">(D75/0.01)*10^($B$75)</f>
        <v>100000000</v>
      </c>
      <c r="P75" s="146">
        <f t="shared" si="83"/>
        <v>70000000</v>
      </c>
      <c r="Q75" s="146">
        <f t="shared" si="83"/>
        <v>60000000</v>
      </c>
      <c r="R75" s="146">
        <f t="shared" si="83"/>
        <v>30000000</v>
      </c>
      <c r="S75" s="146">
        <f t="shared" si="83"/>
        <v>0</v>
      </c>
      <c r="T75" s="146">
        <f t="shared" si="83"/>
        <v>80000000</v>
      </c>
      <c r="U75" s="146">
        <f t="shared" si="83"/>
        <v>100000000</v>
      </c>
      <c r="V75" s="146">
        <f t="shared" si="83"/>
        <v>100000000</v>
      </c>
      <c r="W75" s="146">
        <f t="shared" si="83"/>
        <v>30000000</v>
      </c>
      <c r="X75" s="146">
        <f t="shared" si="57"/>
        <v>64000000</v>
      </c>
      <c r="Y75" s="9" t="s">
        <v>95</v>
      </c>
    </row>
    <row r="76" spans="1:25" x14ac:dyDescent="0.25">
      <c r="A76" s="9" t="s">
        <v>96</v>
      </c>
      <c r="B76" s="5">
        <v>5</v>
      </c>
      <c r="C76" s="5">
        <v>6</v>
      </c>
      <c r="D76" s="5">
        <v>3</v>
      </c>
      <c r="E76" s="5">
        <v>9</v>
      </c>
      <c r="F76" s="5">
        <v>6</v>
      </c>
      <c r="G76" s="5">
        <v>9</v>
      </c>
      <c r="H76" s="5">
        <v>4</v>
      </c>
      <c r="I76" s="5">
        <v>2</v>
      </c>
      <c r="J76" s="5">
        <v>5</v>
      </c>
      <c r="K76" s="5">
        <v>7</v>
      </c>
      <c r="L76" s="5">
        <v>3</v>
      </c>
      <c r="N76" s="146">
        <f>(C76/0.01)*10^($B$76)</f>
        <v>60000000</v>
      </c>
      <c r="O76" s="146">
        <f t="shared" ref="O76:W76" si="84">(D76/0.01)*10^($B$76)</f>
        <v>30000000</v>
      </c>
      <c r="P76" s="146">
        <f t="shared" si="84"/>
        <v>90000000</v>
      </c>
      <c r="Q76" s="146">
        <f t="shared" si="84"/>
        <v>60000000</v>
      </c>
      <c r="R76" s="146">
        <f t="shared" si="84"/>
        <v>90000000</v>
      </c>
      <c r="S76" s="146">
        <f t="shared" si="84"/>
        <v>40000000</v>
      </c>
      <c r="T76" s="146">
        <f t="shared" si="84"/>
        <v>20000000</v>
      </c>
      <c r="U76" s="146">
        <f t="shared" si="84"/>
        <v>50000000</v>
      </c>
      <c r="V76" s="146">
        <f t="shared" si="84"/>
        <v>70000000</v>
      </c>
      <c r="W76" s="146">
        <f t="shared" si="84"/>
        <v>30000000</v>
      </c>
      <c r="X76" s="146">
        <f t="shared" si="57"/>
        <v>54000000</v>
      </c>
      <c r="Y76" s="9" t="s">
        <v>96</v>
      </c>
    </row>
    <row r="77" spans="1:25" x14ac:dyDescent="0.25">
      <c r="A77" s="9" t="s">
        <v>97</v>
      </c>
      <c r="B77" s="5">
        <v>5</v>
      </c>
      <c r="C77" s="5">
        <v>5</v>
      </c>
      <c r="D77" s="5">
        <v>8</v>
      </c>
      <c r="E77" s="5">
        <v>6</v>
      </c>
      <c r="F77" s="5">
        <v>2</v>
      </c>
      <c r="G77" s="5">
        <v>3</v>
      </c>
      <c r="H77" s="5">
        <v>5</v>
      </c>
      <c r="I77" s="5">
        <v>5</v>
      </c>
      <c r="J77" s="5">
        <v>4</v>
      </c>
      <c r="K77" s="5">
        <v>4</v>
      </c>
      <c r="L77" s="5">
        <v>2</v>
      </c>
      <c r="N77" s="146">
        <f>(C77/0.01)*10^($B$77)</f>
        <v>50000000</v>
      </c>
      <c r="O77" s="146">
        <f t="shared" ref="O77:W77" si="85">(D77/0.01)*10^($B$77)</f>
        <v>80000000</v>
      </c>
      <c r="P77" s="146">
        <f t="shared" si="85"/>
        <v>60000000</v>
      </c>
      <c r="Q77" s="146">
        <f t="shared" si="85"/>
        <v>20000000</v>
      </c>
      <c r="R77" s="146">
        <f t="shared" si="85"/>
        <v>30000000</v>
      </c>
      <c r="S77" s="146">
        <f t="shared" si="85"/>
        <v>50000000</v>
      </c>
      <c r="T77" s="146">
        <f t="shared" si="85"/>
        <v>50000000</v>
      </c>
      <c r="U77" s="146">
        <f t="shared" si="85"/>
        <v>40000000</v>
      </c>
      <c r="V77" s="146">
        <f t="shared" si="85"/>
        <v>40000000</v>
      </c>
      <c r="W77" s="146">
        <f t="shared" si="85"/>
        <v>20000000</v>
      </c>
      <c r="X77" s="146">
        <f t="shared" si="57"/>
        <v>44000000</v>
      </c>
      <c r="Y77" s="9" t="s">
        <v>97</v>
      </c>
    </row>
    <row r="78" spans="1:25" x14ac:dyDescent="0.25">
      <c r="A78" s="9" t="s">
        <v>98</v>
      </c>
      <c r="B78" s="5">
        <v>5</v>
      </c>
      <c r="C78" s="5">
        <v>8</v>
      </c>
      <c r="D78" s="5">
        <v>10</v>
      </c>
      <c r="E78" s="5">
        <v>5</v>
      </c>
      <c r="F78" s="5">
        <v>5</v>
      </c>
      <c r="G78" s="5">
        <v>9</v>
      </c>
      <c r="H78" s="5">
        <v>5</v>
      </c>
      <c r="I78" s="5">
        <v>5</v>
      </c>
      <c r="J78" s="5">
        <v>5</v>
      </c>
      <c r="K78" s="5">
        <v>8</v>
      </c>
      <c r="L78" s="5">
        <v>7</v>
      </c>
      <c r="N78" s="146">
        <f>(C78/0.01)*10^($B$78)</f>
        <v>80000000</v>
      </c>
      <c r="O78" s="146">
        <f t="shared" ref="O78:W78" si="86">(D78/0.01)*10^($B$78)</f>
        <v>100000000</v>
      </c>
      <c r="P78" s="146">
        <f t="shared" si="86"/>
        <v>50000000</v>
      </c>
      <c r="Q78" s="146">
        <f t="shared" si="86"/>
        <v>50000000</v>
      </c>
      <c r="R78" s="146">
        <f t="shared" si="86"/>
        <v>90000000</v>
      </c>
      <c r="S78" s="146">
        <f t="shared" si="86"/>
        <v>50000000</v>
      </c>
      <c r="T78" s="146">
        <f t="shared" si="86"/>
        <v>50000000</v>
      </c>
      <c r="U78" s="146">
        <f t="shared" si="86"/>
        <v>50000000</v>
      </c>
      <c r="V78" s="146">
        <f t="shared" si="86"/>
        <v>80000000</v>
      </c>
      <c r="W78" s="146">
        <f t="shared" si="86"/>
        <v>70000000</v>
      </c>
      <c r="X78" s="146">
        <f t="shared" si="57"/>
        <v>67000000</v>
      </c>
      <c r="Y78" s="9" t="s">
        <v>98</v>
      </c>
    </row>
    <row r="79" spans="1:25" x14ac:dyDescent="0.25">
      <c r="A79" s="9" t="s">
        <v>99</v>
      </c>
      <c r="B79" s="5">
        <v>5</v>
      </c>
      <c r="C79" s="5">
        <v>7</v>
      </c>
      <c r="D79" s="5">
        <v>7</v>
      </c>
      <c r="E79" s="5">
        <v>8</v>
      </c>
      <c r="F79" s="5">
        <v>5</v>
      </c>
      <c r="G79" s="5">
        <v>5</v>
      </c>
      <c r="H79" s="5">
        <v>4</v>
      </c>
      <c r="I79" s="5">
        <v>7</v>
      </c>
      <c r="J79" s="5">
        <v>4</v>
      </c>
      <c r="K79" s="5">
        <v>10</v>
      </c>
      <c r="L79" s="5">
        <v>4</v>
      </c>
      <c r="N79" s="146">
        <f>(C79/0.01)*10^($B$79)</f>
        <v>70000000</v>
      </c>
      <c r="O79" s="146">
        <f t="shared" ref="O79:W79" si="87">(D79/0.01)*10^($B$79)</f>
        <v>70000000</v>
      </c>
      <c r="P79" s="146">
        <f t="shared" si="87"/>
        <v>80000000</v>
      </c>
      <c r="Q79" s="146">
        <f t="shared" si="87"/>
        <v>50000000</v>
      </c>
      <c r="R79" s="146">
        <f t="shared" si="87"/>
        <v>50000000</v>
      </c>
      <c r="S79" s="146">
        <f t="shared" si="87"/>
        <v>40000000</v>
      </c>
      <c r="T79" s="146">
        <f t="shared" si="87"/>
        <v>70000000</v>
      </c>
      <c r="U79" s="146">
        <f t="shared" si="87"/>
        <v>40000000</v>
      </c>
      <c r="V79" s="146">
        <f t="shared" si="87"/>
        <v>100000000</v>
      </c>
      <c r="W79" s="146">
        <f t="shared" si="87"/>
        <v>40000000</v>
      </c>
      <c r="X79" s="146">
        <f t="shared" si="57"/>
        <v>61000000</v>
      </c>
      <c r="Y79" s="9" t="s">
        <v>99</v>
      </c>
    </row>
    <row r="80" spans="1:25" x14ac:dyDescent="0.25">
      <c r="A80" s="9" t="s">
        <v>100</v>
      </c>
      <c r="B80" s="5">
        <v>5</v>
      </c>
      <c r="C80" s="5">
        <v>10</v>
      </c>
      <c r="D80" s="5">
        <v>6</v>
      </c>
      <c r="E80" s="5">
        <v>8</v>
      </c>
      <c r="F80" s="5">
        <v>12</v>
      </c>
      <c r="G80" s="5">
        <v>9</v>
      </c>
      <c r="H80" s="5">
        <v>1</v>
      </c>
      <c r="I80" s="5">
        <v>11</v>
      </c>
      <c r="J80" s="5">
        <v>7</v>
      </c>
      <c r="K80" s="5">
        <v>6</v>
      </c>
      <c r="L80" s="5">
        <v>6</v>
      </c>
      <c r="N80" s="146">
        <f>(C80/0.01)*10^($B$80)</f>
        <v>100000000</v>
      </c>
      <c r="O80" s="146">
        <f t="shared" ref="O80:W80" si="88">(D80/0.01)*10^($B$80)</f>
        <v>60000000</v>
      </c>
      <c r="P80" s="146">
        <f t="shared" si="88"/>
        <v>80000000</v>
      </c>
      <c r="Q80" s="146">
        <f t="shared" si="88"/>
        <v>120000000</v>
      </c>
      <c r="R80" s="146">
        <f t="shared" si="88"/>
        <v>90000000</v>
      </c>
      <c r="S80" s="146">
        <f t="shared" si="88"/>
        <v>10000000</v>
      </c>
      <c r="T80" s="146">
        <f t="shared" si="88"/>
        <v>110000000</v>
      </c>
      <c r="U80" s="146">
        <f t="shared" si="88"/>
        <v>70000000</v>
      </c>
      <c r="V80" s="146">
        <f t="shared" si="88"/>
        <v>60000000</v>
      </c>
      <c r="W80" s="146">
        <f t="shared" si="88"/>
        <v>60000000</v>
      </c>
      <c r="X80" s="146">
        <f t="shared" si="57"/>
        <v>76000000</v>
      </c>
      <c r="Y80" s="9" t="s">
        <v>100</v>
      </c>
    </row>
    <row r="81" spans="1:25" x14ac:dyDescent="0.25">
      <c r="A81" s="9" t="s">
        <v>101</v>
      </c>
      <c r="B81" s="5">
        <v>5</v>
      </c>
      <c r="C81" s="5">
        <v>13</v>
      </c>
      <c r="D81" s="5">
        <v>9</v>
      </c>
      <c r="E81" s="5">
        <v>9</v>
      </c>
      <c r="F81" s="5">
        <v>15</v>
      </c>
      <c r="G81" s="5">
        <v>9</v>
      </c>
      <c r="H81" s="5">
        <v>7</v>
      </c>
      <c r="I81" s="5">
        <v>10</v>
      </c>
      <c r="J81" s="5">
        <v>11</v>
      </c>
      <c r="K81" s="5">
        <v>12</v>
      </c>
      <c r="L81" s="5">
        <v>15</v>
      </c>
      <c r="N81" s="146">
        <f>(C81/0.01)*10^($B$81)</f>
        <v>130000000</v>
      </c>
      <c r="O81" s="146">
        <f t="shared" ref="O81:W81" si="89">(D81/0.01)*10^($B$81)</f>
        <v>90000000</v>
      </c>
      <c r="P81" s="146">
        <f t="shared" si="89"/>
        <v>90000000</v>
      </c>
      <c r="Q81" s="146">
        <f t="shared" si="89"/>
        <v>150000000</v>
      </c>
      <c r="R81" s="146">
        <f t="shared" si="89"/>
        <v>90000000</v>
      </c>
      <c r="S81" s="146">
        <f t="shared" si="89"/>
        <v>70000000</v>
      </c>
      <c r="T81" s="146">
        <f t="shared" si="89"/>
        <v>100000000</v>
      </c>
      <c r="U81" s="146">
        <f t="shared" si="89"/>
        <v>110000000</v>
      </c>
      <c r="V81" s="146">
        <f t="shared" si="89"/>
        <v>120000000</v>
      </c>
      <c r="W81" s="146">
        <f t="shared" si="89"/>
        <v>150000000</v>
      </c>
      <c r="X81" s="146">
        <f t="shared" si="57"/>
        <v>110000000</v>
      </c>
      <c r="Y81" s="9" t="s">
        <v>101</v>
      </c>
    </row>
    <row r="82" spans="1:25" x14ac:dyDescent="0.25">
      <c r="A82" s="9" t="s">
        <v>102</v>
      </c>
      <c r="B82" s="5">
        <v>5</v>
      </c>
      <c r="C82" s="5">
        <v>11</v>
      </c>
      <c r="D82" s="5">
        <v>7</v>
      </c>
      <c r="E82" s="5">
        <v>13</v>
      </c>
      <c r="F82" s="5">
        <v>14</v>
      </c>
      <c r="G82" s="5">
        <v>11</v>
      </c>
      <c r="H82" s="5">
        <v>9</v>
      </c>
      <c r="I82" s="5">
        <v>9</v>
      </c>
      <c r="J82" s="5">
        <v>15</v>
      </c>
      <c r="K82" s="5">
        <v>12</v>
      </c>
      <c r="L82" s="5">
        <v>15</v>
      </c>
      <c r="N82" s="146">
        <f>(C82/0.01)*10^($B$82)</f>
        <v>110000000</v>
      </c>
      <c r="O82" s="146">
        <f t="shared" ref="O82:W82" si="90">(D82/0.01)*10^($B$82)</f>
        <v>70000000</v>
      </c>
      <c r="P82" s="146">
        <f t="shared" si="90"/>
        <v>130000000</v>
      </c>
      <c r="Q82" s="146">
        <f t="shared" si="90"/>
        <v>140000000</v>
      </c>
      <c r="R82" s="146">
        <f t="shared" si="90"/>
        <v>110000000</v>
      </c>
      <c r="S82" s="146">
        <f t="shared" si="90"/>
        <v>90000000</v>
      </c>
      <c r="T82" s="146">
        <f t="shared" si="90"/>
        <v>90000000</v>
      </c>
      <c r="U82" s="146">
        <f t="shared" si="90"/>
        <v>150000000</v>
      </c>
      <c r="V82" s="146">
        <f t="shared" si="90"/>
        <v>120000000</v>
      </c>
      <c r="W82" s="146">
        <f t="shared" si="90"/>
        <v>150000000</v>
      </c>
      <c r="X82" s="146">
        <f t="shared" si="57"/>
        <v>116000000</v>
      </c>
      <c r="Y82" s="9" t="s">
        <v>102</v>
      </c>
    </row>
    <row r="83" spans="1:25" x14ac:dyDescent="0.25">
      <c r="A83" s="9" t="s">
        <v>103</v>
      </c>
      <c r="B83" s="5">
        <v>5</v>
      </c>
      <c r="C83" s="5">
        <v>10</v>
      </c>
      <c r="D83" s="5">
        <v>10</v>
      </c>
      <c r="E83" s="5">
        <v>13</v>
      </c>
      <c r="F83" s="5">
        <v>13</v>
      </c>
      <c r="G83" s="5">
        <v>17</v>
      </c>
      <c r="H83" s="5">
        <v>18</v>
      </c>
      <c r="I83" s="5">
        <v>10</v>
      </c>
      <c r="J83" s="5">
        <v>14</v>
      </c>
      <c r="K83" s="5">
        <v>12</v>
      </c>
      <c r="L83" s="5">
        <v>8</v>
      </c>
      <c r="N83" s="146">
        <f>(C83/0.01)*10^($B$83)</f>
        <v>100000000</v>
      </c>
      <c r="O83" s="146">
        <f t="shared" ref="O83:W83" si="91">(D83/0.01)*10^($B$83)</f>
        <v>100000000</v>
      </c>
      <c r="P83" s="146">
        <f t="shared" si="91"/>
        <v>130000000</v>
      </c>
      <c r="Q83" s="146">
        <f t="shared" si="91"/>
        <v>130000000</v>
      </c>
      <c r="R83" s="146">
        <f t="shared" si="91"/>
        <v>170000000</v>
      </c>
      <c r="S83" s="146">
        <f t="shared" si="91"/>
        <v>180000000</v>
      </c>
      <c r="T83" s="146">
        <f t="shared" si="91"/>
        <v>100000000</v>
      </c>
      <c r="U83" s="146">
        <f t="shared" si="91"/>
        <v>140000000</v>
      </c>
      <c r="V83" s="146">
        <f t="shared" si="91"/>
        <v>120000000</v>
      </c>
      <c r="W83" s="146">
        <f t="shared" si="91"/>
        <v>80000000</v>
      </c>
      <c r="X83" s="146">
        <f t="shared" si="57"/>
        <v>125000000</v>
      </c>
      <c r="Y83" s="9" t="s">
        <v>103</v>
      </c>
    </row>
    <row r="84" spans="1:25" x14ac:dyDescent="0.25">
      <c r="A84" s="9" t="s">
        <v>104</v>
      </c>
      <c r="B84" s="5">
        <v>5</v>
      </c>
      <c r="C84" s="5">
        <v>13</v>
      </c>
      <c r="D84" s="5">
        <v>19</v>
      </c>
      <c r="E84" s="5">
        <v>13</v>
      </c>
      <c r="F84" s="5">
        <v>14</v>
      </c>
      <c r="G84" s="5">
        <v>15</v>
      </c>
      <c r="H84" s="5">
        <v>14</v>
      </c>
      <c r="I84" s="5">
        <v>16</v>
      </c>
      <c r="J84" s="5">
        <v>13</v>
      </c>
      <c r="K84" s="5">
        <v>14</v>
      </c>
      <c r="L84" s="5">
        <v>17</v>
      </c>
      <c r="N84" s="146">
        <f>(C84/0.01)*10^($B$84)</f>
        <v>130000000</v>
      </c>
      <c r="O84" s="146">
        <f t="shared" ref="O84:W84" si="92">(D84/0.01)*10^($B$84)</f>
        <v>190000000</v>
      </c>
      <c r="P84" s="146">
        <f t="shared" si="92"/>
        <v>130000000</v>
      </c>
      <c r="Q84" s="146">
        <f t="shared" si="92"/>
        <v>140000000</v>
      </c>
      <c r="R84" s="146">
        <f t="shared" si="92"/>
        <v>150000000</v>
      </c>
      <c r="S84" s="146">
        <f t="shared" si="92"/>
        <v>140000000</v>
      </c>
      <c r="T84" s="146">
        <f t="shared" si="92"/>
        <v>160000000</v>
      </c>
      <c r="U84" s="146">
        <f t="shared" si="92"/>
        <v>130000000</v>
      </c>
      <c r="V84" s="146">
        <f t="shared" si="92"/>
        <v>140000000</v>
      </c>
      <c r="W84" s="146">
        <f t="shared" si="92"/>
        <v>170000000</v>
      </c>
      <c r="X84" s="146">
        <f t="shared" si="57"/>
        <v>148000000</v>
      </c>
      <c r="Y84" s="9" t="s">
        <v>104</v>
      </c>
    </row>
    <row r="85" spans="1:25" x14ac:dyDescent="0.25">
      <c r="A85" s="9" t="s">
        <v>105</v>
      </c>
      <c r="B85" s="5">
        <v>5</v>
      </c>
      <c r="C85" s="5">
        <v>14</v>
      </c>
      <c r="D85" s="5">
        <v>14</v>
      </c>
      <c r="E85" s="5">
        <v>8</v>
      </c>
      <c r="F85" s="5">
        <v>7</v>
      </c>
      <c r="G85" s="5">
        <v>15</v>
      </c>
      <c r="H85" s="5">
        <v>12</v>
      </c>
      <c r="I85" s="5">
        <v>11</v>
      </c>
      <c r="J85" s="5">
        <v>7</v>
      </c>
      <c r="K85" s="5">
        <v>11</v>
      </c>
      <c r="L85" s="5">
        <v>9</v>
      </c>
      <c r="N85" s="146">
        <f>(C85/0.01)*10^($B$85)</f>
        <v>140000000</v>
      </c>
      <c r="O85" s="146">
        <f t="shared" ref="O85:W85" si="93">(D85/0.01)*10^($B$85)</f>
        <v>140000000</v>
      </c>
      <c r="P85" s="146">
        <f t="shared" si="93"/>
        <v>80000000</v>
      </c>
      <c r="Q85" s="146">
        <f t="shared" si="93"/>
        <v>70000000</v>
      </c>
      <c r="R85" s="146">
        <f t="shared" si="93"/>
        <v>150000000</v>
      </c>
      <c r="S85" s="146">
        <f t="shared" si="93"/>
        <v>120000000</v>
      </c>
      <c r="T85" s="146">
        <f t="shared" si="93"/>
        <v>110000000</v>
      </c>
      <c r="U85" s="146">
        <f t="shared" si="93"/>
        <v>70000000</v>
      </c>
      <c r="V85" s="146">
        <f t="shared" si="93"/>
        <v>110000000</v>
      </c>
      <c r="W85" s="146">
        <f t="shared" si="93"/>
        <v>90000000</v>
      </c>
      <c r="X85" s="146">
        <f t="shared" si="57"/>
        <v>108000000</v>
      </c>
      <c r="Y85" s="9" t="s">
        <v>105</v>
      </c>
    </row>
    <row r="86" spans="1:25" x14ac:dyDescent="0.25">
      <c r="A86" s="9" t="s">
        <v>106</v>
      </c>
      <c r="B86" s="5">
        <v>5</v>
      </c>
      <c r="C86" s="5">
        <v>13</v>
      </c>
      <c r="D86" s="5">
        <v>22</v>
      </c>
      <c r="F86" s="5">
        <v>10</v>
      </c>
      <c r="G86" s="5">
        <v>14</v>
      </c>
      <c r="H86" s="5">
        <v>14</v>
      </c>
      <c r="I86" s="5">
        <v>13</v>
      </c>
      <c r="J86" s="5">
        <v>14</v>
      </c>
      <c r="K86" s="5">
        <v>12</v>
      </c>
      <c r="L86" s="5">
        <v>23</v>
      </c>
      <c r="N86" s="146">
        <f>(C86/0.01)*10^($B$86)</f>
        <v>130000000</v>
      </c>
      <c r="O86" s="146">
        <f t="shared" ref="O86:W86" si="94">(D86/0.01)*10^($B$86)</f>
        <v>220000000</v>
      </c>
      <c r="P86" s="146">
        <f t="shared" si="94"/>
        <v>0</v>
      </c>
      <c r="Q86" s="146">
        <f t="shared" si="94"/>
        <v>100000000</v>
      </c>
      <c r="R86" s="146">
        <f t="shared" si="94"/>
        <v>140000000</v>
      </c>
      <c r="S86" s="146">
        <f t="shared" si="94"/>
        <v>140000000</v>
      </c>
      <c r="T86" s="146">
        <f t="shared" si="94"/>
        <v>130000000</v>
      </c>
      <c r="U86" s="146">
        <f t="shared" si="94"/>
        <v>140000000</v>
      </c>
      <c r="V86" s="146">
        <f t="shared" si="94"/>
        <v>120000000</v>
      </c>
      <c r="W86" s="146">
        <f t="shared" si="94"/>
        <v>230000000</v>
      </c>
      <c r="X86" s="146">
        <f t="shared" si="57"/>
        <v>135000000</v>
      </c>
      <c r="Y86" s="9" t="s">
        <v>106</v>
      </c>
    </row>
    <row r="87" spans="1:25" x14ac:dyDescent="0.25">
      <c r="A87" s="9" t="s">
        <v>110</v>
      </c>
      <c r="B87" s="5">
        <v>5</v>
      </c>
      <c r="C87" s="5">
        <v>14</v>
      </c>
      <c r="D87" s="5">
        <v>8</v>
      </c>
      <c r="E87" s="5">
        <v>13</v>
      </c>
      <c r="F87" s="5">
        <v>13</v>
      </c>
      <c r="G87" s="5">
        <v>13</v>
      </c>
      <c r="H87" s="5">
        <v>16</v>
      </c>
      <c r="I87" s="5">
        <v>13</v>
      </c>
      <c r="J87" s="5">
        <v>11</v>
      </c>
      <c r="K87" s="5">
        <v>7</v>
      </c>
      <c r="L87" s="5">
        <v>17</v>
      </c>
      <c r="N87" s="146">
        <f>(C87/0.01)*10^($B$87)</f>
        <v>140000000</v>
      </c>
      <c r="O87" s="146">
        <f t="shared" ref="O87:W87" si="95">(D87/0.01)*10^($B$87)</f>
        <v>80000000</v>
      </c>
      <c r="P87" s="146">
        <f t="shared" si="95"/>
        <v>130000000</v>
      </c>
      <c r="Q87" s="146">
        <f t="shared" si="95"/>
        <v>130000000</v>
      </c>
      <c r="R87" s="146">
        <f t="shared" si="95"/>
        <v>130000000</v>
      </c>
      <c r="S87" s="146">
        <f t="shared" si="95"/>
        <v>160000000</v>
      </c>
      <c r="T87" s="146">
        <f t="shared" si="95"/>
        <v>130000000</v>
      </c>
      <c r="U87" s="146">
        <f t="shared" si="95"/>
        <v>110000000</v>
      </c>
      <c r="V87" s="146">
        <f t="shared" si="95"/>
        <v>70000000</v>
      </c>
      <c r="W87" s="146">
        <f t="shared" si="95"/>
        <v>170000000</v>
      </c>
      <c r="X87" s="146">
        <f t="shared" si="57"/>
        <v>125000000</v>
      </c>
      <c r="Y87" s="9" t="s">
        <v>110</v>
      </c>
    </row>
    <row r="88" spans="1:25" x14ac:dyDescent="0.25">
      <c r="A88" s="9" t="s">
        <v>111</v>
      </c>
      <c r="B88" s="5">
        <v>5</v>
      </c>
      <c r="C88" s="5">
        <v>11</v>
      </c>
      <c r="D88" s="5">
        <v>17</v>
      </c>
      <c r="E88" s="5">
        <v>18</v>
      </c>
      <c r="F88" s="5">
        <v>10</v>
      </c>
      <c r="G88" s="5">
        <v>11</v>
      </c>
      <c r="H88" s="5">
        <v>13</v>
      </c>
      <c r="I88" s="5">
        <v>15</v>
      </c>
      <c r="J88" s="5">
        <v>12</v>
      </c>
      <c r="K88" s="5">
        <v>9</v>
      </c>
      <c r="L88" s="5">
        <v>9</v>
      </c>
      <c r="N88" s="146">
        <f>(C88/0.01)*10^($B$88)</f>
        <v>110000000</v>
      </c>
      <c r="O88" s="146">
        <f t="shared" ref="O88:W88" si="96">(D88/0.01)*10^($B$88)</f>
        <v>170000000</v>
      </c>
      <c r="P88" s="146">
        <f t="shared" si="96"/>
        <v>180000000</v>
      </c>
      <c r="Q88" s="146">
        <f t="shared" si="96"/>
        <v>100000000</v>
      </c>
      <c r="R88" s="146">
        <f t="shared" si="96"/>
        <v>110000000</v>
      </c>
      <c r="S88" s="146">
        <f t="shared" si="96"/>
        <v>130000000</v>
      </c>
      <c r="T88" s="146">
        <f t="shared" si="96"/>
        <v>150000000</v>
      </c>
      <c r="U88" s="146">
        <f t="shared" si="96"/>
        <v>120000000</v>
      </c>
      <c r="V88" s="146">
        <f t="shared" si="96"/>
        <v>90000000</v>
      </c>
      <c r="W88" s="146">
        <f t="shared" si="96"/>
        <v>90000000</v>
      </c>
      <c r="X88" s="146">
        <f t="shared" si="57"/>
        <v>125000000</v>
      </c>
      <c r="Y88" s="9" t="s">
        <v>111</v>
      </c>
    </row>
    <row r="89" spans="1:25" x14ac:dyDescent="0.25">
      <c r="A89" s="9" t="s">
        <v>112</v>
      </c>
      <c r="B89" s="5">
        <v>5</v>
      </c>
      <c r="C89" s="5">
        <v>13</v>
      </c>
      <c r="D89" s="5">
        <v>21</v>
      </c>
      <c r="E89" s="5">
        <v>19</v>
      </c>
      <c r="F89" s="5">
        <v>16</v>
      </c>
      <c r="G89" s="5">
        <v>10</v>
      </c>
      <c r="H89" s="5">
        <v>12</v>
      </c>
      <c r="I89" s="5">
        <v>16</v>
      </c>
      <c r="J89" s="5">
        <v>12</v>
      </c>
      <c r="K89" s="5">
        <v>15</v>
      </c>
      <c r="L89" s="5">
        <v>12</v>
      </c>
      <c r="N89" s="146">
        <f>(C89/0.01)*10^($B$89)</f>
        <v>130000000</v>
      </c>
      <c r="O89" s="146">
        <f t="shared" ref="O89:W89" si="97">(D89/0.01)*10^($B$89)</f>
        <v>210000000</v>
      </c>
      <c r="P89" s="146">
        <f t="shared" si="97"/>
        <v>190000000</v>
      </c>
      <c r="Q89" s="146">
        <f t="shared" si="97"/>
        <v>160000000</v>
      </c>
      <c r="R89" s="146">
        <f t="shared" si="97"/>
        <v>100000000</v>
      </c>
      <c r="S89" s="146">
        <f t="shared" si="97"/>
        <v>120000000</v>
      </c>
      <c r="T89" s="146">
        <f t="shared" si="97"/>
        <v>160000000</v>
      </c>
      <c r="U89" s="146">
        <f t="shared" si="97"/>
        <v>120000000</v>
      </c>
      <c r="V89" s="146">
        <f t="shared" si="97"/>
        <v>150000000</v>
      </c>
      <c r="W89" s="146">
        <f t="shared" si="97"/>
        <v>120000000</v>
      </c>
      <c r="X89" s="146">
        <f t="shared" si="57"/>
        <v>146000000</v>
      </c>
      <c r="Y89" s="9" t="s">
        <v>112</v>
      </c>
    </row>
  </sheetData>
  <mergeCells count="8">
    <mergeCell ref="AL4:AP4"/>
    <mergeCell ref="AQ4:AU4"/>
    <mergeCell ref="D4:I4"/>
    <mergeCell ref="J4:O4"/>
    <mergeCell ref="P4:U4"/>
    <mergeCell ref="V4:AA4"/>
    <mergeCell ref="AB4:AF4"/>
    <mergeCell ref="AG4:AK4"/>
  </mergeCells>
  <pageMargins left="0.7" right="0.7" top="0.75" bottom="0.75" header="0.3" footer="0.3"/>
  <pageSetup orientation="portrait" horizontalDpi="1200" verticalDpi="12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6127-C45C-47F4-86DD-9A3192DEDE82}">
  <dimension ref="A1:AU83"/>
  <sheetViews>
    <sheetView zoomScaleNormal="100" workbookViewId="0"/>
  </sheetViews>
  <sheetFormatPr defaultColWidth="8.7109375" defaultRowHeight="15" x14ac:dyDescent="0.25"/>
  <cols>
    <col min="1" max="1" width="8.7109375" style="5"/>
    <col min="2" max="2" width="14.85546875" style="5" customWidth="1"/>
    <col min="3" max="13" width="8.7109375" style="5"/>
    <col min="14" max="14" width="10" style="5" customWidth="1"/>
    <col min="15" max="15" width="8.7109375" style="5"/>
    <col min="16" max="18" width="10" style="5" customWidth="1"/>
    <col min="19" max="20" width="8.7109375" style="5"/>
    <col min="21" max="23" width="10" style="5" customWidth="1"/>
    <col min="24" max="24" width="8.7109375" style="5"/>
    <col min="25" max="25" width="11" style="5" bestFit="1" customWidth="1"/>
    <col min="26" max="16384" width="8.7109375" style="5"/>
  </cols>
  <sheetData>
    <row r="1" spans="1:47" x14ac:dyDescent="0.25">
      <c r="A1" s="8" t="s">
        <v>203</v>
      </c>
      <c r="D1" s="5">
        <v>20170126</v>
      </c>
    </row>
    <row r="2" spans="1:47" x14ac:dyDescent="0.25">
      <c r="A2" s="9" t="s">
        <v>196</v>
      </c>
    </row>
    <row r="3" spans="1:47" x14ac:dyDescent="0.25">
      <c r="A3" s="9" t="s">
        <v>64</v>
      </c>
      <c r="J3" s="156"/>
    </row>
    <row r="4" spans="1:47" x14ac:dyDescent="0.25">
      <c r="D4" s="382" t="s">
        <v>12</v>
      </c>
      <c r="E4" s="383"/>
      <c r="F4" s="383"/>
      <c r="G4" s="383"/>
      <c r="H4" s="383"/>
      <c r="I4" s="384"/>
      <c r="J4" s="382" t="s">
        <v>5</v>
      </c>
      <c r="K4" s="383"/>
      <c r="L4" s="383"/>
      <c r="M4" s="383"/>
      <c r="N4" s="383"/>
      <c r="O4" s="384"/>
      <c r="P4" s="382" t="s">
        <v>13</v>
      </c>
      <c r="Q4" s="385"/>
      <c r="R4" s="385"/>
      <c r="S4" s="385"/>
      <c r="T4" s="385"/>
      <c r="U4" s="384"/>
      <c r="V4" s="382" t="s">
        <v>14</v>
      </c>
      <c r="W4" s="383"/>
      <c r="X4" s="383"/>
      <c r="Y4" s="383"/>
      <c r="Z4" s="383"/>
      <c r="AA4" s="384"/>
      <c r="AB4" s="383" t="s">
        <v>198</v>
      </c>
      <c r="AC4" s="383"/>
      <c r="AD4" s="383"/>
      <c r="AE4" s="383"/>
      <c r="AF4" s="384"/>
      <c r="AG4" s="382" t="s">
        <v>84</v>
      </c>
      <c r="AH4" s="383"/>
      <c r="AI4" s="383"/>
      <c r="AJ4" s="383"/>
      <c r="AK4" s="384"/>
      <c r="AL4" s="382" t="s">
        <v>199</v>
      </c>
      <c r="AM4" s="383"/>
      <c r="AN4" s="383"/>
      <c r="AO4" s="383"/>
      <c r="AP4" s="384"/>
      <c r="AQ4" s="383" t="s">
        <v>86</v>
      </c>
      <c r="AR4" s="383"/>
      <c r="AS4" s="383"/>
      <c r="AT4" s="383"/>
      <c r="AU4" s="384"/>
    </row>
    <row r="5" spans="1:47" x14ac:dyDescent="0.25">
      <c r="B5" s="9" t="s">
        <v>15</v>
      </c>
      <c r="C5" s="11" t="s">
        <v>16</v>
      </c>
      <c r="D5" s="12">
        <v>1</v>
      </c>
      <c r="E5" s="13">
        <v>2</v>
      </c>
      <c r="F5" s="13">
        <v>3</v>
      </c>
      <c r="G5" s="13" t="s">
        <v>4</v>
      </c>
      <c r="H5" s="14" t="s">
        <v>17</v>
      </c>
      <c r="I5" s="15" t="s">
        <v>18</v>
      </c>
      <c r="J5" s="12">
        <v>1</v>
      </c>
      <c r="K5" s="13">
        <v>2</v>
      </c>
      <c r="L5" s="13">
        <v>3</v>
      </c>
      <c r="M5" s="13" t="s">
        <v>4</v>
      </c>
      <c r="N5" s="14" t="s">
        <v>17</v>
      </c>
      <c r="O5" s="15" t="s">
        <v>18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5" t="s">
        <v>18</v>
      </c>
      <c r="V5" s="12">
        <v>1</v>
      </c>
      <c r="W5" s="13">
        <v>2</v>
      </c>
      <c r="X5" s="13">
        <v>3</v>
      </c>
      <c r="Y5" s="13" t="s">
        <v>4</v>
      </c>
      <c r="Z5" s="14" t="s">
        <v>17</v>
      </c>
      <c r="AA5" s="15" t="s">
        <v>18</v>
      </c>
      <c r="AB5" s="13">
        <v>1</v>
      </c>
      <c r="AC5" s="13">
        <v>2</v>
      </c>
      <c r="AD5" s="13">
        <v>3</v>
      </c>
      <c r="AE5" s="14" t="s">
        <v>17</v>
      </c>
      <c r="AF5" s="15" t="s">
        <v>18</v>
      </c>
      <c r="AG5" s="12">
        <v>1</v>
      </c>
      <c r="AH5" s="13">
        <v>2</v>
      </c>
      <c r="AI5" s="13">
        <v>3</v>
      </c>
      <c r="AJ5" s="14" t="s">
        <v>17</v>
      </c>
      <c r="AK5" s="196" t="s">
        <v>18</v>
      </c>
      <c r="AL5" s="12">
        <v>1</v>
      </c>
      <c r="AM5" s="13">
        <v>2</v>
      </c>
      <c r="AN5" s="13">
        <v>3</v>
      </c>
      <c r="AO5" s="14" t="s">
        <v>17</v>
      </c>
      <c r="AP5" s="15" t="s">
        <v>18</v>
      </c>
      <c r="AQ5" s="13">
        <v>1</v>
      </c>
      <c r="AR5" s="13">
        <v>2</v>
      </c>
      <c r="AS5" s="13">
        <v>3</v>
      </c>
      <c r="AT5" s="14" t="s">
        <v>17</v>
      </c>
      <c r="AU5" s="15" t="s">
        <v>18</v>
      </c>
    </row>
    <row r="6" spans="1:47" x14ac:dyDescent="0.25">
      <c r="A6" s="5" t="s">
        <v>19</v>
      </c>
      <c r="B6" s="17">
        <v>42761.263888888891</v>
      </c>
      <c r="C6" s="266">
        <f>(B6-$B$6)*24</f>
        <v>0</v>
      </c>
      <c r="D6" s="109">
        <v>4.3999999999999997E-2</v>
      </c>
      <c r="E6" s="109">
        <v>4.3999999999999997E-2</v>
      </c>
      <c r="F6" s="109">
        <v>4.4999999999999998E-2</v>
      </c>
      <c r="G6" s="109">
        <v>-1E-3</v>
      </c>
      <c r="H6" s="87">
        <f>AVERAGE(D6:F6)</f>
        <v>4.4333333333333336E-2</v>
      </c>
      <c r="I6" s="22">
        <f>STDEV(D6:F6)</f>
        <v>5.7735026918962634E-4</v>
      </c>
      <c r="J6" s="271">
        <v>7.46</v>
      </c>
      <c r="K6" s="271">
        <v>7.46</v>
      </c>
      <c r="L6" s="271">
        <v>7.46</v>
      </c>
      <c r="M6" s="271">
        <v>7.46</v>
      </c>
      <c r="N6" s="81"/>
      <c r="O6" s="86"/>
      <c r="T6" s="81"/>
      <c r="U6" s="120"/>
      <c r="V6" s="84"/>
      <c r="W6" s="49"/>
      <c r="X6" s="49"/>
      <c r="Y6" s="49"/>
      <c r="Z6" s="85"/>
      <c r="AA6" s="86"/>
      <c r="AB6" s="146">
        <f>X46</f>
        <v>22100000</v>
      </c>
      <c r="AC6" s="146">
        <f>X47</f>
        <v>20900000</v>
      </c>
      <c r="AD6" s="146">
        <f>X48</f>
        <v>19000000</v>
      </c>
      <c r="AE6" s="88">
        <f>AVERAGE(AB6:AD6)</f>
        <v>20666666.666666668</v>
      </c>
      <c r="AF6" s="136">
        <f>STDEV(AB6:AD6)</f>
        <v>1563116.5450257806</v>
      </c>
      <c r="AG6" s="146">
        <f>X66</f>
        <v>48000000</v>
      </c>
      <c r="AH6" s="146">
        <f>X67</f>
        <v>53000000</v>
      </c>
      <c r="AI6" s="146">
        <f>X68</f>
        <v>55000000</v>
      </c>
      <c r="AJ6" s="88">
        <f>AVERAGE(AG6:AI6)</f>
        <v>52000000</v>
      </c>
      <c r="AK6" s="207">
        <f>STDEV(AG6:AI6)</f>
        <v>3605551.2754639895</v>
      </c>
      <c r="AL6" s="23">
        <f>AB6/(AB6+AG6)</f>
        <v>0.3152639087018545</v>
      </c>
      <c r="AM6" s="24">
        <f t="shared" ref="AM6:AN13" si="0">AC6/(AC6+AH6)</f>
        <v>0.28281461434370769</v>
      </c>
      <c r="AN6" s="24">
        <f t="shared" si="0"/>
        <v>0.25675675675675674</v>
      </c>
      <c r="AO6" s="25">
        <f>AVERAGE(AL6:AN6)</f>
        <v>0.28494509326743961</v>
      </c>
      <c r="AP6" s="26">
        <f>STDEV(AL6:AN6)</f>
        <v>2.9311702654657212E-2</v>
      </c>
      <c r="AQ6" s="24">
        <f>AG6/(AB6+AG6)</f>
        <v>0.6847360912981455</v>
      </c>
      <c r="AR6" s="24">
        <f t="shared" ref="AR6:AS13" si="1">AH6/(AC6+AH6)</f>
        <v>0.71718538565629231</v>
      </c>
      <c r="AS6" s="24">
        <f t="shared" si="1"/>
        <v>0.7432432432432432</v>
      </c>
      <c r="AT6" s="25">
        <f>AVERAGE(AQ6:AS6)</f>
        <v>0.71505490673256045</v>
      </c>
      <c r="AU6" s="26">
        <f>STDEV(AQ6:AS6)</f>
        <v>2.9311702654657185E-2</v>
      </c>
    </row>
    <row r="7" spans="1:47" x14ac:dyDescent="0.25">
      <c r="A7" s="5" t="s">
        <v>20</v>
      </c>
      <c r="B7" s="17">
        <v>42761.352777777778</v>
      </c>
      <c r="C7" s="112">
        <f t="shared" ref="C7:C15" si="2">(B7-$B$6)*24</f>
        <v>2.1333333333022892</v>
      </c>
      <c r="D7" s="113">
        <v>7.5999999999999998E-2</v>
      </c>
      <c r="E7" s="113">
        <v>7.3999999999999996E-2</v>
      </c>
      <c r="F7" s="113">
        <v>7.4999999999999997E-2</v>
      </c>
      <c r="G7" s="113">
        <v>0</v>
      </c>
      <c r="H7" s="114">
        <f t="shared" ref="H7:H17" si="3">AVERAGE(D7:F7)</f>
        <v>7.4999999999999997E-2</v>
      </c>
      <c r="I7" s="32">
        <f t="shared" ref="I7:I17" si="4">STDEV(D7:F7)</f>
        <v>1.0000000000000009E-3</v>
      </c>
      <c r="J7" s="115">
        <v>7.19</v>
      </c>
      <c r="K7" s="115">
        <v>7.21</v>
      </c>
      <c r="L7" s="115">
        <v>7.23</v>
      </c>
      <c r="M7" s="115">
        <v>7.41</v>
      </c>
      <c r="N7" s="116">
        <f>AVERAGE(J7:L7)</f>
        <v>7.2100000000000009</v>
      </c>
      <c r="O7" s="36">
        <f>STDEV(J7:L7)</f>
        <v>2.0000000000000018E-2</v>
      </c>
      <c r="P7" s="115">
        <v>27.610736752308547</v>
      </c>
      <c r="Q7" s="115">
        <v>28.53726470909141</v>
      </c>
      <c r="R7" s="115">
        <v>28.943019168049823</v>
      </c>
      <c r="S7" s="115">
        <v>28.98780327656457</v>
      </c>
      <c r="T7" s="116">
        <f>AVERAGE(P7:R7)</f>
        <v>28.363673543149929</v>
      </c>
      <c r="U7" s="36">
        <f>STDEV(P7:R7)</f>
        <v>0.68289422935989497</v>
      </c>
      <c r="V7" s="33">
        <v>0.25739103722521051</v>
      </c>
      <c r="W7" s="34">
        <v>0.24971427835890711</v>
      </c>
      <c r="X7" s="34">
        <v>0.25025754980943793</v>
      </c>
      <c r="Y7" s="34" t="s">
        <v>21</v>
      </c>
      <c r="Z7" s="35">
        <f>AVERAGE(V7:X7)</f>
        <v>0.25245428846451851</v>
      </c>
      <c r="AA7" s="36">
        <f>STDEV(V7:X7)</f>
        <v>4.2839703794361021E-3</v>
      </c>
      <c r="AB7" s="154">
        <f>X49</f>
        <v>20800000</v>
      </c>
      <c r="AC7" s="154">
        <f>X50</f>
        <v>20500000</v>
      </c>
      <c r="AD7" s="154">
        <f>X51</f>
        <v>24000000</v>
      </c>
      <c r="AE7" s="270">
        <f t="shared" ref="AE7:AE13" si="5">AVERAGE(AB7:AD7)</f>
        <v>21766666.666666668</v>
      </c>
      <c r="AF7" s="142">
        <f t="shared" ref="AF7:AF13" si="6">STDEV(AB7:AD7)</f>
        <v>1939931.270260195</v>
      </c>
      <c r="AG7" s="154">
        <f>X69</f>
        <v>64000000</v>
      </c>
      <c r="AH7" s="154">
        <f>X70</f>
        <v>58000000</v>
      </c>
      <c r="AI7" s="154">
        <f>X71</f>
        <v>54000000</v>
      </c>
      <c r="AJ7" s="270">
        <f t="shared" ref="AJ7:AJ13" si="7">AVERAGE(AG7:AI7)</f>
        <v>58666666.666666664</v>
      </c>
      <c r="AK7" s="142">
        <f t="shared" ref="AK7:AK13" si="8">STDEV(AG7:AI7)</f>
        <v>5033222.9568471666</v>
      </c>
      <c r="AL7" s="33">
        <f t="shared" ref="AL7:AL13" si="9">AB7/(AB7+AG7)</f>
        <v>0.24528301886792453</v>
      </c>
      <c r="AM7" s="34">
        <f t="shared" si="0"/>
        <v>0.26114649681528662</v>
      </c>
      <c r="AN7" s="34">
        <f t="shared" si="0"/>
        <v>0.30769230769230771</v>
      </c>
      <c r="AO7" s="35">
        <f t="shared" ref="AO7:AO13" si="10">AVERAGE(AL7:AN7)</f>
        <v>0.27137394112517293</v>
      </c>
      <c r="AP7" s="36">
        <f t="shared" ref="AP7:AP13" si="11">STDEV(AL7:AN7)</f>
        <v>3.243732873904985E-2</v>
      </c>
      <c r="AQ7" s="34">
        <f t="shared" ref="AQ7:AQ13" si="12">AG7/(AB7+AG7)</f>
        <v>0.75471698113207553</v>
      </c>
      <c r="AR7" s="34">
        <f t="shared" si="1"/>
        <v>0.73885350318471332</v>
      </c>
      <c r="AS7" s="34">
        <f t="shared" si="1"/>
        <v>0.69230769230769229</v>
      </c>
      <c r="AT7" s="35">
        <f t="shared" ref="AT7:AT13" si="13">AVERAGE(AQ7:AS7)</f>
        <v>0.72862605887482701</v>
      </c>
      <c r="AU7" s="36">
        <f t="shared" ref="AU7:AU13" si="14">STDEV(AQ7:AS7)</f>
        <v>3.2437328739049864E-2</v>
      </c>
    </row>
    <row r="8" spans="1:47" x14ac:dyDescent="0.25">
      <c r="A8" s="5" t="s">
        <v>22</v>
      </c>
      <c r="B8" s="17">
        <v>42761.451388888891</v>
      </c>
      <c r="C8" s="112">
        <f t="shared" si="2"/>
        <v>4.5</v>
      </c>
      <c r="D8" s="113">
        <v>0.13600000000000001</v>
      </c>
      <c r="E8" s="113">
        <v>0.126</v>
      </c>
      <c r="F8" s="113">
        <v>0.13</v>
      </c>
      <c r="G8" s="113">
        <v>0</v>
      </c>
      <c r="H8" s="114">
        <f t="shared" si="3"/>
        <v>0.13066666666666668</v>
      </c>
      <c r="I8" s="32">
        <f t="shared" si="4"/>
        <v>5.0332229568471705E-3</v>
      </c>
      <c r="J8" s="115">
        <v>6.83</v>
      </c>
      <c r="K8" s="115">
        <v>6.88</v>
      </c>
      <c r="L8" s="115">
        <v>6.9</v>
      </c>
      <c r="M8" s="115">
        <v>7.44</v>
      </c>
      <c r="N8" s="116">
        <f t="shared" ref="N8:N14" si="15">AVERAGE(J8:L8)</f>
        <v>6.87</v>
      </c>
      <c r="O8" s="36">
        <f t="shared" ref="O8:O14" si="16">STDEV(J8:L8)</f>
        <v>3.6055512754639987E-2</v>
      </c>
      <c r="P8" s="115"/>
      <c r="Q8" s="115"/>
      <c r="R8" s="115"/>
      <c r="S8" s="115"/>
      <c r="T8" s="116"/>
      <c r="U8" s="36"/>
      <c r="V8" s="33"/>
      <c r="W8" s="34"/>
      <c r="X8" s="34"/>
      <c r="Y8" s="34"/>
      <c r="Z8" s="35"/>
      <c r="AA8" s="36"/>
      <c r="AB8" s="154">
        <f>X52</f>
        <v>73000000</v>
      </c>
      <c r="AC8" s="154">
        <f>X53</f>
        <v>39000000</v>
      </c>
      <c r="AD8" s="154">
        <f>X54</f>
        <v>37000000</v>
      </c>
      <c r="AE8" s="270">
        <f t="shared" si="5"/>
        <v>49666666.666666664</v>
      </c>
      <c r="AF8" s="142">
        <f t="shared" si="6"/>
        <v>20231987.873991363</v>
      </c>
      <c r="AG8" s="154">
        <f>X72</f>
        <v>77000000</v>
      </c>
      <c r="AH8" s="154">
        <f>X73</f>
        <v>84000000</v>
      </c>
      <c r="AI8" s="154">
        <f>X74</f>
        <v>89000000</v>
      </c>
      <c r="AJ8" s="270">
        <f t="shared" si="7"/>
        <v>83333333.333333328</v>
      </c>
      <c r="AK8" s="142">
        <f t="shared" si="8"/>
        <v>6027713.7733417088</v>
      </c>
      <c r="AL8" s="33">
        <f t="shared" si="9"/>
        <v>0.48666666666666669</v>
      </c>
      <c r="AM8" s="34">
        <f t="shared" si="0"/>
        <v>0.31707317073170732</v>
      </c>
      <c r="AN8" s="34">
        <f t="shared" si="0"/>
        <v>0.29365079365079366</v>
      </c>
      <c r="AO8" s="35">
        <f t="shared" si="10"/>
        <v>0.36579687701638924</v>
      </c>
      <c r="AP8" s="36">
        <f t="shared" si="11"/>
        <v>0.10532939511174867</v>
      </c>
      <c r="AQ8" s="34">
        <f t="shared" si="12"/>
        <v>0.51333333333333331</v>
      </c>
      <c r="AR8" s="34">
        <f t="shared" si="1"/>
        <v>0.68292682926829273</v>
      </c>
      <c r="AS8" s="34">
        <f t="shared" si="1"/>
        <v>0.70634920634920639</v>
      </c>
      <c r="AT8" s="35">
        <f t="shared" si="13"/>
        <v>0.63420312298361081</v>
      </c>
      <c r="AU8" s="36">
        <f t="shared" si="14"/>
        <v>0.10532939511174881</v>
      </c>
    </row>
    <row r="9" spans="1:47" x14ac:dyDescent="0.25">
      <c r="A9" s="5" t="s">
        <v>23</v>
      </c>
      <c r="B9" s="17">
        <v>42761.547222222223</v>
      </c>
      <c r="C9" s="112">
        <f t="shared" si="2"/>
        <v>6.7999999999883585</v>
      </c>
      <c r="D9" s="113">
        <v>0.23799999999999999</v>
      </c>
      <c r="E9" s="113">
        <v>0.23300000000000001</v>
      </c>
      <c r="F9" s="113">
        <v>0.24399999999999999</v>
      </c>
      <c r="G9" s="113">
        <v>0</v>
      </c>
      <c r="H9" s="114">
        <f t="shared" si="3"/>
        <v>0.23833333333333331</v>
      </c>
      <c r="I9" s="32">
        <f t="shared" si="4"/>
        <v>5.507570547286093E-3</v>
      </c>
      <c r="J9" s="115">
        <v>6.39</v>
      </c>
      <c r="K9" s="115">
        <v>6.47</v>
      </c>
      <c r="L9" s="115">
        <v>6.42</v>
      </c>
      <c r="M9" s="115">
        <v>7.39</v>
      </c>
      <c r="N9" s="116">
        <f t="shared" si="15"/>
        <v>6.4266666666666667</v>
      </c>
      <c r="O9" s="36">
        <f t="shared" si="16"/>
        <v>4.0414518843273822E-2</v>
      </c>
      <c r="P9" s="115">
        <v>26.851458843203282</v>
      </c>
      <c r="Q9" s="115">
        <v>26.851023313015563</v>
      </c>
      <c r="R9" s="115">
        <v>26.874044560150992</v>
      </c>
      <c r="S9" s="115">
        <v>29.186364584060875</v>
      </c>
      <c r="T9" s="116">
        <f>AVERAGE(P9:R9)</f>
        <v>26.858842238789947</v>
      </c>
      <c r="U9" s="36">
        <f>STDEV(P9:R9)</f>
        <v>1.3167397340001951E-2</v>
      </c>
      <c r="V9" s="33">
        <v>2.6042483820950824</v>
      </c>
      <c r="W9" s="34">
        <v>2.4288662566193864</v>
      </c>
      <c r="X9" s="34">
        <v>2.4798620994259588</v>
      </c>
      <c r="Y9" s="34" t="s">
        <v>21</v>
      </c>
      <c r="Z9" s="35">
        <f t="shared" ref="Z9" si="17">AVERAGE(V9:X9)</f>
        <v>2.5043255793801427</v>
      </c>
      <c r="AA9" s="36">
        <f t="shared" ref="AA9" si="18">STDEV(V9:X9)</f>
        <v>9.0214017052200668E-2</v>
      </c>
      <c r="AB9" s="154">
        <f>X55</f>
        <v>180000000</v>
      </c>
      <c r="AC9" s="154">
        <f>X56</f>
        <v>206000000</v>
      </c>
      <c r="AD9" s="154">
        <f>X57</f>
        <v>182000000</v>
      </c>
      <c r="AE9" s="270">
        <f t="shared" si="5"/>
        <v>189333333.33333334</v>
      </c>
      <c r="AF9" s="142">
        <f t="shared" si="6"/>
        <v>14468356.27614047</v>
      </c>
      <c r="AG9" s="154">
        <f>X75</f>
        <v>138000000</v>
      </c>
      <c r="AH9" s="154">
        <f>X76</f>
        <v>175000000</v>
      </c>
      <c r="AI9" s="154">
        <f>X77</f>
        <v>149000000</v>
      </c>
      <c r="AJ9" s="270">
        <f t="shared" si="7"/>
        <v>154000000</v>
      </c>
      <c r="AK9" s="142">
        <f t="shared" si="8"/>
        <v>19000000</v>
      </c>
      <c r="AL9" s="33">
        <f t="shared" si="9"/>
        <v>0.56603773584905659</v>
      </c>
      <c r="AM9" s="34">
        <f t="shared" si="0"/>
        <v>0.54068241469816269</v>
      </c>
      <c r="AN9" s="34">
        <f t="shared" si="0"/>
        <v>0.54984894259818728</v>
      </c>
      <c r="AO9" s="35">
        <f t="shared" si="10"/>
        <v>0.5521896977151356</v>
      </c>
      <c r="AP9" s="36">
        <f t="shared" si="11"/>
        <v>1.2838708212058616E-2</v>
      </c>
      <c r="AQ9" s="34">
        <f t="shared" si="12"/>
        <v>0.43396226415094341</v>
      </c>
      <c r="AR9" s="34">
        <f t="shared" si="1"/>
        <v>0.45931758530183725</v>
      </c>
      <c r="AS9" s="34">
        <f t="shared" si="1"/>
        <v>0.45015105740181272</v>
      </c>
      <c r="AT9" s="35">
        <f t="shared" si="13"/>
        <v>0.44781030228486446</v>
      </c>
      <c r="AU9" s="36">
        <f t="shared" si="14"/>
        <v>1.2838708212058592E-2</v>
      </c>
    </row>
    <row r="10" spans="1:47" x14ac:dyDescent="0.25">
      <c r="A10" s="5" t="s">
        <v>24</v>
      </c>
      <c r="B10" s="17">
        <v>42761.645833333336</v>
      </c>
      <c r="C10" s="266">
        <f t="shared" si="2"/>
        <v>9.1666666666860692</v>
      </c>
      <c r="D10" s="109">
        <f>0.131*2</f>
        <v>0.26200000000000001</v>
      </c>
      <c r="E10" s="109">
        <f>0.133*2</f>
        <v>0.26600000000000001</v>
      </c>
      <c r="F10" s="109">
        <f>0.142*2</f>
        <v>0.28399999999999997</v>
      </c>
      <c r="G10" s="109">
        <v>2E-3</v>
      </c>
      <c r="H10" s="87">
        <f t="shared" si="3"/>
        <v>0.27066666666666667</v>
      </c>
      <c r="I10" s="22">
        <f t="shared" si="4"/>
        <v>1.1718930554164609E-2</v>
      </c>
      <c r="J10" s="55">
        <v>5.75</v>
      </c>
      <c r="K10" s="55">
        <v>5.82</v>
      </c>
      <c r="L10" s="55">
        <v>5.75</v>
      </c>
      <c r="M10" s="55">
        <v>7.37</v>
      </c>
      <c r="N10" s="111">
        <f t="shared" si="15"/>
        <v>5.7733333333333334</v>
      </c>
      <c r="O10" s="26">
        <f t="shared" si="16"/>
        <v>4.0414518843273968E-2</v>
      </c>
      <c r="T10" s="111"/>
      <c r="U10" s="26"/>
      <c r="V10" s="84"/>
      <c r="W10" s="49"/>
      <c r="X10" s="49"/>
      <c r="Y10" s="49"/>
      <c r="Z10" s="25"/>
      <c r="AA10" s="26"/>
      <c r="AB10" s="146"/>
      <c r="AC10" s="146"/>
      <c r="AD10" s="146"/>
      <c r="AE10" s="88"/>
      <c r="AF10" s="136"/>
      <c r="AG10" s="146"/>
      <c r="AH10" s="146"/>
      <c r="AI10" s="146"/>
      <c r="AJ10" s="88"/>
      <c r="AK10" s="136"/>
      <c r="AL10" s="23"/>
      <c r="AM10" s="24"/>
      <c r="AN10" s="24"/>
      <c r="AO10" s="25"/>
      <c r="AP10" s="26"/>
      <c r="AQ10" s="24"/>
      <c r="AR10" s="24"/>
      <c r="AS10" s="24"/>
      <c r="AT10" s="25"/>
      <c r="AU10" s="26"/>
    </row>
    <row r="11" spans="1:47" x14ac:dyDescent="0.25">
      <c r="A11" s="5" t="s">
        <v>40</v>
      </c>
      <c r="B11" s="17">
        <v>42761.74722222222</v>
      </c>
      <c r="C11" s="266">
        <f t="shared" si="2"/>
        <v>11.599999999918509</v>
      </c>
      <c r="D11" s="109">
        <v>0.26100000000000001</v>
      </c>
      <c r="E11" s="109">
        <v>0.26600000000000001</v>
      </c>
      <c r="F11" s="109">
        <v>0.28000000000000003</v>
      </c>
      <c r="G11" s="109">
        <v>0</v>
      </c>
      <c r="H11" s="87">
        <f t="shared" si="3"/>
        <v>0.26900000000000002</v>
      </c>
      <c r="I11" s="22">
        <f t="shared" si="4"/>
        <v>9.8488578017961129E-3</v>
      </c>
      <c r="J11" s="55">
        <v>5.0199999999999996</v>
      </c>
      <c r="K11" s="55">
        <v>5.04</v>
      </c>
      <c r="L11" s="55">
        <v>5</v>
      </c>
      <c r="M11" s="55">
        <v>7.36</v>
      </c>
      <c r="N11" s="111">
        <f t="shared" si="15"/>
        <v>5.0199999999999996</v>
      </c>
      <c r="O11" s="26">
        <f t="shared" si="16"/>
        <v>2.0000000000000018E-2</v>
      </c>
      <c r="T11" s="111"/>
      <c r="U11" s="26"/>
      <c r="V11" s="84"/>
      <c r="W11" s="49"/>
      <c r="X11" s="49"/>
      <c r="Y11" s="49"/>
      <c r="Z11" s="25"/>
      <c r="AA11" s="26"/>
      <c r="AB11" s="146">
        <f>X58</f>
        <v>231000000</v>
      </c>
      <c r="AC11" s="146">
        <f>X59</f>
        <v>213000000</v>
      </c>
      <c r="AD11" s="146">
        <f>X60</f>
        <v>194000000</v>
      </c>
      <c r="AE11" s="88">
        <f t="shared" si="5"/>
        <v>212666666.66666666</v>
      </c>
      <c r="AF11" s="136">
        <f t="shared" si="6"/>
        <v>18502252.115170557</v>
      </c>
      <c r="AG11" s="146">
        <f>X78</f>
        <v>192000000</v>
      </c>
      <c r="AH11" s="146">
        <f>X79</f>
        <v>176000000</v>
      </c>
      <c r="AI11" s="146">
        <f>X80</f>
        <v>197000000</v>
      </c>
      <c r="AJ11" s="88">
        <f t="shared" si="7"/>
        <v>188333333.33333334</v>
      </c>
      <c r="AK11" s="136">
        <f t="shared" si="8"/>
        <v>10969655.11460289</v>
      </c>
      <c r="AL11" s="23">
        <f t="shared" si="9"/>
        <v>0.54609929078014185</v>
      </c>
      <c r="AM11" s="24">
        <f t="shared" si="0"/>
        <v>0.54755784061696655</v>
      </c>
      <c r="AN11" s="24">
        <f t="shared" si="0"/>
        <v>0.49616368286445012</v>
      </c>
      <c r="AO11" s="25">
        <f t="shared" si="10"/>
        <v>0.52994027142051958</v>
      </c>
      <c r="AP11" s="26">
        <f t="shared" si="11"/>
        <v>2.9260473215092123E-2</v>
      </c>
      <c r="AQ11" s="24">
        <f t="shared" si="12"/>
        <v>0.45390070921985815</v>
      </c>
      <c r="AR11" s="24">
        <f t="shared" si="1"/>
        <v>0.45244215938303339</v>
      </c>
      <c r="AS11" s="24">
        <f t="shared" si="1"/>
        <v>0.50383631713554988</v>
      </c>
      <c r="AT11" s="25">
        <f t="shared" si="13"/>
        <v>0.47005972857948047</v>
      </c>
      <c r="AU11" s="26">
        <f t="shared" si="14"/>
        <v>2.9260473215092141E-2</v>
      </c>
    </row>
    <row r="12" spans="1:47" x14ac:dyDescent="0.25">
      <c r="A12" s="5" t="s">
        <v>46</v>
      </c>
      <c r="B12" s="17">
        <v>42761.867361111108</v>
      </c>
      <c r="C12" s="266">
        <f t="shared" si="2"/>
        <v>14.483333333220799</v>
      </c>
      <c r="D12" s="109">
        <v>0.252</v>
      </c>
      <c r="E12" s="109">
        <v>0.25600000000000001</v>
      </c>
      <c r="F12" s="109">
        <v>0.26800000000000002</v>
      </c>
      <c r="G12" s="109">
        <v>0</v>
      </c>
      <c r="H12" s="87">
        <f t="shared" si="3"/>
        <v>0.25866666666666666</v>
      </c>
      <c r="I12" s="22">
        <f t="shared" si="4"/>
        <v>8.326663997864539E-3</v>
      </c>
      <c r="J12" s="55">
        <v>4.76</v>
      </c>
      <c r="K12" s="55">
        <v>4.76</v>
      </c>
      <c r="L12" s="55">
        <v>4.74</v>
      </c>
      <c r="M12" s="55">
        <v>7.33</v>
      </c>
      <c r="N12" s="111">
        <f t="shared" si="15"/>
        <v>4.753333333333333</v>
      </c>
      <c r="O12" s="26">
        <f t="shared" si="16"/>
        <v>1.154700538379227E-2</v>
      </c>
      <c r="T12" s="111"/>
      <c r="U12" s="26"/>
      <c r="V12" s="84"/>
      <c r="W12" s="49"/>
      <c r="X12" s="49"/>
      <c r="Y12" s="49"/>
      <c r="Z12" s="25"/>
      <c r="AA12" s="26"/>
      <c r="AB12" s="146"/>
      <c r="AC12" s="146"/>
      <c r="AD12" s="146"/>
      <c r="AE12" s="88"/>
      <c r="AF12" s="136"/>
      <c r="AG12" s="146"/>
      <c r="AH12" s="146"/>
      <c r="AI12" s="146"/>
      <c r="AJ12" s="88"/>
      <c r="AK12" s="136"/>
      <c r="AL12" s="23"/>
      <c r="AM12" s="24"/>
      <c r="AN12" s="24"/>
      <c r="AO12" s="25"/>
      <c r="AP12" s="26"/>
      <c r="AQ12" s="24"/>
      <c r="AR12" s="24"/>
      <c r="AS12" s="24"/>
      <c r="AT12" s="25"/>
      <c r="AU12" s="26"/>
    </row>
    <row r="13" spans="1:47" x14ac:dyDescent="0.25">
      <c r="A13" s="5" t="s">
        <v>65</v>
      </c>
      <c r="B13" s="17">
        <v>42761.98333333333</v>
      </c>
      <c r="C13" s="266">
        <f t="shared" si="2"/>
        <v>17.266666666546371</v>
      </c>
      <c r="D13" s="109">
        <v>0.246</v>
      </c>
      <c r="E13" s="109">
        <v>0.25</v>
      </c>
      <c r="F13" s="109">
        <v>0.26400000000000001</v>
      </c>
      <c r="G13" s="109">
        <v>0</v>
      </c>
      <c r="H13" s="87">
        <f t="shared" si="3"/>
        <v>0.25333333333333335</v>
      </c>
      <c r="I13" s="22">
        <f>STDEV(D13:F13)</f>
        <v>9.4516312525052253E-3</v>
      </c>
      <c r="J13" s="55">
        <v>4.7300000000000004</v>
      </c>
      <c r="K13" s="55">
        <v>4.67</v>
      </c>
      <c r="L13" s="55">
        <v>4.6500000000000004</v>
      </c>
      <c r="M13" s="55">
        <v>7.32</v>
      </c>
      <c r="N13" s="111">
        <f t="shared" si="15"/>
        <v>4.6833333333333336</v>
      </c>
      <c r="O13" s="26">
        <f t="shared" si="16"/>
        <v>4.1633319989322765E-2</v>
      </c>
      <c r="P13" s="55">
        <v>20.979681972131004</v>
      </c>
      <c r="Q13" s="55">
        <v>22.019956906770481</v>
      </c>
      <c r="R13" s="55">
        <v>21.479930013677762</v>
      </c>
      <c r="S13" s="55">
        <v>28.659328308977813</v>
      </c>
      <c r="T13" s="111">
        <f t="shared" ref="T13" si="19">AVERAGE(P13:R13)</f>
        <v>21.493189630859749</v>
      </c>
      <c r="U13" s="26">
        <f t="shared" ref="U13" si="20">STDEV(P13:R13)</f>
        <v>0.52026420979695664</v>
      </c>
      <c r="V13" s="55">
        <v>9.144054871806107</v>
      </c>
      <c r="W13" s="55">
        <v>9.3285275586297747</v>
      </c>
      <c r="X13" s="55">
        <v>9.5199425001622302</v>
      </c>
      <c r="Y13" s="24" t="s">
        <v>21</v>
      </c>
      <c r="Z13" s="25">
        <f t="shared" ref="Z13" si="21">AVERAGE(V13:X13)</f>
        <v>9.330841643532704</v>
      </c>
      <c r="AA13" s="26">
        <f t="shared" ref="AA13" si="22">STDEV(V13:X13)</f>
        <v>0.18795449856149021</v>
      </c>
      <c r="AB13" s="146">
        <f>X61</f>
        <v>247000000</v>
      </c>
      <c r="AC13" s="146">
        <f>X62</f>
        <v>216000000</v>
      </c>
      <c r="AD13" s="146">
        <f>X63</f>
        <v>221000000</v>
      </c>
      <c r="AE13" s="88">
        <f t="shared" si="5"/>
        <v>228000000</v>
      </c>
      <c r="AF13" s="136">
        <f t="shared" si="6"/>
        <v>16643316.977093238</v>
      </c>
      <c r="AG13" s="146">
        <f>X81</f>
        <v>182000000</v>
      </c>
      <c r="AH13" s="146">
        <f>X82</f>
        <v>209000000</v>
      </c>
      <c r="AI13" s="146">
        <f>X83</f>
        <v>220000000</v>
      </c>
      <c r="AJ13" s="88">
        <f t="shared" si="7"/>
        <v>203666666.66666666</v>
      </c>
      <c r="AK13" s="136">
        <f t="shared" si="8"/>
        <v>19553345.834749952</v>
      </c>
      <c r="AL13" s="23">
        <f t="shared" si="9"/>
        <v>0.5757575757575758</v>
      </c>
      <c r="AM13" s="24">
        <f t="shared" si="0"/>
        <v>0.50823529411764701</v>
      </c>
      <c r="AN13" s="24">
        <f t="shared" si="0"/>
        <v>0.50113378684807253</v>
      </c>
      <c r="AO13" s="25">
        <f t="shared" si="10"/>
        <v>0.52837555224109845</v>
      </c>
      <c r="AP13" s="26">
        <f t="shared" si="11"/>
        <v>4.1187376291309995E-2</v>
      </c>
      <c r="AQ13" s="24">
        <f t="shared" si="12"/>
        <v>0.42424242424242425</v>
      </c>
      <c r="AR13" s="24">
        <f t="shared" si="1"/>
        <v>0.49176470588235294</v>
      </c>
      <c r="AS13" s="24">
        <f t="shared" si="1"/>
        <v>0.49886621315192742</v>
      </c>
      <c r="AT13" s="25">
        <f t="shared" si="13"/>
        <v>0.47162444775890155</v>
      </c>
      <c r="AU13" s="26">
        <f t="shared" si="14"/>
        <v>4.1187376291309932E-2</v>
      </c>
    </row>
    <row r="14" spans="1:47" x14ac:dyDescent="0.25">
      <c r="A14" s="5" t="s">
        <v>66</v>
      </c>
      <c r="B14" s="17">
        <v>42762.413888888892</v>
      </c>
      <c r="C14" s="266">
        <f t="shared" si="2"/>
        <v>27.600000000034925</v>
      </c>
      <c r="D14" s="109">
        <v>0.23699999999999999</v>
      </c>
      <c r="E14" s="109">
        <v>0.24099999999999999</v>
      </c>
      <c r="F14" s="109">
        <v>0.254</v>
      </c>
      <c r="G14" s="109">
        <v>1E-3</v>
      </c>
      <c r="H14" s="87">
        <f t="shared" si="3"/>
        <v>0.24399999999999999</v>
      </c>
      <c r="I14" s="22">
        <f t="shared" si="4"/>
        <v>8.8881944173155973E-3</v>
      </c>
      <c r="J14" s="55">
        <v>4.49</v>
      </c>
      <c r="K14" s="55">
        <v>4.4800000000000004</v>
      </c>
      <c r="L14" s="55">
        <v>4.46</v>
      </c>
      <c r="M14" s="55">
        <v>7.22</v>
      </c>
      <c r="N14" s="111">
        <f t="shared" si="15"/>
        <v>4.4766666666666666</v>
      </c>
      <c r="O14" s="26">
        <f t="shared" si="16"/>
        <v>1.5275252316519626E-2</v>
      </c>
      <c r="T14" s="81"/>
      <c r="U14" s="86"/>
      <c r="V14" s="84"/>
      <c r="W14" s="49"/>
      <c r="X14" s="49"/>
      <c r="Y14" s="49"/>
      <c r="Z14" s="25"/>
      <c r="AA14" s="26"/>
      <c r="AE14" s="81"/>
      <c r="AF14" s="86"/>
      <c r="AJ14" s="81"/>
      <c r="AK14" s="86"/>
      <c r="AL14" s="84"/>
      <c r="AM14" s="49"/>
      <c r="AN14" s="49"/>
      <c r="AO14" s="49"/>
      <c r="AP14" s="59"/>
      <c r="AQ14" s="134"/>
      <c r="AR14" s="134"/>
      <c r="AS14" s="134"/>
      <c r="AT14" s="49"/>
      <c r="AU14" s="59"/>
    </row>
    <row r="15" spans="1:47" x14ac:dyDescent="0.25">
      <c r="A15" s="5" t="s">
        <v>142</v>
      </c>
      <c r="B15" s="17">
        <v>42762.651388888888</v>
      </c>
      <c r="C15" s="267">
        <f t="shared" si="2"/>
        <v>33.299999999930151</v>
      </c>
      <c r="D15" s="41">
        <v>0.23200000000000001</v>
      </c>
      <c r="E15" s="41">
        <v>0.23400000000000001</v>
      </c>
      <c r="F15" s="41">
        <v>0.252</v>
      </c>
      <c r="G15" s="41">
        <v>0</v>
      </c>
      <c r="H15" s="42">
        <f t="shared" si="3"/>
        <v>0.23933333333333331</v>
      </c>
      <c r="I15" s="43">
        <f t="shared" si="4"/>
        <v>1.1015141094572198E-2</v>
      </c>
      <c r="J15" s="45">
        <v>4.4000000000000004</v>
      </c>
      <c r="K15" s="45">
        <v>4.3600000000000003</v>
      </c>
      <c r="L15" s="45"/>
      <c r="M15" s="45">
        <v>7.15</v>
      </c>
      <c r="N15" s="46">
        <f>AVERAGE(J15:L15)</f>
        <v>4.3800000000000008</v>
      </c>
      <c r="O15" s="47">
        <f>STDEV(J15:L15)</f>
        <v>2.8284271247461926E-2</v>
      </c>
      <c r="P15" s="64"/>
      <c r="Q15" s="62"/>
      <c r="R15" s="62"/>
      <c r="S15" s="62"/>
      <c r="T15" s="104"/>
      <c r="U15" s="80"/>
      <c r="V15" s="64"/>
      <c r="W15" s="49"/>
      <c r="X15" s="62"/>
      <c r="Y15" s="62"/>
      <c r="Z15" s="46"/>
      <c r="AA15" s="47"/>
      <c r="AB15" s="62"/>
      <c r="AC15" s="62"/>
      <c r="AD15" s="62"/>
      <c r="AE15" s="62"/>
      <c r="AF15" s="63"/>
      <c r="AG15" s="62"/>
      <c r="AH15" s="62"/>
      <c r="AI15" s="62"/>
      <c r="AJ15" s="62"/>
      <c r="AK15" s="63"/>
      <c r="AL15" s="64"/>
      <c r="AM15" s="62"/>
      <c r="AN15" s="62"/>
      <c r="AO15" s="62"/>
      <c r="AP15" s="63"/>
      <c r="AQ15" s="62"/>
      <c r="AR15" s="62"/>
      <c r="AS15" s="62"/>
      <c r="AT15" s="62"/>
      <c r="AU15" s="63"/>
    </row>
    <row r="16" spans="1:47" ht="18.75" x14ac:dyDescent="0.35">
      <c r="B16" s="17"/>
      <c r="C16" s="268" t="s">
        <v>25</v>
      </c>
      <c r="D16" s="24">
        <f>LN(LOGEST(D7:D9,$C$7:$C$9))</f>
        <v>0.24462126294203565</v>
      </c>
      <c r="E16" s="24">
        <f t="shared" ref="E16:F16" si="23">LN(LOGEST(E7:E9,$C$7:$C$9))</f>
        <v>0.24567906871163195</v>
      </c>
      <c r="F16" s="24">
        <f t="shared" si="23"/>
        <v>0.25269019389489883</v>
      </c>
      <c r="G16" s="24"/>
      <c r="H16" s="25">
        <f t="shared" si="3"/>
        <v>0.24766350851618882</v>
      </c>
      <c r="I16" s="51">
        <f t="shared" si="4"/>
        <v>4.3852494437546683E-3</v>
      </c>
      <c r="J16" s="24"/>
      <c r="K16" s="24"/>
      <c r="L16" s="24"/>
      <c r="M16" s="50"/>
      <c r="N16" s="25"/>
      <c r="O16" s="123" t="s">
        <v>87</v>
      </c>
      <c r="P16" s="55">
        <f>P7-P9</f>
        <v>0.75927790910526483</v>
      </c>
      <c r="Q16" s="55">
        <f t="shared" ref="Q16:R16" si="24">Q7-Q9</f>
        <v>1.6862413960758467</v>
      </c>
      <c r="R16" s="55">
        <f t="shared" si="24"/>
        <v>2.0689746078988307</v>
      </c>
      <c r="T16" s="25">
        <f>AVERAGE(P16:R16)</f>
        <v>1.5048313043599808</v>
      </c>
      <c r="U16" s="26">
        <f>STDEV(P16:R16)</f>
        <v>0.67343045427123427</v>
      </c>
      <c r="V16" s="23">
        <f>V9-V7</f>
        <v>2.3468573448698717</v>
      </c>
      <c r="W16" s="119">
        <f t="shared" ref="W16:X16" si="25">W9-W7</f>
        <v>2.1791519782604793</v>
      </c>
      <c r="X16" s="24">
        <f t="shared" si="25"/>
        <v>2.2296045496165209</v>
      </c>
      <c r="Y16" s="49"/>
      <c r="Z16" s="25">
        <f t="shared" ref="Z16" si="26">AVERAGE(V16:X16)</f>
        <v>2.251871290915624</v>
      </c>
      <c r="AA16" s="26">
        <f t="shared" ref="AA16" si="27">STDEV(V16:X16)</f>
        <v>8.6041433759895952E-2</v>
      </c>
      <c r="AF16" s="215"/>
      <c r="AK16" s="59"/>
      <c r="AL16" s="84"/>
      <c r="AM16" s="49"/>
      <c r="AN16" s="49"/>
      <c r="AO16" s="49"/>
      <c r="AP16" s="59"/>
      <c r="AQ16" s="49"/>
      <c r="AR16" s="49"/>
      <c r="AS16" s="49"/>
      <c r="AT16" s="49"/>
      <c r="AU16" s="59"/>
    </row>
    <row r="17" spans="1:47" ht="18" x14ac:dyDescent="0.35">
      <c r="A17" s="52" t="s">
        <v>27</v>
      </c>
      <c r="B17" s="53"/>
      <c r="C17" s="54" t="s">
        <v>28</v>
      </c>
      <c r="D17" s="24">
        <f>D11*0.46</f>
        <v>0.12006000000000001</v>
      </c>
      <c r="E17" s="24">
        <f t="shared" ref="E17:F17" si="28">E11*0.46</f>
        <v>0.12236000000000001</v>
      </c>
      <c r="F17" s="24">
        <f t="shared" si="28"/>
        <v>0.12880000000000003</v>
      </c>
      <c r="G17" s="24"/>
      <c r="H17" s="25">
        <f t="shared" si="3"/>
        <v>0.12374000000000002</v>
      </c>
      <c r="I17" s="26">
        <f t="shared" si="4"/>
        <v>4.5304745888262157E-3</v>
      </c>
      <c r="J17" s="24"/>
      <c r="K17" s="24"/>
      <c r="L17" s="24"/>
      <c r="M17" s="50"/>
      <c r="N17" s="25"/>
      <c r="O17" s="54" t="s">
        <v>29</v>
      </c>
      <c r="P17" s="55">
        <f>(D9-D7)*0.46</f>
        <v>7.4519999999999989E-2</v>
      </c>
      <c r="Q17" s="55">
        <f t="shared" ref="Q17:R17" si="29">(E9-E7)*0.46</f>
        <v>7.3140000000000011E-2</v>
      </c>
      <c r="R17" s="55">
        <f t="shared" si="29"/>
        <v>7.773999999999999E-2</v>
      </c>
      <c r="S17" s="55"/>
      <c r="T17" s="25">
        <f>AVERAGE(P17:R17)</f>
        <v>7.513333333333333E-2</v>
      </c>
      <c r="U17" s="26">
        <f>STDEV(P17:R17)</f>
        <v>2.3605366621455579E-3</v>
      </c>
      <c r="V17" s="84"/>
      <c r="W17" s="49"/>
      <c r="X17" s="49"/>
      <c r="Y17" s="49"/>
      <c r="Z17" s="25"/>
      <c r="AA17" s="26"/>
      <c r="AF17" s="59"/>
      <c r="AK17" s="59"/>
      <c r="AL17" s="84"/>
      <c r="AM17" s="49"/>
      <c r="AN17" s="49"/>
      <c r="AO17" s="49"/>
      <c r="AP17" s="59"/>
      <c r="AQ17" s="49"/>
      <c r="AR17" s="49"/>
      <c r="AS17" s="49"/>
      <c r="AT17" s="49"/>
      <c r="AU17" s="59"/>
    </row>
    <row r="18" spans="1:47" ht="18" x14ac:dyDescent="0.35">
      <c r="B18" s="17"/>
      <c r="C18" s="266"/>
      <c r="D18" s="24"/>
      <c r="E18" s="24"/>
      <c r="F18" s="24"/>
      <c r="G18" s="24"/>
      <c r="H18" s="24"/>
      <c r="I18" s="59"/>
      <c r="M18" s="50"/>
      <c r="N18" s="81"/>
      <c r="O18" s="54" t="s">
        <v>30</v>
      </c>
      <c r="P18" s="55">
        <f>P17/(P16/1000*180.16)</f>
        <v>0.54477065888566323</v>
      </c>
      <c r="Q18" s="55">
        <f t="shared" ref="Q18:R18" si="30">Q17/(Q16/1000*180.16)</f>
        <v>0.24075584306095296</v>
      </c>
      <c r="R18" s="55">
        <f t="shared" si="30"/>
        <v>0.20855999244718748</v>
      </c>
      <c r="T18" s="25">
        <f>AVERAGE(P18:R18)</f>
        <v>0.33136216479793457</v>
      </c>
      <c r="U18" s="26">
        <f>STDEV(P18:R18)</f>
        <v>0.18551693240990177</v>
      </c>
      <c r="V18" s="23">
        <f>(V16/1000*59.04)/(P16/1000*180.16)</f>
        <v>1.0129170996153074</v>
      </c>
      <c r="W18" s="24">
        <f t="shared" ref="W18:X18" si="31">(W16/1000*59.04)/(Q16/1000*180.16)</f>
        <v>0.42350227607637436</v>
      </c>
      <c r="X18" s="24">
        <f t="shared" si="31"/>
        <v>0.35315117604820018</v>
      </c>
      <c r="Y18" s="49"/>
      <c r="Z18" s="25">
        <f t="shared" ref="Z18:Z21" si="32">AVERAGE(V18:X18)</f>
        <v>0.59652351724662733</v>
      </c>
      <c r="AA18" s="26">
        <f t="shared" ref="AA18:AA21" si="33">STDEV(V18:X18)</f>
        <v>0.3623189629279161</v>
      </c>
      <c r="AF18" s="59"/>
      <c r="AK18" s="59"/>
      <c r="AL18" s="84"/>
      <c r="AM18" s="49"/>
      <c r="AN18" s="49"/>
      <c r="AO18" s="49"/>
      <c r="AP18" s="59"/>
      <c r="AQ18" s="49"/>
      <c r="AR18" s="49"/>
      <c r="AS18" s="49"/>
      <c r="AT18" s="49"/>
      <c r="AU18" s="59"/>
    </row>
    <row r="19" spans="1:47" ht="18" x14ac:dyDescent="0.35">
      <c r="B19" s="17"/>
      <c r="C19" s="266"/>
      <c r="D19" s="24"/>
      <c r="E19" s="24"/>
      <c r="F19" s="24"/>
      <c r="G19" s="24"/>
      <c r="H19" s="24"/>
      <c r="I19" s="59"/>
      <c r="M19" s="98"/>
      <c r="O19" s="60" t="s">
        <v>31</v>
      </c>
      <c r="P19" s="55"/>
      <c r="Q19" s="55"/>
      <c r="R19" s="55"/>
      <c r="S19" s="55"/>
      <c r="T19" s="25"/>
      <c r="U19" s="26"/>
      <c r="V19" s="23">
        <f>(V16/1000*59.04)/P17</f>
        <v>1.8593459157423142</v>
      </c>
      <c r="W19" s="24">
        <f t="shared" ref="W19:X19" si="34">(W16/1000*59.04)/Q17</f>
        <v>1.7590529504580077</v>
      </c>
      <c r="X19" s="24">
        <f t="shared" si="34"/>
        <v>1.6932834140643094</v>
      </c>
      <c r="Y19" s="49"/>
      <c r="Z19" s="25">
        <f t="shared" si="32"/>
        <v>1.7705607600882105</v>
      </c>
      <c r="AA19" s="26">
        <f t="shared" si="33"/>
        <v>8.3627213739028039E-2</v>
      </c>
      <c r="AF19" s="59"/>
      <c r="AK19" s="59"/>
      <c r="AL19" s="84"/>
      <c r="AM19" s="59"/>
      <c r="AN19" s="49"/>
      <c r="AO19" s="49"/>
      <c r="AP19" s="59"/>
      <c r="AQ19" s="49"/>
      <c r="AR19" s="49"/>
      <c r="AS19" s="49"/>
      <c r="AT19" s="49"/>
      <c r="AU19" s="59"/>
    </row>
    <row r="20" spans="1:47" ht="18.75" x14ac:dyDescent="0.35">
      <c r="B20" s="17"/>
      <c r="C20" s="266"/>
      <c r="D20" s="24"/>
      <c r="E20" s="24"/>
      <c r="F20" s="24"/>
      <c r="G20" s="24"/>
      <c r="H20" s="24"/>
      <c r="I20" s="59"/>
      <c r="M20" s="98"/>
      <c r="O20" s="54" t="s">
        <v>32</v>
      </c>
      <c r="P20" s="55">
        <f>D16*(P16)</f>
        <v>0.18573552104931804</v>
      </c>
      <c r="Q20" s="55">
        <f t="shared" ref="Q20:R20" si="35">E16*(Q16)</f>
        <v>0.41427421581091611</v>
      </c>
      <c r="R20" s="55">
        <f t="shared" si="35"/>
        <v>0.52280959483357781</v>
      </c>
      <c r="S20" s="55"/>
      <c r="T20" s="25">
        <f t="shared" ref="T20:T21" si="36">AVERAGE(P20:R20)</f>
        <v>0.37427311056460399</v>
      </c>
      <c r="U20" s="26">
        <f t="shared" ref="U20:U21" si="37">STDEV(P20:R20)</f>
        <v>0.17206045193499303</v>
      </c>
      <c r="V20" s="23">
        <f>D16*(V16)</f>
        <v>0.5740912076468605</v>
      </c>
      <c r="W20" s="23">
        <f t="shared" ref="W20:X20" si="38">E16*(W16)</f>
        <v>0.53537202860014499</v>
      </c>
      <c r="X20" s="23">
        <f t="shared" si="38"/>
        <v>0.56339920595154724</v>
      </c>
      <c r="Y20" s="49"/>
      <c r="Z20" s="25">
        <f t="shared" si="32"/>
        <v>0.55762081406618424</v>
      </c>
      <c r="AA20" s="26">
        <f t="shared" si="33"/>
        <v>1.9995901232465745E-2</v>
      </c>
      <c r="AF20" s="59"/>
      <c r="AK20" s="59"/>
      <c r="AL20" s="84"/>
      <c r="AM20" s="49"/>
      <c r="AN20" s="49"/>
      <c r="AO20" s="49"/>
      <c r="AP20" s="59"/>
      <c r="AQ20" s="49"/>
      <c r="AR20" s="49"/>
      <c r="AS20" s="49"/>
      <c r="AT20" s="49"/>
      <c r="AU20" s="59"/>
    </row>
    <row r="21" spans="1:47" ht="18.75" x14ac:dyDescent="0.35">
      <c r="B21" s="17"/>
      <c r="C21" s="267"/>
      <c r="D21" s="45"/>
      <c r="E21" s="45"/>
      <c r="F21" s="45"/>
      <c r="G21" s="45"/>
      <c r="H21" s="45"/>
      <c r="I21" s="63"/>
      <c r="J21" s="45"/>
      <c r="K21" s="45"/>
      <c r="L21" s="45"/>
      <c r="M21" s="65"/>
      <c r="N21" s="45"/>
      <c r="O21" s="124" t="s">
        <v>33</v>
      </c>
      <c r="P21" s="45">
        <f>D16*(P16/P17)</f>
        <v>2.4924251348539728</v>
      </c>
      <c r="Q21" s="45">
        <f t="shared" ref="Q21:R21" si="39">E16*(Q16/Q17)</f>
        <v>5.6641265492331971</v>
      </c>
      <c r="R21" s="45">
        <f t="shared" si="39"/>
        <v>6.7251041270076906</v>
      </c>
      <c r="S21" s="45"/>
      <c r="T21" s="46">
        <f t="shared" si="36"/>
        <v>4.96055193703162</v>
      </c>
      <c r="U21" s="47">
        <f t="shared" si="37"/>
        <v>2.2023069243081919</v>
      </c>
      <c r="V21" s="44">
        <f>D16*(V16/P17)</f>
        <v>7.7038541015413395</v>
      </c>
      <c r="W21" s="45">
        <f t="shared" ref="W21:X21" si="40">E16*(W16/Q17)</f>
        <v>7.3198253841966761</v>
      </c>
      <c r="X21" s="45">
        <f t="shared" si="40"/>
        <v>7.2472241568246369</v>
      </c>
      <c r="Y21" s="62"/>
      <c r="Z21" s="46">
        <f t="shared" si="32"/>
        <v>7.4236345475208836</v>
      </c>
      <c r="AA21" s="47">
        <f t="shared" si="33"/>
        <v>0.24537722672560469</v>
      </c>
      <c r="AB21" s="62"/>
      <c r="AC21" s="62"/>
      <c r="AD21" s="62"/>
      <c r="AE21" s="62"/>
      <c r="AF21" s="63"/>
      <c r="AG21" s="62"/>
      <c r="AH21" s="62"/>
      <c r="AI21" s="62"/>
      <c r="AJ21" s="62"/>
      <c r="AK21" s="63"/>
      <c r="AL21" s="64"/>
      <c r="AM21" s="62"/>
      <c r="AN21" s="62"/>
      <c r="AO21" s="62"/>
      <c r="AP21" s="63"/>
      <c r="AQ21" s="62"/>
      <c r="AR21" s="62"/>
      <c r="AS21" s="62"/>
      <c r="AT21" s="62"/>
      <c r="AU21" s="63"/>
    </row>
    <row r="22" spans="1:47" x14ac:dyDescent="0.25">
      <c r="B22" s="17"/>
      <c r="C22" s="272"/>
      <c r="D22" s="24"/>
      <c r="E22" s="24"/>
      <c r="F22" s="24"/>
      <c r="G22" s="24"/>
      <c r="H22" s="24"/>
      <c r="I22" s="54" t="s">
        <v>34</v>
      </c>
      <c r="J22" s="24">
        <f>P17/(J7-J9)</f>
        <v>9.31499999999999E-2</v>
      </c>
      <c r="K22" s="24">
        <f>Q17/(K7-K9)</f>
        <v>9.8837837837837825E-2</v>
      </c>
      <c r="L22" s="24">
        <f>R17/(L7-L9)</f>
        <v>9.5975308641975232E-2</v>
      </c>
      <c r="M22" s="24"/>
      <c r="N22" s="25">
        <f>AVERAGE(J22:L22)</f>
        <v>9.5987715493270995E-2</v>
      </c>
      <c r="O22" s="26">
        <f>STDEV(J22:L22)</f>
        <v>2.8439392160970155E-3</v>
      </c>
      <c r="T22" s="24"/>
      <c r="U22" s="55"/>
    </row>
    <row r="23" spans="1:47" x14ac:dyDescent="0.25">
      <c r="T23" s="55"/>
      <c r="Z23" s="55"/>
    </row>
    <row r="24" spans="1:47" x14ac:dyDescent="0.25">
      <c r="O24" s="9" t="s">
        <v>35</v>
      </c>
      <c r="P24" s="5">
        <f>P16/1000*6</f>
        <v>4.5556674546315887E-3</v>
      </c>
      <c r="Q24" s="5">
        <f t="shared" ref="Q24:R24" si="41">Q16/1000*6</f>
        <v>1.011744837645508E-2</v>
      </c>
      <c r="R24" s="5">
        <f t="shared" si="41"/>
        <v>1.2413847647392983E-2</v>
      </c>
      <c r="V24" s="5">
        <f>V16/1000*2</f>
        <v>4.6937146897397435E-3</v>
      </c>
      <c r="W24" s="5">
        <f t="shared" ref="W24:X24" si="42">W16/1000*2</f>
        <v>4.3583039565209588E-3</v>
      </c>
      <c r="X24" s="5">
        <f t="shared" si="42"/>
        <v>4.4592090992330415E-3</v>
      </c>
    </row>
    <row r="25" spans="1:47" x14ac:dyDescent="0.25">
      <c r="O25" s="9" t="s">
        <v>36</v>
      </c>
      <c r="P25" s="5">
        <f>P17*0.5/12.01</f>
        <v>3.1024146544546207E-3</v>
      </c>
      <c r="Q25" s="5">
        <f t="shared" ref="Q25:R25" si="43">Q17*0.5/12.01</f>
        <v>3.0449625312239806E-3</v>
      </c>
      <c r="R25" s="5">
        <f t="shared" si="43"/>
        <v>3.2364696086594502E-3</v>
      </c>
      <c r="T25" s="71" t="s">
        <v>17</v>
      </c>
      <c r="U25" s="120" t="s">
        <v>18</v>
      </c>
    </row>
    <row r="26" spans="1:47" x14ac:dyDescent="0.25">
      <c r="O26" s="9" t="s">
        <v>37</v>
      </c>
      <c r="P26" s="5">
        <f>(P24-V24-P25)/P24</f>
        <v>-0.71130343069011992</v>
      </c>
      <c r="Q26" s="5">
        <f t="shared" ref="Q26:R26" si="44">(Q24-W24-Q25)/Q24</f>
        <v>0.26826743144313697</v>
      </c>
      <c r="R26" s="5">
        <f t="shared" si="44"/>
        <v>0.38007305015470749</v>
      </c>
      <c r="T26" s="72">
        <f>AVERAGE(P26:R26)</f>
        <v>-2.0987649697425153E-2</v>
      </c>
      <c r="U26" s="80">
        <f>STDEV(P26:R26)</f>
        <v>0.600439032883052</v>
      </c>
    </row>
    <row r="44" spans="1:36" x14ac:dyDescent="0.25">
      <c r="A44" s="145" t="s">
        <v>113</v>
      </c>
    </row>
    <row r="45" spans="1:36" x14ac:dyDescent="0.25">
      <c r="B45" s="73" t="s">
        <v>90</v>
      </c>
      <c r="C45" s="73">
        <v>1</v>
      </c>
      <c r="D45" s="73">
        <v>2</v>
      </c>
      <c r="E45" s="73">
        <v>3</v>
      </c>
      <c r="F45" s="73">
        <v>4</v>
      </c>
      <c r="G45" s="73">
        <v>5</v>
      </c>
      <c r="H45" s="73">
        <v>6</v>
      </c>
      <c r="I45" s="73">
        <v>7</v>
      </c>
      <c r="J45" s="73">
        <v>8</v>
      </c>
      <c r="K45" s="73">
        <v>9</v>
      </c>
      <c r="L45" s="73">
        <v>10</v>
      </c>
      <c r="M45" s="73"/>
      <c r="N45" s="73">
        <v>1</v>
      </c>
      <c r="O45" s="73">
        <v>2</v>
      </c>
      <c r="P45" s="73">
        <v>3</v>
      </c>
      <c r="Q45" s="73">
        <v>4</v>
      </c>
      <c r="R45" s="73">
        <v>5</v>
      </c>
      <c r="S45" s="73">
        <v>6</v>
      </c>
      <c r="T45" s="73">
        <v>7</v>
      </c>
      <c r="U45" s="73">
        <v>8</v>
      </c>
      <c r="V45" s="73">
        <v>9</v>
      </c>
      <c r="W45" s="73">
        <v>10</v>
      </c>
      <c r="X45" s="73" t="s">
        <v>17</v>
      </c>
      <c r="Y45" s="73"/>
      <c r="Z45" s="73" t="s">
        <v>90</v>
      </c>
      <c r="AA45" s="73">
        <v>1</v>
      </c>
      <c r="AB45" s="73">
        <v>2</v>
      </c>
      <c r="AC45" s="73">
        <v>3</v>
      </c>
      <c r="AD45" s="73">
        <v>4</v>
      </c>
      <c r="AE45" s="73">
        <v>5</v>
      </c>
      <c r="AF45" s="73">
        <v>6</v>
      </c>
      <c r="AG45" s="73">
        <v>7</v>
      </c>
      <c r="AH45" s="73">
        <v>8</v>
      </c>
      <c r="AI45" s="73">
        <v>9</v>
      </c>
      <c r="AJ45" s="73">
        <v>10</v>
      </c>
    </row>
    <row r="46" spans="1:36" x14ac:dyDescent="0.25">
      <c r="A46" s="9" t="s">
        <v>92</v>
      </c>
      <c r="B46" s="5">
        <v>4</v>
      </c>
      <c r="C46" s="5">
        <v>31</v>
      </c>
      <c r="D46" s="5">
        <v>17</v>
      </c>
      <c r="E46" s="5">
        <v>24</v>
      </c>
      <c r="F46" s="5">
        <v>18</v>
      </c>
      <c r="G46" s="5">
        <v>25</v>
      </c>
      <c r="H46" s="5">
        <v>23</v>
      </c>
      <c r="I46" s="5">
        <v>19</v>
      </c>
      <c r="J46" s="5">
        <v>19</v>
      </c>
      <c r="K46" s="5">
        <v>26</v>
      </c>
      <c r="L46" s="5">
        <v>19</v>
      </c>
      <c r="N46" s="146">
        <f>(C46/0.01)*10^($B$46)</f>
        <v>31000000</v>
      </c>
      <c r="O46" s="146">
        <f t="shared" ref="O46:W46" si="45">(D46/0.01)*10^($B$46)</f>
        <v>17000000</v>
      </c>
      <c r="P46" s="146">
        <f t="shared" si="45"/>
        <v>24000000</v>
      </c>
      <c r="Q46" s="146">
        <f t="shared" si="45"/>
        <v>18000000</v>
      </c>
      <c r="R46" s="146">
        <f t="shared" si="45"/>
        <v>25000000</v>
      </c>
      <c r="S46" s="146">
        <f t="shared" si="45"/>
        <v>23000000</v>
      </c>
      <c r="T46" s="146">
        <f t="shared" si="45"/>
        <v>19000000</v>
      </c>
      <c r="U46" s="146">
        <f t="shared" si="45"/>
        <v>19000000</v>
      </c>
      <c r="V46" s="146">
        <f t="shared" si="45"/>
        <v>26000000</v>
      </c>
      <c r="W46" s="146">
        <f t="shared" si="45"/>
        <v>19000000</v>
      </c>
      <c r="X46" s="146">
        <f>AVERAGE(N46:W46)</f>
        <v>22100000</v>
      </c>
      <c r="Y46" s="9" t="s">
        <v>92</v>
      </c>
    </row>
    <row r="47" spans="1:36" x14ac:dyDescent="0.25">
      <c r="A47" s="9" t="s">
        <v>93</v>
      </c>
      <c r="B47" s="5">
        <v>4</v>
      </c>
      <c r="C47" s="5">
        <v>20</v>
      </c>
      <c r="D47" s="5">
        <v>25</v>
      </c>
      <c r="E47" s="5">
        <v>21</v>
      </c>
      <c r="F47" s="5">
        <v>23</v>
      </c>
      <c r="G47" s="5">
        <v>19</v>
      </c>
      <c r="H47" s="5">
        <v>26</v>
      </c>
      <c r="I47" s="5">
        <v>25</v>
      </c>
      <c r="J47" s="5">
        <v>13</v>
      </c>
      <c r="K47" s="5">
        <v>22</v>
      </c>
      <c r="L47" s="5">
        <v>15</v>
      </c>
      <c r="N47" s="146">
        <f>(C47/0.01)*10^($B$47)</f>
        <v>20000000</v>
      </c>
      <c r="O47" s="146">
        <f t="shared" ref="O47:W47" si="46">(D47/0.01)*10^($B$47)</f>
        <v>25000000</v>
      </c>
      <c r="P47" s="146">
        <f t="shared" si="46"/>
        <v>21000000</v>
      </c>
      <c r="Q47" s="146">
        <f t="shared" si="46"/>
        <v>23000000</v>
      </c>
      <c r="R47" s="146">
        <f t="shared" si="46"/>
        <v>19000000</v>
      </c>
      <c r="S47" s="146">
        <f t="shared" si="46"/>
        <v>26000000</v>
      </c>
      <c r="T47" s="146">
        <f t="shared" si="46"/>
        <v>25000000</v>
      </c>
      <c r="U47" s="146">
        <f t="shared" si="46"/>
        <v>13000000</v>
      </c>
      <c r="V47" s="146">
        <f t="shared" si="46"/>
        <v>22000000</v>
      </c>
      <c r="W47" s="146">
        <f t="shared" si="46"/>
        <v>15000000</v>
      </c>
      <c r="X47" s="146">
        <f t="shared" ref="X47:X83" si="47">AVERAGE(N47:W47)</f>
        <v>20900000</v>
      </c>
      <c r="Y47" s="9" t="s">
        <v>93</v>
      </c>
    </row>
    <row r="48" spans="1:36" x14ac:dyDescent="0.25">
      <c r="A48" s="9" t="s">
        <v>94</v>
      </c>
      <c r="B48" s="5">
        <v>4</v>
      </c>
      <c r="C48" s="5">
        <v>17</v>
      </c>
      <c r="D48" s="5">
        <v>16</v>
      </c>
      <c r="E48" s="5">
        <v>18</v>
      </c>
      <c r="F48" s="5">
        <v>17</v>
      </c>
      <c r="G48" s="5">
        <v>17</v>
      </c>
      <c r="H48" s="5">
        <v>13</v>
      </c>
      <c r="I48" s="5">
        <v>24</v>
      </c>
      <c r="J48" s="5">
        <v>20</v>
      </c>
      <c r="K48" s="5">
        <v>20</v>
      </c>
      <c r="L48" s="5">
        <v>28</v>
      </c>
      <c r="N48" s="146">
        <f>(C48/0.01)*10^($B$48)</f>
        <v>17000000</v>
      </c>
      <c r="O48" s="146">
        <f t="shared" ref="O48:W48" si="48">(D48/0.01)*10^($B$48)</f>
        <v>16000000</v>
      </c>
      <c r="P48" s="146">
        <f t="shared" si="48"/>
        <v>18000000</v>
      </c>
      <c r="Q48" s="146">
        <f t="shared" si="48"/>
        <v>17000000</v>
      </c>
      <c r="R48" s="146">
        <f t="shared" si="48"/>
        <v>17000000</v>
      </c>
      <c r="S48" s="146">
        <f t="shared" si="48"/>
        <v>13000000</v>
      </c>
      <c r="T48" s="146">
        <f t="shared" si="48"/>
        <v>24000000</v>
      </c>
      <c r="U48" s="146">
        <f t="shared" si="48"/>
        <v>20000000</v>
      </c>
      <c r="V48" s="146">
        <f t="shared" si="48"/>
        <v>20000000</v>
      </c>
      <c r="W48" s="146">
        <f t="shared" si="48"/>
        <v>28000000</v>
      </c>
      <c r="X48" s="146">
        <f t="shared" si="47"/>
        <v>19000000</v>
      </c>
      <c r="Y48" s="9" t="s">
        <v>94</v>
      </c>
    </row>
    <row r="49" spans="1:36" x14ac:dyDescent="0.25">
      <c r="A49" s="9" t="s">
        <v>95</v>
      </c>
      <c r="B49" s="5">
        <v>4</v>
      </c>
      <c r="C49" s="5">
        <v>12</v>
      </c>
      <c r="D49" s="5">
        <v>13</v>
      </c>
      <c r="E49" s="5">
        <v>27</v>
      </c>
      <c r="F49" s="5">
        <v>22</v>
      </c>
      <c r="G49" s="5">
        <v>19</v>
      </c>
      <c r="H49" s="5">
        <v>18</v>
      </c>
      <c r="I49" s="5">
        <v>26</v>
      </c>
      <c r="J49" s="5">
        <v>22</v>
      </c>
      <c r="K49" s="5">
        <v>21</v>
      </c>
      <c r="L49" s="5">
        <v>28</v>
      </c>
      <c r="N49" s="146">
        <f>(C49/0.01)*10^($B$49)</f>
        <v>12000000</v>
      </c>
      <c r="O49" s="146">
        <f t="shared" ref="O49:W49" si="49">(D49/0.01)*10^($B$49)</f>
        <v>13000000</v>
      </c>
      <c r="P49" s="146">
        <f t="shared" si="49"/>
        <v>27000000</v>
      </c>
      <c r="Q49" s="146">
        <f t="shared" si="49"/>
        <v>22000000</v>
      </c>
      <c r="R49" s="146">
        <f t="shared" si="49"/>
        <v>19000000</v>
      </c>
      <c r="S49" s="146">
        <f t="shared" si="49"/>
        <v>18000000</v>
      </c>
      <c r="T49" s="146">
        <f t="shared" si="49"/>
        <v>26000000</v>
      </c>
      <c r="U49" s="146">
        <f t="shared" si="49"/>
        <v>22000000</v>
      </c>
      <c r="V49" s="146">
        <f t="shared" si="49"/>
        <v>21000000</v>
      </c>
      <c r="W49" s="146">
        <f t="shared" si="49"/>
        <v>28000000</v>
      </c>
      <c r="X49" s="146">
        <f t="shared" si="47"/>
        <v>20800000</v>
      </c>
      <c r="Y49" s="9" t="s">
        <v>95</v>
      </c>
    </row>
    <row r="50" spans="1:36" x14ac:dyDescent="0.25">
      <c r="A50" s="9" t="s">
        <v>96</v>
      </c>
      <c r="B50" s="5">
        <v>4</v>
      </c>
      <c r="C50" s="5">
        <v>22</v>
      </c>
      <c r="D50" s="5">
        <v>23</v>
      </c>
      <c r="E50" s="5">
        <v>17</v>
      </c>
      <c r="F50" s="5">
        <v>17</v>
      </c>
      <c r="G50" s="5">
        <v>24</v>
      </c>
      <c r="H50" s="5">
        <v>24</v>
      </c>
      <c r="I50" s="5">
        <v>19</v>
      </c>
      <c r="J50" s="5">
        <v>20</v>
      </c>
      <c r="K50" s="5">
        <v>19</v>
      </c>
      <c r="L50" s="5">
        <v>20</v>
      </c>
      <c r="N50" s="146">
        <f>(C50/0.01)*10^($B$50)</f>
        <v>22000000</v>
      </c>
      <c r="O50" s="146">
        <f t="shared" ref="O50:W50" si="50">(D50/0.01)*10^($B$50)</f>
        <v>23000000</v>
      </c>
      <c r="P50" s="146">
        <f t="shared" si="50"/>
        <v>17000000</v>
      </c>
      <c r="Q50" s="146">
        <f t="shared" si="50"/>
        <v>17000000</v>
      </c>
      <c r="R50" s="146">
        <f t="shared" si="50"/>
        <v>24000000</v>
      </c>
      <c r="S50" s="146">
        <f t="shared" si="50"/>
        <v>24000000</v>
      </c>
      <c r="T50" s="146">
        <f t="shared" si="50"/>
        <v>19000000</v>
      </c>
      <c r="U50" s="146">
        <f t="shared" si="50"/>
        <v>20000000</v>
      </c>
      <c r="V50" s="146">
        <f t="shared" si="50"/>
        <v>19000000</v>
      </c>
      <c r="W50" s="146">
        <f t="shared" si="50"/>
        <v>20000000</v>
      </c>
      <c r="X50" s="146">
        <f t="shared" si="47"/>
        <v>20500000</v>
      </c>
      <c r="Y50" s="9" t="s">
        <v>96</v>
      </c>
    </row>
    <row r="51" spans="1:36" x14ac:dyDescent="0.25">
      <c r="A51" s="9" t="s">
        <v>97</v>
      </c>
      <c r="B51" s="5">
        <v>4</v>
      </c>
      <c r="C51" s="5">
        <v>16</v>
      </c>
      <c r="D51" s="5">
        <v>14</v>
      </c>
      <c r="E51" s="5">
        <v>30</v>
      </c>
      <c r="F51" s="5">
        <v>16</v>
      </c>
      <c r="G51" s="5">
        <v>30</v>
      </c>
      <c r="H51" s="5">
        <v>31</v>
      </c>
      <c r="I51" s="5">
        <v>21</v>
      </c>
      <c r="J51" s="5">
        <v>38</v>
      </c>
      <c r="K51" s="5">
        <v>19</v>
      </c>
      <c r="L51" s="5">
        <v>25</v>
      </c>
      <c r="N51" s="146">
        <f>(C51/0.01)*10^($B$51)</f>
        <v>16000000</v>
      </c>
      <c r="O51" s="146">
        <f t="shared" ref="O51:W51" si="51">(D51/0.01)*10^($B$51)</f>
        <v>14000000</v>
      </c>
      <c r="P51" s="146">
        <f t="shared" si="51"/>
        <v>30000000</v>
      </c>
      <c r="Q51" s="146">
        <f t="shared" si="51"/>
        <v>16000000</v>
      </c>
      <c r="R51" s="146">
        <f t="shared" si="51"/>
        <v>30000000</v>
      </c>
      <c r="S51" s="146">
        <f t="shared" si="51"/>
        <v>31000000</v>
      </c>
      <c r="T51" s="146">
        <f t="shared" si="51"/>
        <v>21000000</v>
      </c>
      <c r="U51" s="146">
        <f t="shared" si="51"/>
        <v>38000000</v>
      </c>
      <c r="V51" s="146">
        <f t="shared" si="51"/>
        <v>19000000</v>
      </c>
      <c r="W51" s="146">
        <f t="shared" si="51"/>
        <v>25000000</v>
      </c>
      <c r="X51" s="146">
        <f t="shared" si="47"/>
        <v>24000000</v>
      </c>
      <c r="Y51" s="9" t="s">
        <v>97</v>
      </c>
    </row>
    <row r="52" spans="1:36" x14ac:dyDescent="0.25">
      <c r="A52" s="9" t="s">
        <v>98</v>
      </c>
      <c r="B52" s="5">
        <v>5</v>
      </c>
      <c r="C52" s="5">
        <v>6</v>
      </c>
      <c r="D52" s="5">
        <v>5</v>
      </c>
      <c r="E52" s="5">
        <v>8</v>
      </c>
      <c r="F52" s="5">
        <v>7</v>
      </c>
      <c r="G52" s="5">
        <v>11</v>
      </c>
      <c r="H52" s="5">
        <v>8</v>
      </c>
      <c r="I52" s="5">
        <v>6</v>
      </c>
      <c r="J52" s="5">
        <v>8</v>
      </c>
      <c r="K52" s="5">
        <v>7</v>
      </c>
      <c r="L52" s="5">
        <v>7</v>
      </c>
      <c r="N52" s="146">
        <f>(C52/0.01)*10^($B$52)</f>
        <v>60000000</v>
      </c>
      <c r="O52" s="146">
        <f t="shared" ref="O52:W52" si="52">(D52/0.01)*10^($B$52)</f>
        <v>50000000</v>
      </c>
      <c r="P52" s="146">
        <f t="shared" si="52"/>
        <v>80000000</v>
      </c>
      <c r="Q52" s="146">
        <f t="shared" si="52"/>
        <v>70000000</v>
      </c>
      <c r="R52" s="146">
        <f t="shared" si="52"/>
        <v>110000000</v>
      </c>
      <c r="S52" s="146">
        <f t="shared" si="52"/>
        <v>80000000</v>
      </c>
      <c r="T52" s="146">
        <f t="shared" si="52"/>
        <v>60000000</v>
      </c>
      <c r="U52" s="146">
        <f t="shared" si="52"/>
        <v>80000000</v>
      </c>
      <c r="V52" s="146">
        <f t="shared" si="52"/>
        <v>70000000</v>
      </c>
      <c r="W52" s="146">
        <f t="shared" si="52"/>
        <v>70000000</v>
      </c>
      <c r="X52" s="146">
        <f t="shared" si="47"/>
        <v>73000000</v>
      </c>
      <c r="Y52" s="9" t="s">
        <v>98</v>
      </c>
    </row>
    <row r="53" spans="1:36" x14ac:dyDescent="0.25">
      <c r="A53" s="9" t="s">
        <v>99</v>
      </c>
      <c r="B53" s="5">
        <v>5</v>
      </c>
      <c r="C53" s="5">
        <v>4</v>
      </c>
      <c r="D53" s="5">
        <v>4</v>
      </c>
      <c r="E53" s="5">
        <v>5</v>
      </c>
      <c r="F53" s="5">
        <v>7</v>
      </c>
      <c r="G53" s="5">
        <v>5</v>
      </c>
      <c r="H53" s="5">
        <v>4</v>
      </c>
      <c r="I53" s="5">
        <v>5</v>
      </c>
      <c r="J53" s="5">
        <v>1</v>
      </c>
      <c r="K53" s="5">
        <v>2</v>
      </c>
      <c r="L53" s="5">
        <v>2</v>
      </c>
      <c r="N53" s="146">
        <f>(C53/0.01)*10^($B$53)</f>
        <v>40000000</v>
      </c>
      <c r="O53" s="146">
        <f t="shared" ref="O53:W53" si="53">(D53/0.01)*10^($B$53)</f>
        <v>40000000</v>
      </c>
      <c r="P53" s="146">
        <f t="shared" si="53"/>
        <v>50000000</v>
      </c>
      <c r="Q53" s="146">
        <f t="shared" si="53"/>
        <v>70000000</v>
      </c>
      <c r="R53" s="146">
        <f t="shared" si="53"/>
        <v>50000000</v>
      </c>
      <c r="S53" s="146">
        <f t="shared" si="53"/>
        <v>40000000</v>
      </c>
      <c r="T53" s="146">
        <f t="shared" si="53"/>
        <v>50000000</v>
      </c>
      <c r="U53" s="146">
        <f t="shared" si="53"/>
        <v>10000000</v>
      </c>
      <c r="V53" s="146">
        <f t="shared" si="53"/>
        <v>20000000</v>
      </c>
      <c r="W53" s="146">
        <f t="shared" si="53"/>
        <v>20000000</v>
      </c>
      <c r="X53" s="146">
        <f t="shared" si="47"/>
        <v>39000000</v>
      </c>
      <c r="Y53" s="9" t="s">
        <v>99</v>
      </c>
    </row>
    <row r="54" spans="1:36" x14ac:dyDescent="0.25">
      <c r="A54" s="9" t="s">
        <v>100</v>
      </c>
      <c r="B54" s="5">
        <v>5</v>
      </c>
      <c r="C54" s="5">
        <v>2</v>
      </c>
      <c r="D54" s="5">
        <v>4</v>
      </c>
      <c r="E54" s="5">
        <v>3</v>
      </c>
      <c r="F54" s="5">
        <v>2</v>
      </c>
      <c r="G54" s="5">
        <v>3</v>
      </c>
      <c r="H54" s="5">
        <v>3</v>
      </c>
      <c r="I54" s="5">
        <v>5</v>
      </c>
      <c r="J54" s="5">
        <v>7</v>
      </c>
      <c r="K54" s="5">
        <v>2</v>
      </c>
      <c r="L54" s="5">
        <v>6</v>
      </c>
      <c r="N54" s="146">
        <f>(C54/0.01)*10^($B$54)</f>
        <v>20000000</v>
      </c>
      <c r="O54" s="146">
        <f t="shared" ref="O54:W54" si="54">(D54/0.01)*10^($B$54)</f>
        <v>40000000</v>
      </c>
      <c r="P54" s="146">
        <f t="shared" si="54"/>
        <v>30000000</v>
      </c>
      <c r="Q54" s="146">
        <f t="shared" si="54"/>
        <v>20000000</v>
      </c>
      <c r="R54" s="146">
        <f t="shared" si="54"/>
        <v>30000000</v>
      </c>
      <c r="S54" s="146">
        <f t="shared" si="54"/>
        <v>30000000</v>
      </c>
      <c r="T54" s="146">
        <f t="shared" si="54"/>
        <v>50000000</v>
      </c>
      <c r="U54" s="146">
        <f t="shared" si="54"/>
        <v>70000000</v>
      </c>
      <c r="V54" s="146">
        <f t="shared" si="54"/>
        <v>20000000</v>
      </c>
      <c r="W54" s="146">
        <f t="shared" si="54"/>
        <v>60000000</v>
      </c>
      <c r="X54" s="146">
        <f t="shared" si="47"/>
        <v>37000000</v>
      </c>
      <c r="Y54" s="9" t="s">
        <v>100</v>
      </c>
    </row>
    <row r="55" spans="1:36" x14ac:dyDescent="0.25">
      <c r="A55" s="9" t="s">
        <v>101</v>
      </c>
      <c r="B55" s="5">
        <v>5</v>
      </c>
      <c r="C55" s="5">
        <v>16</v>
      </c>
      <c r="D55" s="5">
        <v>19</v>
      </c>
      <c r="E55" s="5">
        <v>14</v>
      </c>
      <c r="F55" s="5">
        <v>16</v>
      </c>
      <c r="G55" s="5">
        <v>26</v>
      </c>
      <c r="H55" s="5">
        <v>17</v>
      </c>
      <c r="I55" s="5">
        <v>11</v>
      </c>
      <c r="J55" s="5">
        <v>22</v>
      </c>
      <c r="K55" s="5">
        <v>17</v>
      </c>
      <c r="L55" s="5">
        <v>22</v>
      </c>
      <c r="N55" s="146">
        <f>(C55/0.01)*10^($B$55)</f>
        <v>160000000</v>
      </c>
      <c r="O55" s="146">
        <f t="shared" ref="O55:W55" si="55">(D55/0.01)*10^($B$55)</f>
        <v>190000000</v>
      </c>
      <c r="P55" s="146">
        <f t="shared" si="55"/>
        <v>140000000</v>
      </c>
      <c r="Q55" s="146">
        <f t="shared" si="55"/>
        <v>160000000</v>
      </c>
      <c r="R55" s="146">
        <f t="shared" si="55"/>
        <v>260000000</v>
      </c>
      <c r="S55" s="146">
        <f t="shared" si="55"/>
        <v>170000000</v>
      </c>
      <c r="T55" s="146">
        <f t="shared" si="55"/>
        <v>110000000</v>
      </c>
      <c r="U55" s="146">
        <f t="shared" si="55"/>
        <v>220000000</v>
      </c>
      <c r="V55" s="146">
        <f t="shared" si="55"/>
        <v>170000000</v>
      </c>
      <c r="W55" s="146">
        <f t="shared" si="55"/>
        <v>220000000</v>
      </c>
      <c r="X55" s="146">
        <f t="shared" si="47"/>
        <v>180000000</v>
      </c>
      <c r="Y55" s="9" t="s">
        <v>101</v>
      </c>
    </row>
    <row r="56" spans="1:36" x14ac:dyDescent="0.25">
      <c r="A56" s="9" t="s">
        <v>102</v>
      </c>
      <c r="B56" s="5">
        <v>5</v>
      </c>
      <c r="C56" s="5">
        <v>17</v>
      </c>
      <c r="D56" s="5">
        <v>20</v>
      </c>
      <c r="E56" s="5">
        <v>21</v>
      </c>
      <c r="F56" s="5">
        <v>19</v>
      </c>
      <c r="G56" s="5">
        <v>22</v>
      </c>
      <c r="H56" s="5">
        <v>15</v>
      </c>
      <c r="I56" s="5">
        <v>24</v>
      </c>
      <c r="J56" s="5">
        <v>25</v>
      </c>
      <c r="K56" s="5">
        <v>21</v>
      </c>
      <c r="L56" s="5">
        <v>22</v>
      </c>
      <c r="N56" s="146">
        <f>(C56/0.01)*10^($B$56)</f>
        <v>170000000</v>
      </c>
      <c r="O56" s="146">
        <f t="shared" ref="O56:W56" si="56">(D56/0.01)*10^($B$56)</f>
        <v>200000000</v>
      </c>
      <c r="P56" s="146">
        <f t="shared" si="56"/>
        <v>210000000</v>
      </c>
      <c r="Q56" s="146">
        <f t="shared" si="56"/>
        <v>190000000</v>
      </c>
      <c r="R56" s="146">
        <f>(G56/0.01)*10^($B$56)</f>
        <v>220000000</v>
      </c>
      <c r="S56" s="146">
        <f t="shared" si="56"/>
        <v>150000000</v>
      </c>
      <c r="T56" s="146">
        <f t="shared" si="56"/>
        <v>240000000</v>
      </c>
      <c r="U56" s="146">
        <f t="shared" si="56"/>
        <v>250000000</v>
      </c>
      <c r="V56" s="146">
        <f t="shared" si="56"/>
        <v>210000000</v>
      </c>
      <c r="W56" s="146">
        <f t="shared" si="56"/>
        <v>220000000</v>
      </c>
      <c r="X56" s="146">
        <f t="shared" si="47"/>
        <v>206000000</v>
      </c>
      <c r="Y56" s="9" t="s">
        <v>102</v>
      </c>
    </row>
    <row r="57" spans="1:36" x14ac:dyDescent="0.25">
      <c r="A57" s="9" t="s">
        <v>103</v>
      </c>
      <c r="B57" s="5">
        <v>5</v>
      </c>
      <c r="C57" s="5">
        <v>18</v>
      </c>
      <c r="D57" s="5">
        <v>20</v>
      </c>
      <c r="E57" s="5">
        <v>17</v>
      </c>
      <c r="F57" s="5">
        <v>15</v>
      </c>
      <c r="G57" s="5">
        <v>17</v>
      </c>
      <c r="H57" s="5">
        <v>19</v>
      </c>
      <c r="I57" s="5">
        <v>21</v>
      </c>
      <c r="J57" s="5">
        <v>19</v>
      </c>
      <c r="K57" s="5">
        <v>20</v>
      </c>
      <c r="L57" s="5">
        <v>16</v>
      </c>
      <c r="N57" s="146">
        <f>(C57/0.01)*10^($B$57)</f>
        <v>180000000</v>
      </c>
      <c r="O57" s="146">
        <f t="shared" ref="O57:W57" si="57">(D57/0.01)*10^($B$57)</f>
        <v>200000000</v>
      </c>
      <c r="P57" s="146">
        <f t="shared" si="57"/>
        <v>170000000</v>
      </c>
      <c r="Q57" s="146">
        <f t="shared" si="57"/>
        <v>150000000</v>
      </c>
      <c r="R57" s="146">
        <f t="shared" si="57"/>
        <v>170000000</v>
      </c>
      <c r="S57" s="146">
        <f t="shared" si="57"/>
        <v>190000000</v>
      </c>
      <c r="T57" s="146">
        <f t="shared" si="57"/>
        <v>210000000</v>
      </c>
      <c r="U57" s="146">
        <f t="shared" si="57"/>
        <v>190000000</v>
      </c>
      <c r="V57" s="146">
        <f t="shared" si="57"/>
        <v>200000000</v>
      </c>
      <c r="W57" s="146">
        <f t="shared" si="57"/>
        <v>160000000</v>
      </c>
      <c r="X57" s="146">
        <f t="shared" si="47"/>
        <v>182000000</v>
      </c>
      <c r="Y57" s="9" t="s">
        <v>103</v>
      </c>
    </row>
    <row r="58" spans="1:36" x14ac:dyDescent="0.25">
      <c r="A58" s="9" t="s">
        <v>107</v>
      </c>
      <c r="B58" s="5">
        <v>5</v>
      </c>
      <c r="C58" s="5">
        <v>22</v>
      </c>
      <c r="D58" s="5">
        <v>19</v>
      </c>
      <c r="E58" s="5">
        <v>32</v>
      </c>
      <c r="F58" s="5">
        <v>27</v>
      </c>
      <c r="G58" s="5">
        <v>25</v>
      </c>
      <c r="H58" s="5">
        <v>19</v>
      </c>
      <c r="I58" s="5">
        <v>27</v>
      </c>
      <c r="J58" s="5">
        <v>23</v>
      </c>
      <c r="K58" s="5">
        <v>17</v>
      </c>
      <c r="L58" s="5">
        <v>20</v>
      </c>
      <c r="N58" s="146">
        <f>(C58/0.01)*10^($B$58)</f>
        <v>220000000</v>
      </c>
      <c r="O58" s="146">
        <f t="shared" ref="O58:W58" si="58">(D58/0.01)*10^($B$58)</f>
        <v>190000000</v>
      </c>
      <c r="P58" s="146">
        <f t="shared" si="58"/>
        <v>320000000</v>
      </c>
      <c r="Q58" s="146">
        <f t="shared" si="58"/>
        <v>270000000</v>
      </c>
      <c r="R58" s="146">
        <f t="shared" si="58"/>
        <v>250000000</v>
      </c>
      <c r="S58" s="146">
        <f t="shared" si="58"/>
        <v>190000000</v>
      </c>
      <c r="T58" s="146">
        <f t="shared" si="58"/>
        <v>270000000</v>
      </c>
      <c r="U58" s="146">
        <f t="shared" si="58"/>
        <v>230000000</v>
      </c>
      <c r="V58" s="146">
        <f t="shared" si="58"/>
        <v>170000000</v>
      </c>
      <c r="W58" s="146">
        <f t="shared" si="58"/>
        <v>200000000</v>
      </c>
      <c r="X58" s="146">
        <f t="shared" si="47"/>
        <v>231000000</v>
      </c>
      <c r="Y58" s="9" t="s">
        <v>107</v>
      </c>
      <c r="Z58" s="5">
        <v>6</v>
      </c>
      <c r="AA58" s="5">
        <v>0</v>
      </c>
      <c r="AB58" s="5">
        <v>4</v>
      </c>
      <c r="AC58" s="5">
        <v>3</v>
      </c>
      <c r="AD58" s="5">
        <v>5</v>
      </c>
      <c r="AE58" s="5">
        <v>3</v>
      </c>
      <c r="AF58" s="5">
        <v>5</v>
      </c>
      <c r="AG58" s="5">
        <v>2</v>
      </c>
      <c r="AH58" s="5">
        <v>3</v>
      </c>
      <c r="AI58" s="5">
        <v>2</v>
      </c>
      <c r="AJ58" s="5">
        <v>2</v>
      </c>
    </row>
    <row r="59" spans="1:36" x14ac:dyDescent="0.25">
      <c r="A59" s="9" t="s">
        <v>108</v>
      </c>
      <c r="B59" s="5">
        <v>5</v>
      </c>
      <c r="C59" s="5">
        <v>21</v>
      </c>
      <c r="D59" s="5">
        <v>23</v>
      </c>
      <c r="E59" s="5">
        <v>20</v>
      </c>
      <c r="F59" s="5">
        <v>24</v>
      </c>
      <c r="G59" s="5">
        <v>25</v>
      </c>
      <c r="H59" s="5">
        <v>20</v>
      </c>
      <c r="I59" s="5">
        <v>16</v>
      </c>
      <c r="J59" s="5">
        <v>22</v>
      </c>
      <c r="K59" s="5">
        <v>23</v>
      </c>
      <c r="L59" s="5">
        <v>19</v>
      </c>
      <c r="N59" s="146">
        <f>(C59/0.01)*10^($B$59)</f>
        <v>210000000</v>
      </c>
      <c r="O59" s="146">
        <f t="shared" ref="O59:W59" si="59">(D59/0.01)*10^($B$59)</f>
        <v>230000000</v>
      </c>
      <c r="P59" s="146">
        <f t="shared" si="59"/>
        <v>200000000</v>
      </c>
      <c r="Q59" s="146">
        <f t="shared" si="59"/>
        <v>240000000</v>
      </c>
      <c r="R59" s="146">
        <f t="shared" si="59"/>
        <v>250000000</v>
      </c>
      <c r="S59" s="146">
        <f t="shared" si="59"/>
        <v>200000000</v>
      </c>
      <c r="T59" s="146">
        <f t="shared" si="59"/>
        <v>160000000</v>
      </c>
      <c r="U59" s="146">
        <f t="shared" si="59"/>
        <v>220000000</v>
      </c>
      <c r="V59" s="146">
        <f t="shared" si="59"/>
        <v>230000000</v>
      </c>
      <c r="W59" s="146">
        <f t="shared" si="59"/>
        <v>190000000</v>
      </c>
      <c r="X59" s="146">
        <f t="shared" si="47"/>
        <v>213000000</v>
      </c>
      <c r="Y59" s="9" t="s">
        <v>108</v>
      </c>
      <c r="Z59" s="5">
        <v>6</v>
      </c>
      <c r="AA59" s="5">
        <v>5</v>
      </c>
      <c r="AB59" s="5">
        <v>3</v>
      </c>
      <c r="AC59" s="5">
        <v>3</v>
      </c>
      <c r="AD59" s="5">
        <v>2</v>
      </c>
      <c r="AE59" s="5">
        <v>4</v>
      </c>
      <c r="AF59" s="5">
        <v>2</v>
      </c>
      <c r="AG59" s="5">
        <v>3</v>
      </c>
      <c r="AH59" s="5">
        <v>1</v>
      </c>
      <c r="AI59" s="5">
        <v>1</v>
      </c>
      <c r="AJ59" s="5">
        <v>3</v>
      </c>
    </row>
    <row r="60" spans="1:36" x14ac:dyDescent="0.25">
      <c r="A60" s="9" t="s">
        <v>109</v>
      </c>
      <c r="B60" s="5">
        <v>5</v>
      </c>
      <c r="C60" s="5">
        <v>18</v>
      </c>
      <c r="D60" s="5">
        <v>17</v>
      </c>
      <c r="E60" s="5">
        <v>14</v>
      </c>
      <c r="F60" s="5">
        <v>27</v>
      </c>
      <c r="G60" s="5">
        <v>21</v>
      </c>
      <c r="H60" s="5">
        <v>22</v>
      </c>
      <c r="I60" s="5">
        <v>16</v>
      </c>
      <c r="J60" s="5">
        <v>18</v>
      </c>
      <c r="K60" s="5">
        <v>20</v>
      </c>
      <c r="L60" s="5">
        <v>21</v>
      </c>
      <c r="N60" s="146">
        <f>(C60/0.01)*10^($B$60)</f>
        <v>180000000</v>
      </c>
      <c r="O60" s="146">
        <f t="shared" ref="O60:W60" si="60">(D60/0.01)*10^($B$60)</f>
        <v>170000000</v>
      </c>
      <c r="P60" s="146">
        <f t="shared" si="60"/>
        <v>140000000</v>
      </c>
      <c r="Q60" s="146">
        <f t="shared" si="60"/>
        <v>270000000</v>
      </c>
      <c r="R60" s="146">
        <f t="shared" si="60"/>
        <v>210000000</v>
      </c>
      <c r="S60" s="146">
        <f t="shared" si="60"/>
        <v>220000000</v>
      </c>
      <c r="T60" s="146">
        <f t="shared" si="60"/>
        <v>160000000</v>
      </c>
      <c r="U60" s="146">
        <f t="shared" si="60"/>
        <v>180000000</v>
      </c>
      <c r="V60" s="146">
        <f t="shared" si="60"/>
        <v>200000000</v>
      </c>
      <c r="W60" s="146">
        <f t="shared" si="60"/>
        <v>210000000</v>
      </c>
      <c r="X60" s="146">
        <f t="shared" si="47"/>
        <v>194000000</v>
      </c>
      <c r="Y60" s="9" t="s">
        <v>109</v>
      </c>
      <c r="Z60" s="5">
        <v>6</v>
      </c>
      <c r="AA60" s="5">
        <v>2</v>
      </c>
      <c r="AB60" s="5">
        <v>1</v>
      </c>
      <c r="AC60" s="5">
        <v>2</v>
      </c>
      <c r="AD60" s="5">
        <v>0</v>
      </c>
      <c r="AE60" s="5">
        <v>1</v>
      </c>
      <c r="AF60" s="5">
        <v>3</v>
      </c>
      <c r="AG60" s="5">
        <v>1</v>
      </c>
      <c r="AH60" s="5">
        <v>2</v>
      </c>
      <c r="AI60" s="5">
        <v>0</v>
      </c>
      <c r="AJ60" s="5">
        <v>3</v>
      </c>
    </row>
    <row r="61" spans="1:36" x14ac:dyDescent="0.25">
      <c r="A61" s="9" t="s">
        <v>204</v>
      </c>
      <c r="B61" s="5">
        <v>5</v>
      </c>
      <c r="C61" s="5">
        <v>32</v>
      </c>
      <c r="D61" s="5">
        <v>30</v>
      </c>
      <c r="E61" s="5">
        <v>28</v>
      </c>
      <c r="F61" s="5">
        <v>21</v>
      </c>
      <c r="G61" s="5">
        <v>20</v>
      </c>
      <c r="H61" s="5">
        <v>22</v>
      </c>
      <c r="I61" s="5">
        <v>29</v>
      </c>
      <c r="J61" s="5">
        <v>20</v>
      </c>
      <c r="K61" s="5">
        <v>22</v>
      </c>
      <c r="L61" s="5">
        <v>23</v>
      </c>
      <c r="N61" s="146">
        <f>(C61/0.01)*10^($B$61)</f>
        <v>320000000</v>
      </c>
      <c r="O61" s="146">
        <f t="shared" ref="O61:W61" si="61">(D61/0.01)*10^($B$61)</f>
        <v>300000000</v>
      </c>
      <c r="P61" s="146">
        <f t="shared" si="61"/>
        <v>280000000</v>
      </c>
      <c r="Q61" s="146">
        <f t="shared" si="61"/>
        <v>210000000</v>
      </c>
      <c r="R61" s="146">
        <f t="shared" si="61"/>
        <v>200000000</v>
      </c>
      <c r="S61" s="146">
        <f t="shared" si="61"/>
        <v>220000000</v>
      </c>
      <c r="T61" s="146">
        <f t="shared" si="61"/>
        <v>290000000</v>
      </c>
      <c r="U61" s="146">
        <f t="shared" si="61"/>
        <v>200000000</v>
      </c>
      <c r="V61" s="146">
        <f t="shared" si="61"/>
        <v>220000000</v>
      </c>
      <c r="W61" s="146">
        <f t="shared" si="61"/>
        <v>230000000</v>
      </c>
      <c r="X61" s="146">
        <f t="shared" si="47"/>
        <v>247000000</v>
      </c>
      <c r="Y61" s="9" t="s">
        <v>204</v>
      </c>
      <c r="Z61" s="5">
        <v>6</v>
      </c>
      <c r="AA61" s="5">
        <v>3</v>
      </c>
      <c r="AB61" s="5">
        <v>3</v>
      </c>
      <c r="AC61" s="5">
        <v>2</v>
      </c>
      <c r="AD61" s="5">
        <v>5</v>
      </c>
      <c r="AE61" s="5">
        <v>1</v>
      </c>
      <c r="AF61" s="5">
        <v>5</v>
      </c>
      <c r="AG61" s="5">
        <v>3</v>
      </c>
      <c r="AH61" s="5">
        <v>4</v>
      </c>
      <c r="AI61" s="5">
        <v>1</v>
      </c>
      <c r="AJ61" s="5">
        <v>4</v>
      </c>
    </row>
    <row r="62" spans="1:36" x14ac:dyDescent="0.25">
      <c r="A62" s="9" t="s">
        <v>205</v>
      </c>
      <c r="B62" s="5">
        <v>5</v>
      </c>
      <c r="C62" s="5">
        <v>22</v>
      </c>
      <c r="D62" s="5">
        <v>26</v>
      </c>
      <c r="E62" s="5">
        <v>16</v>
      </c>
      <c r="F62" s="5">
        <v>18</v>
      </c>
      <c r="G62" s="5">
        <v>19</v>
      </c>
      <c r="H62" s="5">
        <v>24</v>
      </c>
      <c r="I62" s="5">
        <v>27</v>
      </c>
      <c r="J62" s="5">
        <v>25</v>
      </c>
      <c r="K62" s="5">
        <v>18</v>
      </c>
      <c r="L62" s="5">
        <v>21</v>
      </c>
      <c r="N62" s="146">
        <f>(C62/0.01)*10^($B$62)</f>
        <v>220000000</v>
      </c>
      <c r="O62" s="146">
        <f t="shared" ref="O62:W62" si="62">(D62/0.01)*10^($B$62)</f>
        <v>260000000</v>
      </c>
      <c r="P62" s="146">
        <f t="shared" si="62"/>
        <v>160000000</v>
      </c>
      <c r="Q62" s="146">
        <f t="shared" si="62"/>
        <v>180000000</v>
      </c>
      <c r="R62" s="146">
        <f t="shared" si="62"/>
        <v>190000000</v>
      </c>
      <c r="S62" s="146">
        <f t="shared" si="62"/>
        <v>240000000</v>
      </c>
      <c r="T62" s="146">
        <f t="shared" si="62"/>
        <v>270000000</v>
      </c>
      <c r="U62" s="146">
        <f t="shared" si="62"/>
        <v>250000000</v>
      </c>
      <c r="V62" s="146">
        <f t="shared" si="62"/>
        <v>180000000</v>
      </c>
      <c r="W62" s="146">
        <f t="shared" si="62"/>
        <v>210000000</v>
      </c>
      <c r="X62" s="146">
        <f t="shared" si="47"/>
        <v>216000000</v>
      </c>
      <c r="Y62" s="9" t="s">
        <v>205</v>
      </c>
      <c r="Z62" s="5">
        <v>6</v>
      </c>
      <c r="AA62" s="5">
        <v>4</v>
      </c>
      <c r="AB62" s="5">
        <v>1</v>
      </c>
      <c r="AC62" s="5">
        <v>5</v>
      </c>
      <c r="AD62" s="5">
        <v>3</v>
      </c>
      <c r="AE62" s="5">
        <v>6</v>
      </c>
      <c r="AF62" s="5">
        <v>5</v>
      </c>
      <c r="AG62" s="5">
        <v>2</v>
      </c>
      <c r="AH62" s="5">
        <v>1</v>
      </c>
      <c r="AI62" s="5">
        <v>2</v>
      </c>
      <c r="AJ62" s="5">
        <v>1</v>
      </c>
    </row>
    <row r="63" spans="1:36" x14ac:dyDescent="0.25">
      <c r="A63" s="9" t="s">
        <v>206</v>
      </c>
      <c r="B63" s="5">
        <v>5</v>
      </c>
      <c r="C63" s="5">
        <v>25</v>
      </c>
      <c r="D63" s="5">
        <v>21</v>
      </c>
      <c r="E63" s="5">
        <v>14</v>
      </c>
      <c r="F63" s="5">
        <v>29</v>
      </c>
      <c r="G63" s="5">
        <v>24</v>
      </c>
      <c r="H63" s="5">
        <v>21</v>
      </c>
      <c r="I63" s="5">
        <v>11</v>
      </c>
      <c r="J63" s="5">
        <v>23</v>
      </c>
      <c r="K63" s="5">
        <v>22</v>
      </c>
      <c r="L63" s="5">
        <v>31</v>
      </c>
      <c r="N63" s="146">
        <f>(C63/0.01)*10^($B$63)</f>
        <v>250000000</v>
      </c>
      <c r="O63" s="146">
        <f t="shared" ref="O63:W63" si="63">(D63/0.01)*10^($B$63)</f>
        <v>210000000</v>
      </c>
      <c r="P63" s="146">
        <f t="shared" si="63"/>
        <v>140000000</v>
      </c>
      <c r="Q63" s="146">
        <f t="shared" si="63"/>
        <v>290000000</v>
      </c>
      <c r="R63" s="146">
        <f t="shared" si="63"/>
        <v>240000000</v>
      </c>
      <c r="S63" s="146">
        <f t="shared" si="63"/>
        <v>210000000</v>
      </c>
      <c r="T63" s="146">
        <f t="shared" si="63"/>
        <v>110000000</v>
      </c>
      <c r="U63" s="146">
        <f t="shared" si="63"/>
        <v>230000000</v>
      </c>
      <c r="V63" s="146">
        <f t="shared" si="63"/>
        <v>220000000</v>
      </c>
      <c r="W63" s="146">
        <f t="shared" si="63"/>
        <v>310000000</v>
      </c>
      <c r="X63" s="146">
        <f t="shared" si="47"/>
        <v>221000000</v>
      </c>
      <c r="Y63" s="9" t="s">
        <v>206</v>
      </c>
      <c r="Z63" s="5">
        <v>6</v>
      </c>
      <c r="AA63" s="5">
        <v>1</v>
      </c>
      <c r="AB63" s="5">
        <v>1</v>
      </c>
      <c r="AC63" s="5">
        <v>2</v>
      </c>
      <c r="AD63" s="5">
        <v>4</v>
      </c>
      <c r="AE63" s="5">
        <v>5</v>
      </c>
      <c r="AF63" s="5">
        <v>3</v>
      </c>
      <c r="AG63" s="5">
        <v>2</v>
      </c>
      <c r="AH63" s="5">
        <v>5</v>
      </c>
      <c r="AI63" s="5">
        <v>2</v>
      </c>
      <c r="AJ63" s="5">
        <v>0</v>
      </c>
    </row>
    <row r="64" spans="1:36" x14ac:dyDescent="0.25"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</row>
    <row r="65" spans="1:25" x14ac:dyDescent="0.25">
      <c r="A65" s="145" t="s">
        <v>200</v>
      </c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</row>
    <row r="66" spans="1:25" x14ac:dyDescent="0.25">
      <c r="A66" s="9" t="s">
        <v>92</v>
      </c>
      <c r="B66" s="5">
        <v>5</v>
      </c>
      <c r="C66" s="5">
        <v>5</v>
      </c>
      <c r="D66" s="5">
        <v>6</v>
      </c>
      <c r="E66" s="5">
        <v>1</v>
      </c>
      <c r="F66" s="5">
        <v>4</v>
      </c>
      <c r="G66" s="5">
        <v>10</v>
      </c>
      <c r="H66" s="5">
        <v>3</v>
      </c>
      <c r="I66" s="5">
        <v>5</v>
      </c>
      <c r="J66" s="5">
        <v>2</v>
      </c>
      <c r="K66" s="5">
        <v>7</v>
      </c>
      <c r="L66" s="5">
        <v>5</v>
      </c>
      <c r="N66" s="146">
        <f>(C66/0.01)*10^($B$66)</f>
        <v>50000000</v>
      </c>
      <c r="O66" s="146">
        <f t="shared" ref="O66:W66" si="64">(D66/0.01)*10^($B$66)</f>
        <v>60000000</v>
      </c>
      <c r="P66" s="146">
        <f t="shared" si="64"/>
        <v>10000000</v>
      </c>
      <c r="Q66" s="146">
        <f t="shared" si="64"/>
        <v>40000000</v>
      </c>
      <c r="R66" s="146">
        <f t="shared" si="64"/>
        <v>100000000</v>
      </c>
      <c r="S66" s="146">
        <f t="shared" si="64"/>
        <v>30000000</v>
      </c>
      <c r="T66" s="146">
        <f t="shared" si="64"/>
        <v>50000000</v>
      </c>
      <c r="U66" s="146">
        <f t="shared" si="64"/>
        <v>20000000</v>
      </c>
      <c r="V66" s="146">
        <f t="shared" si="64"/>
        <v>70000000</v>
      </c>
      <c r="W66" s="146">
        <f t="shared" si="64"/>
        <v>50000000</v>
      </c>
      <c r="X66" s="146">
        <f t="shared" si="47"/>
        <v>48000000</v>
      </c>
      <c r="Y66" s="9" t="s">
        <v>92</v>
      </c>
    </row>
    <row r="67" spans="1:25" x14ac:dyDescent="0.25">
      <c r="A67" s="9" t="s">
        <v>93</v>
      </c>
      <c r="B67" s="5">
        <v>5</v>
      </c>
      <c r="C67" s="5">
        <v>3</v>
      </c>
      <c r="D67" s="5">
        <v>3</v>
      </c>
      <c r="E67" s="5">
        <v>6</v>
      </c>
      <c r="F67" s="5">
        <v>5</v>
      </c>
      <c r="G67" s="5">
        <v>9</v>
      </c>
      <c r="H67" s="5">
        <v>3</v>
      </c>
      <c r="I67" s="5">
        <v>4</v>
      </c>
      <c r="J67" s="5">
        <v>4</v>
      </c>
      <c r="K67" s="5">
        <v>10</v>
      </c>
      <c r="L67" s="5">
        <v>6</v>
      </c>
      <c r="N67" s="146">
        <f>(C67/0.01)*10^($B$67)</f>
        <v>30000000</v>
      </c>
      <c r="O67" s="146">
        <f t="shared" ref="O67:W67" si="65">(D67/0.01)*10^($B$67)</f>
        <v>30000000</v>
      </c>
      <c r="P67" s="146">
        <f t="shared" si="65"/>
        <v>60000000</v>
      </c>
      <c r="Q67" s="146">
        <f t="shared" si="65"/>
        <v>50000000</v>
      </c>
      <c r="R67" s="146">
        <f t="shared" si="65"/>
        <v>90000000</v>
      </c>
      <c r="S67" s="146">
        <f t="shared" si="65"/>
        <v>30000000</v>
      </c>
      <c r="T67" s="146">
        <f t="shared" si="65"/>
        <v>40000000</v>
      </c>
      <c r="U67" s="146">
        <f t="shared" si="65"/>
        <v>40000000</v>
      </c>
      <c r="V67" s="146">
        <f t="shared" si="65"/>
        <v>100000000</v>
      </c>
      <c r="W67" s="146">
        <f t="shared" si="65"/>
        <v>60000000</v>
      </c>
      <c r="X67" s="146">
        <f t="shared" si="47"/>
        <v>53000000</v>
      </c>
      <c r="Y67" s="9" t="s">
        <v>93</v>
      </c>
    </row>
    <row r="68" spans="1:25" x14ac:dyDescent="0.25">
      <c r="A68" s="9" t="s">
        <v>94</v>
      </c>
      <c r="B68" s="5">
        <v>5</v>
      </c>
      <c r="C68" s="5">
        <v>1</v>
      </c>
      <c r="D68" s="5">
        <v>6</v>
      </c>
      <c r="E68" s="5">
        <v>4</v>
      </c>
      <c r="F68" s="5">
        <v>3</v>
      </c>
      <c r="G68" s="5">
        <v>7</v>
      </c>
      <c r="H68" s="5">
        <v>5</v>
      </c>
      <c r="I68" s="5">
        <v>7</v>
      </c>
      <c r="J68" s="5">
        <v>6</v>
      </c>
      <c r="K68" s="5">
        <v>8</v>
      </c>
      <c r="L68" s="5">
        <v>8</v>
      </c>
      <c r="N68" s="146">
        <f>(C68/0.01)*10^($B$68)</f>
        <v>10000000</v>
      </c>
      <c r="O68" s="146">
        <f t="shared" ref="O68:W68" si="66">(D68/0.01)*10^($B$68)</f>
        <v>60000000</v>
      </c>
      <c r="P68" s="146">
        <f t="shared" si="66"/>
        <v>40000000</v>
      </c>
      <c r="Q68" s="146">
        <f t="shared" si="66"/>
        <v>30000000</v>
      </c>
      <c r="R68" s="146">
        <f t="shared" si="66"/>
        <v>70000000</v>
      </c>
      <c r="S68" s="146">
        <f t="shared" si="66"/>
        <v>50000000</v>
      </c>
      <c r="T68" s="146">
        <f t="shared" si="66"/>
        <v>70000000</v>
      </c>
      <c r="U68" s="146">
        <f t="shared" si="66"/>
        <v>60000000</v>
      </c>
      <c r="V68" s="146">
        <f t="shared" si="66"/>
        <v>80000000</v>
      </c>
      <c r="W68" s="146">
        <f t="shared" si="66"/>
        <v>80000000</v>
      </c>
      <c r="X68" s="146">
        <f t="shared" si="47"/>
        <v>55000000</v>
      </c>
      <c r="Y68" s="9" t="s">
        <v>94</v>
      </c>
    </row>
    <row r="69" spans="1:25" x14ac:dyDescent="0.25">
      <c r="A69" s="9" t="s">
        <v>95</v>
      </c>
      <c r="B69" s="5">
        <v>5</v>
      </c>
      <c r="C69" s="5">
        <v>6</v>
      </c>
      <c r="D69" s="5">
        <v>7</v>
      </c>
      <c r="E69" s="5">
        <v>10</v>
      </c>
      <c r="F69" s="5">
        <v>7</v>
      </c>
      <c r="G69" s="5">
        <v>10</v>
      </c>
      <c r="H69" s="5">
        <v>2</v>
      </c>
      <c r="I69" s="5">
        <v>6</v>
      </c>
      <c r="J69" s="5">
        <v>5</v>
      </c>
      <c r="K69" s="5">
        <v>8</v>
      </c>
      <c r="L69" s="5">
        <v>3</v>
      </c>
      <c r="N69" s="146">
        <f>(C69/0.01)*10^($B$69)</f>
        <v>60000000</v>
      </c>
      <c r="O69" s="146">
        <f t="shared" ref="O69:W69" si="67">(D69/0.01)*10^($B$69)</f>
        <v>70000000</v>
      </c>
      <c r="P69" s="146">
        <f t="shared" si="67"/>
        <v>100000000</v>
      </c>
      <c r="Q69" s="146">
        <f t="shared" si="67"/>
        <v>70000000</v>
      </c>
      <c r="R69" s="146">
        <f t="shared" si="67"/>
        <v>100000000</v>
      </c>
      <c r="S69" s="146">
        <f t="shared" si="67"/>
        <v>20000000</v>
      </c>
      <c r="T69" s="146">
        <f t="shared" si="67"/>
        <v>60000000</v>
      </c>
      <c r="U69" s="146">
        <f t="shared" si="67"/>
        <v>50000000</v>
      </c>
      <c r="V69" s="146">
        <f t="shared" si="67"/>
        <v>80000000</v>
      </c>
      <c r="W69" s="146">
        <f t="shared" si="67"/>
        <v>30000000</v>
      </c>
      <c r="X69" s="146">
        <f t="shared" si="47"/>
        <v>64000000</v>
      </c>
      <c r="Y69" s="9" t="s">
        <v>95</v>
      </c>
    </row>
    <row r="70" spans="1:25" x14ac:dyDescent="0.25">
      <c r="A70" s="9" t="s">
        <v>96</v>
      </c>
      <c r="B70" s="5">
        <v>5</v>
      </c>
      <c r="C70" s="5">
        <v>3</v>
      </c>
      <c r="D70" s="5">
        <v>6</v>
      </c>
      <c r="E70" s="5">
        <v>9</v>
      </c>
      <c r="F70" s="5">
        <v>6</v>
      </c>
      <c r="G70" s="5">
        <v>9</v>
      </c>
      <c r="H70" s="5">
        <v>3</v>
      </c>
      <c r="I70" s="5">
        <v>5</v>
      </c>
      <c r="J70" s="5">
        <v>5</v>
      </c>
      <c r="K70" s="5">
        <v>9</v>
      </c>
      <c r="L70" s="5">
        <v>3</v>
      </c>
      <c r="N70" s="146">
        <f>(C70/0.01)*10^($B$70)</f>
        <v>30000000</v>
      </c>
      <c r="O70" s="146">
        <f t="shared" ref="O70:W70" si="68">(D70/0.01)*10^($B$70)</f>
        <v>60000000</v>
      </c>
      <c r="P70" s="146">
        <f t="shared" si="68"/>
        <v>90000000</v>
      </c>
      <c r="Q70" s="146">
        <f t="shared" si="68"/>
        <v>60000000</v>
      </c>
      <c r="R70" s="146">
        <f t="shared" si="68"/>
        <v>90000000</v>
      </c>
      <c r="S70" s="146">
        <f t="shared" si="68"/>
        <v>30000000</v>
      </c>
      <c r="T70" s="146">
        <f t="shared" si="68"/>
        <v>50000000</v>
      </c>
      <c r="U70" s="146">
        <f t="shared" si="68"/>
        <v>50000000</v>
      </c>
      <c r="V70" s="146">
        <f t="shared" si="68"/>
        <v>90000000</v>
      </c>
      <c r="W70" s="146">
        <f t="shared" si="68"/>
        <v>30000000</v>
      </c>
      <c r="X70" s="146">
        <f t="shared" si="47"/>
        <v>58000000</v>
      </c>
      <c r="Y70" s="9" t="s">
        <v>96</v>
      </c>
    </row>
    <row r="71" spans="1:25" x14ac:dyDescent="0.25">
      <c r="A71" s="9" t="s">
        <v>97</v>
      </c>
      <c r="B71" s="5">
        <v>5</v>
      </c>
      <c r="C71" s="5">
        <v>10</v>
      </c>
      <c r="D71" s="5">
        <v>8</v>
      </c>
      <c r="E71" s="5">
        <v>3</v>
      </c>
      <c r="F71" s="5">
        <v>6</v>
      </c>
      <c r="G71" s="5">
        <v>2</v>
      </c>
      <c r="H71" s="5">
        <v>4</v>
      </c>
      <c r="I71" s="5">
        <v>6</v>
      </c>
      <c r="J71" s="5">
        <v>3</v>
      </c>
      <c r="K71" s="5">
        <v>6</v>
      </c>
      <c r="L71" s="5">
        <v>6</v>
      </c>
      <c r="N71" s="146">
        <f>(C71/0.01)*10^($B$71)</f>
        <v>100000000</v>
      </c>
      <c r="O71" s="146">
        <f t="shared" ref="O71:W71" si="69">(D71/0.01)*10^($B$71)</f>
        <v>80000000</v>
      </c>
      <c r="P71" s="146">
        <f t="shared" si="69"/>
        <v>30000000</v>
      </c>
      <c r="Q71" s="146">
        <f t="shared" si="69"/>
        <v>60000000</v>
      </c>
      <c r="R71" s="146">
        <f t="shared" si="69"/>
        <v>20000000</v>
      </c>
      <c r="S71" s="146">
        <f t="shared" si="69"/>
        <v>40000000</v>
      </c>
      <c r="T71" s="146">
        <f t="shared" si="69"/>
        <v>60000000</v>
      </c>
      <c r="U71" s="146">
        <f t="shared" si="69"/>
        <v>30000000</v>
      </c>
      <c r="V71" s="146">
        <f t="shared" si="69"/>
        <v>60000000</v>
      </c>
      <c r="W71" s="146">
        <f t="shared" si="69"/>
        <v>60000000</v>
      </c>
      <c r="X71" s="146">
        <f t="shared" si="47"/>
        <v>54000000</v>
      </c>
      <c r="Y71" s="9" t="s">
        <v>97</v>
      </c>
    </row>
    <row r="72" spans="1:25" x14ac:dyDescent="0.25">
      <c r="A72" s="9" t="s">
        <v>98</v>
      </c>
      <c r="B72" s="5">
        <v>5</v>
      </c>
      <c r="C72" s="5">
        <v>7</v>
      </c>
      <c r="D72" s="5">
        <v>7</v>
      </c>
      <c r="E72" s="5">
        <v>5</v>
      </c>
      <c r="F72" s="5">
        <v>8</v>
      </c>
      <c r="G72" s="5">
        <v>11</v>
      </c>
      <c r="H72" s="5">
        <v>8</v>
      </c>
      <c r="I72" s="5">
        <v>12</v>
      </c>
      <c r="J72" s="5">
        <v>6</v>
      </c>
      <c r="K72" s="5">
        <v>9</v>
      </c>
      <c r="L72" s="5">
        <v>4</v>
      </c>
      <c r="N72" s="146">
        <f>(C72/0.01)*10^($B$72)</f>
        <v>70000000</v>
      </c>
      <c r="O72" s="146">
        <f t="shared" ref="O72:W72" si="70">(D72/0.01)*10^($B$72)</f>
        <v>70000000</v>
      </c>
      <c r="P72" s="146">
        <f t="shared" si="70"/>
        <v>50000000</v>
      </c>
      <c r="Q72" s="146">
        <f t="shared" si="70"/>
        <v>80000000</v>
      </c>
      <c r="R72" s="146">
        <f t="shared" si="70"/>
        <v>110000000</v>
      </c>
      <c r="S72" s="146">
        <f t="shared" si="70"/>
        <v>80000000</v>
      </c>
      <c r="T72" s="146">
        <f t="shared" si="70"/>
        <v>120000000</v>
      </c>
      <c r="U72" s="146">
        <f t="shared" si="70"/>
        <v>60000000</v>
      </c>
      <c r="V72" s="146">
        <f t="shared" si="70"/>
        <v>90000000</v>
      </c>
      <c r="W72" s="146">
        <f t="shared" si="70"/>
        <v>40000000</v>
      </c>
      <c r="X72" s="146">
        <f t="shared" si="47"/>
        <v>77000000</v>
      </c>
      <c r="Y72" s="9" t="s">
        <v>98</v>
      </c>
    </row>
    <row r="73" spans="1:25" x14ac:dyDescent="0.25">
      <c r="A73" s="9" t="s">
        <v>99</v>
      </c>
      <c r="B73" s="5">
        <v>5</v>
      </c>
      <c r="C73" s="5">
        <v>11</v>
      </c>
      <c r="D73" s="5">
        <v>8</v>
      </c>
      <c r="E73" s="5">
        <v>5</v>
      </c>
      <c r="F73" s="5">
        <v>5</v>
      </c>
      <c r="G73" s="5">
        <v>11</v>
      </c>
      <c r="H73" s="5">
        <v>13</v>
      </c>
      <c r="I73" s="5">
        <v>8</v>
      </c>
      <c r="J73" s="5">
        <v>9</v>
      </c>
      <c r="K73" s="5">
        <v>5</v>
      </c>
      <c r="L73" s="5">
        <v>9</v>
      </c>
      <c r="N73" s="146">
        <f>(C73/0.01)*10^($B$73)</f>
        <v>110000000</v>
      </c>
      <c r="O73" s="146">
        <f t="shared" ref="O73:W73" si="71">(D73/0.01)*10^($B$73)</f>
        <v>80000000</v>
      </c>
      <c r="P73" s="146">
        <f t="shared" si="71"/>
        <v>50000000</v>
      </c>
      <c r="Q73" s="146">
        <f t="shared" si="71"/>
        <v>50000000</v>
      </c>
      <c r="R73" s="146">
        <f t="shared" si="71"/>
        <v>110000000</v>
      </c>
      <c r="S73" s="146">
        <f t="shared" si="71"/>
        <v>130000000</v>
      </c>
      <c r="T73" s="146">
        <f t="shared" si="71"/>
        <v>80000000</v>
      </c>
      <c r="U73" s="146">
        <f t="shared" si="71"/>
        <v>90000000</v>
      </c>
      <c r="V73" s="146">
        <f t="shared" si="71"/>
        <v>50000000</v>
      </c>
      <c r="W73" s="146">
        <f t="shared" si="71"/>
        <v>90000000</v>
      </c>
      <c r="X73" s="146">
        <f t="shared" si="47"/>
        <v>84000000</v>
      </c>
      <c r="Y73" s="9" t="s">
        <v>99</v>
      </c>
    </row>
    <row r="74" spans="1:25" x14ac:dyDescent="0.25">
      <c r="A74" s="9" t="s">
        <v>100</v>
      </c>
      <c r="B74" s="5">
        <v>5</v>
      </c>
      <c r="C74" s="5">
        <v>8</v>
      </c>
      <c r="D74" s="5">
        <v>10</v>
      </c>
      <c r="E74" s="5">
        <v>7</v>
      </c>
      <c r="F74" s="5">
        <v>9</v>
      </c>
      <c r="G74" s="5">
        <v>8</v>
      </c>
      <c r="H74" s="5">
        <v>11</v>
      </c>
      <c r="I74" s="5">
        <v>10</v>
      </c>
      <c r="J74" s="5">
        <v>6</v>
      </c>
      <c r="K74" s="5">
        <v>10</v>
      </c>
      <c r="L74" s="5">
        <v>10</v>
      </c>
      <c r="N74" s="146">
        <f>(C74/0.01)*10^($B$74)</f>
        <v>80000000</v>
      </c>
      <c r="O74" s="146">
        <f t="shared" ref="O74:W74" si="72">(D74/0.01)*10^($B$74)</f>
        <v>100000000</v>
      </c>
      <c r="P74" s="146">
        <f t="shared" si="72"/>
        <v>70000000</v>
      </c>
      <c r="Q74" s="146">
        <f t="shared" si="72"/>
        <v>90000000</v>
      </c>
      <c r="R74" s="146">
        <f t="shared" si="72"/>
        <v>80000000</v>
      </c>
      <c r="S74" s="146">
        <f t="shared" si="72"/>
        <v>110000000</v>
      </c>
      <c r="T74" s="146">
        <f t="shared" si="72"/>
        <v>100000000</v>
      </c>
      <c r="U74" s="146">
        <f t="shared" si="72"/>
        <v>60000000</v>
      </c>
      <c r="V74" s="146">
        <f t="shared" si="72"/>
        <v>100000000</v>
      </c>
      <c r="W74" s="146">
        <f t="shared" si="72"/>
        <v>100000000</v>
      </c>
      <c r="X74" s="146">
        <f t="shared" si="47"/>
        <v>89000000</v>
      </c>
      <c r="Y74" s="9" t="s">
        <v>100</v>
      </c>
    </row>
    <row r="75" spans="1:25" x14ac:dyDescent="0.25">
      <c r="A75" s="9" t="s">
        <v>101</v>
      </c>
      <c r="B75" s="5">
        <v>5</v>
      </c>
      <c r="C75" s="5">
        <v>12</v>
      </c>
      <c r="D75" s="5">
        <v>15</v>
      </c>
      <c r="E75" s="5">
        <v>9</v>
      </c>
      <c r="F75" s="5">
        <v>19</v>
      </c>
      <c r="G75" s="5">
        <v>15</v>
      </c>
      <c r="H75" s="5">
        <v>17</v>
      </c>
      <c r="I75" s="5">
        <v>13</v>
      </c>
      <c r="J75" s="5">
        <v>17</v>
      </c>
      <c r="K75" s="5">
        <v>10</v>
      </c>
      <c r="L75" s="5">
        <v>11</v>
      </c>
      <c r="N75" s="146">
        <f>(C75/0.01)*10^($B$75)</f>
        <v>120000000</v>
      </c>
      <c r="O75" s="146">
        <f t="shared" ref="O75:W75" si="73">(D75/0.01)*10^($B$75)</f>
        <v>150000000</v>
      </c>
      <c r="P75" s="146">
        <f t="shared" si="73"/>
        <v>90000000</v>
      </c>
      <c r="Q75" s="146">
        <f t="shared" si="73"/>
        <v>190000000</v>
      </c>
      <c r="R75" s="146">
        <f t="shared" si="73"/>
        <v>150000000</v>
      </c>
      <c r="S75" s="146">
        <f t="shared" si="73"/>
        <v>170000000</v>
      </c>
      <c r="T75" s="146">
        <f t="shared" si="73"/>
        <v>130000000</v>
      </c>
      <c r="U75" s="146">
        <f t="shared" si="73"/>
        <v>170000000</v>
      </c>
      <c r="V75" s="146">
        <f t="shared" si="73"/>
        <v>100000000</v>
      </c>
      <c r="W75" s="146">
        <f t="shared" si="73"/>
        <v>110000000</v>
      </c>
      <c r="X75" s="146">
        <f t="shared" si="47"/>
        <v>138000000</v>
      </c>
      <c r="Y75" s="9" t="s">
        <v>101</v>
      </c>
    </row>
    <row r="76" spans="1:25" x14ac:dyDescent="0.25">
      <c r="A76" s="9" t="s">
        <v>102</v>
      </c>
      <c r="B76" s="5">
        <v>5</v>
      </c>
      <c r="C76" s="5">
        <v>13</v>
      </c>
      <c r="D76" s="5">
        <v>16</v>
      </c>
      <c r="E76" s="5">
        <v>12</v>
      </c>
      <c r="F76" s="5">
        <v>22</v>
      </c>
      <c r="G76" s="5">
        <v>18</v>
      </c>
      <c r="H76" s="5">
        <v>21</v>
      </c>
      <c r="I76" s="5">
        <v>18</v>
      </c>
      <c r="J76" s="5">
        <v>20</v>
      </c>
      <c r="K76" s="5">
        <v>17</v>
      </c>
      <c r="L76" s="5">
        <v>18</v>
      </c>
      <c r="N76" s="146">
        <f>(C76/0.01)*10^($B$76)</f>
        <v>130000000</v>
      </c>
      <c r="O76" s="146">
        <f t="shared" ref="O76:W76" si="74">(D76/0.01)*10^($B$76)</f>
        <v>160000000</v>
      </c>
      <c r="P76" s="146">
        <f t="shared" si="74"/>
        <v>120000000</v>
      </c>
      <c r="Q76" s="146">
        <f t="shared" si="74"/>
        <v>220000000</v>
      </c>
      <c r="R76" s="146">
        <f t="shared" si="74"/>
        <v>180000000</v>
      </c>
      <c r="S76" s="146">
        <f t="shared" si="74"/>
        <v>210000000</v>
      </c>
      <c r="T76" s="146">
        <f t="shared" si="74"/>
        <v>180000000</v>
      </c>
      <c r="U76" s="146">
        <f t="shared" si="74"/>
        <v>200000000</v>
      </c>
      <c r="V76" s="146">
        <f t="shared" si="74"/>
        <v>170000000</v>
      </c>
      <c r="W76" s="146">
        <f t="shared" si="74"/>
        <v>180000000</v>
      </c>
      <c r="X76" s="146">
        <f t="shared" si="47"/>
        <v>175000000</v>
      </c>
      <c r="Y76" s="9" t="s">
        <v>102</v>
      </c>
    </row>
    <row r="77" spans="1:25" x14ac:dyDescent="0.25">
      <c r="A77" s="9" t="s">
        <v>103</v>
      </c>
      <c r="B77" s="5">
        <v>5</v>
      </c>
      <c r="C77" s="5">
        <v>12</v>
      </c>
      <c r="D77" s="5">
        <v>12</v>
      </c>
      <c r="E77" s="5">
        <v>17</v>
      </c>
      <c r="F77" s="5">
        <v>11</v>
      </c>
      <c r="G77" s="5">
        <v>16</v>
      </c>
      <c r="H77" s="5">
        <v>20</v>
      </c>
      <c r="I77" s="5">
        <v>16</v>
      </c>
      <c r="J77" s="5">
        <v>14</v>
      </c>
      <c r="K77" s="5">
        <v>11</v>
      </c>
      <c r="L77" s="5">
        <v>20</v>
      </c>
      <c r="N77" s="146">
        <f>(C77/0.01)*10^($B$77)</f>
        <v>120000000</v>
      </c>
      <c r="O77" s="146">
        <f t="shared" ref="O77:W77" si="75">(D77/0.01)*10^($B$77)</f>
        <v>120000000</v>
      </c>
      <c r="P77" s="146">
        <f t="shared" si="75"/>
        <v>170000000</v>
      </c>
      <c r="Q77" s="146">
        <f t="shared" si="75"/>
        <v>110000000</v>
      </c>
      <c r="R77" s="146">
        <f t="shared" si="75"/>
        <v>160000000</v>
      </c>
      <c r="S77" s="146">
        <f t="shared" si="75"/>
        <v>200000000</v>
      </c>
      <c r="T77" s="146">
        <f t="shared" si="75"/>
        <v>160000000</v>
      </c>
      <c r="U77" s="146">
        <f t="shared" si="75"/>
        <v>140000000</v>
      </c>
      <c r="V77" s="146">
        <f t="shared" si="75"/>
        <v>110000000</v>
      </c>
      <c r="W77" s="146">
        <f t="shared" si="75"/>
        <v>200000000</v>
      </c>
      <c r="X77" s="146">
        <f t="shared" si="47"/>
        <v>149000000</v>
      </c>
      <c r="Y77" s="9" t="s">
        <v>103</v>
      </c>
    </row>
    <row r="78" spans="1:25" x14ac:dyDescent="0.25">
      <c r="A78" s="9" t="s">
        <v>107</v>
      </c>
      <c r="B78" s="5">
        <v>5</v>
      </c>
      <c r="C78" s="5">
        <v>25</v>
      </c>
      <c r="D78" s="5">
        <v>19</v>
      </c>
      <c r="E78" s="5">
        <v>19</v>
      </c>
      <c r="F78" s="5">
        <v>19</v>
      </c>
      <c r="G78" s="5">
        <v>15</v>
      </c>
      <c r="H78" s="5">
        <v>20</v>
      </c>
      <c r="I78" s="5">
        <v>18</v>
      </c>
      <c r="J78" s="5">
        <v>22</v>
      </c>
      <c r="K78" s="5">
        <v>12</v>
      </c>
      <c r="L78" s="5">
        <v>23</v>
      </c>
      <c r="N78" s="146">
        <f>(C78/0.01)*10^($B$78)</f>
        <v>250000000</v>
      </c>
      <c r="O78" s="146">
        <f t="shared" ref="O78:W78" si="76">(D78/0.01)*10^($B$78)</f>
        <v>190000000</v>
      </c>
      <c r="P78" s="146">
        <f t="shared" si="76"/>
        <v>190000000</v>
      </c>
      <c r="Q78" s="146">
        <f t="shared" si="76"/>
        <v>190000000</v>
      </c>
      <c r="R78" s="146">
        <f t="shared" si="76"/>
        <v>150000000</v>
      </c>
      <c r="S78" s="146">
        <f t="shared" si="76"/>
        <v>200000000</v>
      </c>
      <c r="T78" s="146">
        <f t="shared" si="76"/>
        <v>180000000</v>
      </c>
      <c r="U78" s="146">
        <f t="shared" si="76"/>
        <v>220000000</v>
      </c>
      <c r="V78" s="146">
        <f t="shared" si="76"/>
        <v>120000000</v>
      </c>
      <c r="W78" s="146">
        <f t="shared" si="76"/>
        <v>230000000</v>
      </c>
      <c r="X78" s="146">
        <f t="shared" si="47"/>
        <v>192000000</v>
      </c>
      <c r="Y78" s="9" t="s">
        <v>107</v>
      </c>
    </row>
    <row r="79" spans="1:25" x14ac:dyDescent="0.25">
      <c r="A79" s="9" t="s">
        <v>108</v>
      </c>
      <c r="B79" s="5">
        <v>5</v>
      </c>
      <c r="C79" s="5">
        <v>16</v>
      </c>
      <c r="D79" s="5">
        <v>17</v>
      </c>
      <c r="E79" s="5">
        <v>20</v>
      </c>
      <c r="F79" s="5">
        <v>13</v>
      </c>
      <c r="G79" s="5">
        <v>20</v>
      </c>
      <c r="H79" s="5">
        <v>20</v>
      </c>
      <c r="I79" s="5">
        <v>14</v>
      </c>
      <c r="J79" s="5">
        <v>16</v>
      </c>
      <c r="K79" s="5">
        <v>20</v>
      </c>
      <c r="L79" s="5">
        <v>20</v>
      </c>
      <c r="N79" s="146">
        <f>(C79/0.01)*10^($B$79)</f>
        <v>160000000</v>
      </c>
      <c r="O79" s="146">
        <f t="shared" ref="O79:W79" si="77">(D79/0.01)*10^($B$79)</f>
        <v>170000000</v>
      </c>
      <c r="P79" s="146">
        <f t="shared" si="77"/>
        <v>200000000</v>
      </c>
      <c r="Q79" s="146">
        <f t="shared" si="77"/>
        <v>130000000</v>
      </c>
      <c r="R79" s="146">
        <f t="shared" si="77"/>
        <v>200000000</v>
      </c>
      <c r="S79" s="146">
        <f t="shared" si="77"/>
        <v>200000000</v>
      </c>
      <c r="T79" s="146">
        <f t="shared" si="77"/>
        <v>140000000</v>
      </c>
      <c r="U79" s="146">
        <f t="shared" si="77"/>
        <v>160000000</v>
      </c>
      <c r="V79" s="146">
        <f t="shared" si="77"/>
        <v>200000000</v>
      </c>
      <c r="W79" s="146">
        <f t="shared" si="77"/>
        <v>200000000</v>
      </c>
      <c r="X79" s="146">
        <f t="shared" si="47"/>
        <v>176000000</v>
      </c>
      <c r="Y79" s="9" t="s">
        <v>108</v>
      </c>
    </row>
    <row r="80" spans="1:25" x14ac:dyDescent="0.25">
      <c r="A80" s="9" t="s">
        <v>109</v>
      </c>
      <c r="B80" s="5">
        <v>5</v>
      </c>
      <c r="C80" s="5">
        <v>20</v>
      </c>
      <c r="D80" s="5">
        <v>21</v>
      </c>
      <c r="E80" s="5">
        <v>18</v>
      </c>
      <c r="F80" s="5">
        <v>19</v>
      </c>
      <c r="G80" s="5">
        <v>21</v>
      </c>
      <c r="H80" s="5">
        <v>25</v>
      </c>
      <c r="I80" s="5">
        <v>19</v>
      </c>
      <c r="J80" s="5">
        <v>18</v>
      </c>
      <c r="K80" s="5">
        <v>19</v>
      </c>
      <c r="L80" s="5">
        <v>17</v>
      </c>
      <c r="N80" s="146">
        <f>(C80/0.01)*10^($B$80)</f>
        <v>200000000</v>
      </c>
      <c r="O80" s="146">
        <f t="shared" ref="O80:W80" si="78">(D80/0.01)*10^($B$80)</f>
        <v>210000000</v>
      </c>
      <c r="P80" s="146">
        <f t="shared" si="78"/>
        <v>180000000</v>
      </c>
      <c r="Q80" s="146">
        <f t="shared" si="78"/>
        <v>190000000</v>
      </c>
      <c r="R80" s="146">
        <f t="shared" si="78"/>
        <v>210000000</v>
      </c>
      <c r="S80" s="146">
        <f t="shared" si="78"/>
        <v>250000000</v>
      </c>
      <c r="T80" s="146">
        <f t="shared" si="78"/>
        <v>190000000</v>
      </c>
      <c r="U80" s="146">
        <f t="shared" si="78"/>
        <v>180000000</v>
      </c>
      <c r="V80" s="146">
        <f t="shared" si="78"/>
        <v>190000000</v>
      </c>
      <c r="W80" s="146">
        <f t="shared" si="78"/>
        <v>170000000</v>
      </c>
      <c r="X80" s="146">
        <f t="shared" si="47"/>
        <v>197000000</v>
      </c>
      <c r="Y80" s="9" t="s">
        <v>109</v>
      </c>
    </row>
    <row r="81" spans="1:25" x14ac:dyDescent="0.25">
      <c r="A81" s="9" t="s">
        <v>204</v>
      </c>
      <c r="B81" s="5">
        <v>5</v>
      </c>
      <c r="C81" s="5">
        <v>19</v>
      </c>
      <c r="D81" s="5">
        <v>18</v>
      </c>
      <c r="E81" s="5">
        <v>18</v>
      </c>
      <c r="F81" s="5">
        <v>15</v>
      </c>
      <c r="G81" s="5">
        <v>26</v>
      </c>
      <c r="H81" s="5">
        <v>18</v>
      </c>
      <c r="I81" s="5">
        <v>17</v>
      </c>
      <c r="J81" s="5">
        <v>16</v>
      </c>
      <c r="K81" s="5">
        <v>17</v>
      </c>
      <c r="L81" s="5">
        <v>18</v>
      </c>
      <c r="N81" s="146">
        <f>(C81/0.01)*10^($B$81)</f>
        <v>190000000</v>
      </c>
      <c r="O81" s="146">
        <f t="shared" ref="O81:W81" si="79">(D81/0.01)*10^($B$81)</f>
        <v>180000000</v>
      </c>
      <c r="P81" s="146">
        <f t="shared" si="79"/>
        <v>180000000</v>
      </c>
      <c r="Q81" s="146">
        <f t="shared" si="79"/>
        <v>150000000</v>
      </c>
      <c r="R81" s="146">
        <f t="shared" si="79"/>
        <v>260000000</v>
      </c>
      <c r="S81" s="146">
        <f t="shared" si="79"/>
        <v>180000000</v>
      </c>
      <c r="T81" s="146">
        <f t="shared" si="79"/>
        <v>170000000</v>
      </c>
      <c r="U81" s="146">
        <f t="shared" si="79"/>
        <v>160000000</v>
      </c>
      <c r="V81" s="146">
        <f t="shared" si="79"/>
        <v>170000000</v>
      </c>
      <c r="W81" s="146">
        <f t="shared" si="79"/>
        <v>180000000</v>
      </c>
      <c r="X81" s="146">
        <f t="shared" si="47"/>
        <v>182000000</v>
      </c>
      <c r="Y81" s="9" t="s">
        <v>204</v>
      </c>
    </row>
    <row r="82" spans="1:25" x14ac:dyDescent="0.25">
      <c r="A82" s="9" t="s">
        <v>205</v>
      </c>
      <c r="B82" s="5">
        <v>5</v>
      </c>
      <c r="C82" s="5">
        <v>23</v>
      </c>
      <c r="D82" s="5">
        <v>21</v>
      </c>
      <c r="E82" s="5">
        <v>20</v>
      </c>
      <c r="F82" s="5">
        <v>29</v>
      </c>
      <c r="G82" s="5">
        <v>14</v>
      </c>
      <c r="H82" s="5">
        <v>23</v>
      </c>
      <c r="I82" s="5">
        <v>21</v>
      </c>
      <c r="J82" s="5">
        <v>24</v>
      </c>
      <c r="K82" s="5">
        <v>20</v>
      </c>
      <c r="L82" s="5">
        <v>14</v>
      </c>
      <c r="N82" s="146">
        <f>(C82/0.01)*10^($B$82)</f>
        <v>230000000</v>
      </c>
      <c r="O82" s="146">
        <f t="shared" ref="O82:W82" si="80">(D82/0.01)*10^($B$82)</f>
        <v>210000000</v>
      </c>
      <c r="P82" s="146">
        <f t="shared" si="80"/>
        <v>200000000</v>
      </c>
      <c r="Q82" s="146">
        <f t="shared" si="80"/>
        <v>290000000</v>
      </c>
      <c r="R82" s="146">
        <f t="shared" si="80"/>
        <v>140000000</v>
      </c>
      <c r="S82" s="146">
        <f t="shared" si="80"/>
        <v>230000000</v>
      </c>
      <c r="T82" s="146">
        <f t="shared" si="80"/>
        <v>210000000</v>
      </c>
      <c r="U82" s="146">
        <f t="shared" si="80"/>
        <v>240000000</v>
      </c>
      <c r="V82" s="146">
        <f t="shared" si="80"/>
        <v>200000000</v>
      </c>
      <c r="W82" s="146">
        <f t="shared" si="80"/>
        <v>140000000</v>
      </c>
      <c r="X82" s="146">
        <f t="shared" si="47"/>
        <v>209000000</v>
      </c>
      <c r="Y82" s="9" t="s">
        <v>205</v>
      </c>
    </row>
    <row r="83" spans="1:25" x14ac:dyDescent="0.25">
      <c r="A83" s="9" t="s">
        <v>206</v>
      </c>
      <c r="B83" s="5">
        <v>5</v>
      </c>
      <c r="C83" s="5">
        <v>14</v>
      </c>
      <c r="D83" s="5">
        <v>28</v>
      </c>
      <c r="E83" s="5">
        <v>26</v>
      </c>
      <c r="F83" s="5">
        <v>29</v>
      </c>
      <c r="G83" s="5">
        <v>19</v>
      </c>
      <c r="H83" s="5">
        <v>23</v>
      </c>
      <c r="I83" s="5">
        <v>19</v>
      </c>
      <c r="J83" s="5">
        <v>21</v>
      </c>
      <c r="K83" s="5">
        <v>22</v>
      </c>
      <c r="L83" s="5">
        <v>19</v>
      </c>
      <c r="N83" s="146">
        <f>(C83/0.01)*10^($B$83)</f>
        <v>140000000</v>
      </c>
      <c r="O83" s="146">
        <f t="shared" ref="O83:W83" si="81">(D83/0.01)*10^($B$83)</f>
        <v>280000000</v>
      </c>
      <c r="P83" s="146">
        <f t="shared" si="81"/>
        <v>260000000</v>
      </c>
      <c r="Q83" s="146">
        <f t="shared" si="81"/>
        <v>290000000</v>
      </c>
      <c r="R83" s="146">
        <f t="shared" si="81"/>
        <v>190000000</v>
      </c>
      <c r="S83" s="146">
        <f t="shared" si="81"/>
        <v>230000000</v>
      </c>
      <c r="T83" s="146">
        <f t="shared" si="81"/>
        <v>190000000</v>
      </c>
      <c r="U83" s="146">
        <f t="shared" si="81"/>
        <v>210000000</v>
      </c>
      <c r="V83" s="146">
        <f t="shared" si="81"/>
        <v>220000000</v>
      </c>
      <c r="W83" s="146">
        <f t="shared" si="81"/>
        <v>190000000</v>
      </c>
      <c r="X83" s="146">
        <f t="shared" si="47"/>
        <v>220000000</v>
      </c>
      <c r="Y83" s="9" t="s">
        <v>206</v>
      </c>
    </row>
  </sheetData>
  <mergeCells count="8">
    <mergeCell ref="AL4:AP4"/>
    <mergeCell ref="AQ4:AU4"/>
    <mergeCell ref="D4:I4"/>
    <mergeCell ref="J4:O4"/>
    <mergeCell ref="P4:U4"/>
    <mergeCell ref="V4:AA4"/>
    <mergeCell ref="AB4:AF4"/>
    <mergeCell ref="AG4:AK4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8D18-5592-485E-9A8C-B0CE352D79EA}">
  <dimension ref="A1:AA25"/>
  <sheetViews>
    <sheetView workbookViewId="0"/>
  </sheetViews>
  <sheetFormatPr defaultColWidth="8.7109375" defaultRowHeight="15" x14ac:dyDescent="0.25"/>
  <cols>
    <col min="1" max="16384" width="8.7109375" style="5"/>
  </cols>
  <sheetData>
    <row r="1" spans="1:27" x14ac:dyDescent="0.25">
      <c r="A1" s="8" t="s">
        <v>207</v>
      </c>
      <c r="F1" s="5">
        <v>20210524</v>
      </c>
    </row>
    <row r="2" spans="1:27" x14ac:dyDescent="0.25">
      <c r="A2" s="9" t="s">
        <v>10</v>
      </c>
    </row>
    <row r="3" spans="1:27" x14ac:dyDescent="0.25">
      <c r="A3" s="9" t="s">
        <v>208</v>
      </c>
    </row>
    <row r="4" spans="1:27" x14ac:dyDescent="0.25">
      <c r="C4" s="382" t="s">
        <v>12</v>
      </c>
      <c r="D4" s="383"/>
      <c r="E4" s="383"/>
      <c r="F4" s="383"/>
      <c r="G4" s="384"/>
      <c r="H4" s="382" t="s">
        <v>5</v>
      </c>
      <c r="I4" s="383"/>
      <c r="J4" s="383"/>
      <c r="K4" s="383"/>
      <c r="L4" s="384"/>
      <c r="M4" s="382" t="s">
        <v>124</v>
      </c>
      <c r="N4" s="383"/>
      <c r="O4" s="383"/>
      <c r="P4" s="383"/>
      <c r="Q4" s="384"/>
      <c r="R4" s="382" t="s">
        <v>126</v>
      </c>
      <c r="S4" s="383"/>
      <c r="T4" s="383"/>
      <c r="U4" s="383"/>
      <c r="V4" s="384"/>
      <c r="W4" s="382" t="s">
        <v>128</v>
      </c>
      <c r="X4" s="383"/>
      <c r="Y4" s="383"/>
      <c r="Z4" s="383"/>
      <c r="AA4" s="384"/>
    </row>
    <row r="5" spans="1:27" x14ac:dyDescent="0.25">
      <c r="B5" s="9" t="s">
        <v>16</v>
      </c>
      <c r="C5" s="12">
        <v>1</v>
      </c>
      <c r="D5" s="13">
        <v>2</v>
      </c>
      <c r="E5" s="13">
        <v>3</v>
      </c>
      <c r="F5" s="14" t="s">
        <v>17</v>
      </c>
      <c r="G5" s="15" t="s">
        <v>18</v>
      </c>
      <c r="H5" s="12">
        <v>1</v>
      </c>
      <c r="I5" s="13">
        <v>2</v>
      </c>
      <c r="J5" s="13">
        <v>3</v>
      </c>
      <c r="K5" s="14" t="s">
        <v>17</v>
      </c>
      <c r="L5" s="15" t="s">
        <v>18</v>
      </c>
      <c r="M5" s="12">
        <v>1</v>
      </c>
      <c r="N5" s="13">
        <v>2</v>
      </c>
      <c r="O5" s="13">
        <v>3</v>
      </c>
      <c r="P5" s="14" t="s">
        <v>17</v>
      </c>
      <c r="Q5" s="15" t="s">
        <v>18</v>
      </c>
      <c r="R5" s="13">
        <v>1</v>
      </c>
      <c r="S5" s="13">
        <v>2</v>
      </c>
      <c r="T5" s="13">
        <v>3</v>
      </c>
      <c r="U5" s="14" t="s">
        <v>17</v>
      </c>
      <c r="V5" s="15" t="s">
        <v>18</v>
      </c>
      <c r="W5" s="13">
        <v>1</v>
      </c>
      <c r="X5" s="13">
        <v>2</v>
      </c>
      <c r="Y5" s="13">
        <v>3</v>
      </c>
      <c r="Z5" s="14" t="s">
        <v>17</v>
      </c>
      <c r="AA5" s="15" t="s">
        <v>18</v>
      </c>
    </row>
    <row r="6" spans="1:27" x14ac:dyDescent="0.25">
      <c r="A6" s="5" t="s">
        <v>19</v>
      </c>
      <c r="B6" s="122">
        <v>0</v>
      </c>
      <c r="C6" s="273">
        <v>0.03</v>
      </c>
      <c r="D6" s="274">
        <v>2.9000000000000001E-2</v>
      </c>
      <c r="E6" s="274">
        <v>2.5999999999999999E-2</v>
      </c>
      <c r="F6" s="200">
        <f>AVERAGE(C6:E6)</f>
        <v>2.8333333333333332E-2</v>
      </c>
      <c r="G6" s="110">
        <f>STDEV(C6:E6)</f>
        <v>2.081665999466133E-3</v>
      </c>
      <c r="H6" s="201">
        <v>7.01</v>
      </c>
      <c r="I6" s="119">
        <v>7</v>
      </c>
      <c r="J6" s="119">
        <v>7</v>
      </c>
      <c r="K6" s="202">
        <f>AVERAGE(H6:J6)</f>
        <v>7.003333333333333</v>
      </c>
      <c r="L6" s="51">
        <f>STDEV(H6:J6)</f>
        <v>5.7735026918961348E-3</v>
      </c>
      <c r="M6" s="201">
        <v>20.743911325749476</v>
      </c>
      <c r="N6" s="119">
        <v>20.863628136759598</v>
      </c>
      <c r="O6" s="119">
        <v>20.526260671667323</v>
      </c>
      <c r="P6" s="202">
        <f>AVERAGE(M6:O6)</f>
        <v>20.711266711392131</v>
      </c>
      <c r="Q6" s="51">
        <f>STDEV(M6:O6)</f>
        <v>0.17103641355162216</v>
      </c>
      <c r="R6" s="55">
        <v>0</v>
      </c>
      <c r="S6" s="55">
        <v>0</v>
      </c>
      <c r="T6" s="55">
        <v>5.7282046795100535E-4</v>
      </c>
      <c r="U6" s="202">
        <f>AVERAGE(R6:T6)</f>
        <v>1.9094015598366846E-4</v>
      </c>
      <c r="V6" s="51">
        <f>STDEV(R6:T6)</f>
        <v>3.3071805136884031E-4</v>
      </c>
      <c r="W6" s="201">
        <v>0</v>
      </c>
      <c r="X6" s="119">
        <v>0</v>
      </c>
      <c r="Y6" s="119">
        <v>0.19060113603929721</v>
      </c>
      <c r="Z6" s="202">
        <f>AVERAGE(W6:Y6)</f>
        <v>6.353371201309907E-2</v>
      </c>
      <c r="AA6" s="51">
        <f>STDEV(W6:Y6)</f>
        <v>0.11004361720013674</v>
      </c>
    </row>
    <row r="7" spans="1:27" x14ac:dyDescent="0.25">
      <c r="A7" s="5" t="s">
        <v>20</v>
      </c>
      <c r="B7" s="122">
        <v>1</v>
      </c>
      <c r="C7" s="275">
        <v>4.7E-2</v>
      </c>
      <c r="D7" s="276">
        <v>4.7E-2</v>
      </c>
      <c r="E7" s="276">
        <v>4.2999999999999997E-2</v>
      </c>
      <c r="F7" s="21">
        <f>AVERAGE(C7:E7)</f>
        <v>4.5666666666666668E-2</v>
      </c>
      <c r="G7" s="22">
        <f>STDEV(C7:E7)</f>
        <v>2.3094010767585054E-3</v>
      </c>
      <c r="H7" s="23">
        <v>7</v>
      </c>
      <c r="I7" s="24">
        <v>7</v>
      </c>
      <c r="J7" s="24">
        <v>6.99</v>
      </c>
      <c r="K7" s="25">
        <f>AVERAGE(H7:J7)</f>
        <v>6.996666666666667</v>
      </c>
      <c r="L7" s="26">
        <f>STDEV(H7:J7)</f>
        <v>5.7735026918961348E-3</v>
      </c>
      <c r="M7" s="23">
        <v>20.378356802111579</v>
      </c>
      <c r="N7" s="24">
        <v>20.482882972614838</v>
      </c>
      <c r="O7" s="24">
        <v>20.668052006697991</v>
      </c>
      <c r="P7" s="25">
        <f>AVERAGE(M7:O7)</f>
        <v>20.509763927141467</v>
      </c>
      <c r="Q7" s="26">
        <f>STDEV(M7:O7)</f>
        <v>0.14670639787442077</v>
      </c>
      <c r="R7" s="55">
        <v>1.2825957464834516E-4</v>
      </c>
      <c r="S7" s="55">
        <v>1.7915456069135196E-4</v>
      </c>
      <c r="T7" s="55">
        <v>2.9940631289817352E-4</v>
      </c>
      <c r="U7" s="25">
        <f>AVERAGE(R7:T7)</f>
        <v>2.0227348274595689E-4</v>
      </c>
      <c r="V7" s="26">
        <f>STDEV(R7:T7)</f>
        <v>8.7884383829631464E-5</v>
      </c>
      <c r="W7" s="23">
        <v>6.6285803816538119E-2</v>
      </c>
      <c r="X7" s="24">
        <v>0.14241166073829328</v>
      </c>
      <c r="Y7" s="24">
        <v>5.3833580120299231</v>
      </c>
      <c r="Z7" s="25">
        <f t="shared" ref="Z7:Z18" si="0">AVERAGE(W7:Y7)</f>
        <v>1.8640184921949181</v>
      </c>
      <c r="AA7" s="26">
        <f t="shared" ref="AA7:AA18" si="1">STDEV(W7:Y7)</f>
        <v>3.0480750939613319</v>
      </c>
    </row>
    <row r="8" spans="1:27" x14ac:dyDescent="0.25">
      <c r="A8" s="5" t="s">
        <v>22</v>
      </c>
      <c r="B8" s="28">
        <v>2</v>
      </c>
      <c r="C8" s="277">
        <v>7.9000000000000001E-2</v>
      </c>
      <c r="D8" s="278">
        <v>7.8E-2</v>
      </c>
      <c r="E8" s="278">
        <v>7.0000000000000007E-2</v>
      </c>
      <c r="F8" s="31">
        <f>AVERAGE(C8:E8)</f>
        <v>7.5666666666666674E-2</v>
      </c>
      <c r="G8" s="32">
        <f>STDEV(C8:E8)</f>
        <v>4.932882862316244E-3</v>
      </c>
      <c r="H8" s="279">
        <v>6.99</v>
      </c>
      <c r="I8" s="280">
        <v>6.99</v>
      </c>
      <c r="J8" s="280">
        <v>6.99</v>
      </c>
      <c r="K8" s="35">
        <f>AVERAGE(H8:J8)</f>
        <v>6.9899999999999993</v>
      </c>
      <c r="L8" s="36">
        <f>STDEV(H8:J8)</f>
        <v>1.0877919644084146E-15</v>
      </c>
      <c r="M8" s="33">
        <v>20.26053474986254</v>
      </c>
      <c r="N8" s="34">
        <v>21.12463454950414</v>
      </c>
      <c r="O8" s="34">
        <v>20.28184692764529</v>
      </c>
      <c r="P8" s="35">
        <f>AVERAGE(M8:O8)</f>
        <v>20.555672075670657</v>
      </c>
      <c r="Q8" s="36">
        <f>STDEV(M8:O8)</f>
        <v>0.49285116891765507</v>
      </c>
      <c r="R8" s="115">
        <v>6.4786417976988198E-4</v>
      </c>
      <c r="S8" s="115">
        <v>1.2360846614061585E-3</v>
      </c>
      <c r="T8" s="115">
        <v>1.2377212118140171E-3</v>
      </c>
      <c r="U8" s="35">
        <f>AVERAGE(R8:T8)</f>
        <v>1.0405566843300193E-3</v>
      </c>
      <c r="V8" s="36">
        <f>STDEV(R8:T8)</f>
        <v>3.4008266925498332E-4</v>
      </c>
      <c r="W8" s="33">
        <v>0.34660210824181387</v>
      </c>
      <c r="X8" s="34">
        <v>0.41578052347525551</v>
      </c>
      <c r="Y8" s="34">
        <v>0.53563995979942958</v>
      </c>
      <c r="Z8" s="35">
        <f t="shared" si="0"/>
        <v>0.43267419717216632</v>
      </c>
      <c r="AA8" s="36">
        <f t="shared" si="1"/>
        <v>9.5644521477254718E-2</v>
      </c>
    </row>
    <row r="9" spans="1:27" x14ac:dyDescent="0.25">
      <c r="A9" s="5" t="s">
        <v>23</v>
      </c>
      <c r="B9" s="28">
        <v>3</v>
      </c>
      <c r="C9" s="277">
        <v>0.155</v>
      </c>
      <c r="D9" s="278">
        <v>0.155</v>
      </c>
      <c r="E9" s="278">
        <v>0.14199999999999999</v>
      </c>
      <c r="F9" s="31">
        <f>AVERAGE(C9:E9)</f>
        <v>0.15066666666666664</v>
      </c>
      <c r="G9" s="32">
        <f>STDEV(C9:E9)</f>
        <v>7.5055534994651419E-3</v>
      </c>
      <c r="H9" s="279">
        <v>6.96</v>
      </c>
      <c r="I9" s="280">
        <v>6.96</v>
      </c>
      <c r="J9" s="280">
        <v>6.96</v>
      </c>
      <c r="K9" s="35">
        <f>AVERAGE(H9:J9)</f>
        <v>6.96</v>
      </c>
      <c r="L9" s="36">
        <f>STDEV(H9:J9)</f>
        <v>0</v>
      </c>
      <c r="M9" s="33">
        <v>20.506226698248707</v>
      </c>
      <c r="N9" s="34">
        <v>19.397363621911872</v>
      </c>
      <c r="O9" s="34">
        <v>20.025109249085514</v>
      </c>
      <c r="P9" s="35">
        <f>AVERAGE(M9:O9)</f>
        <v>19.976233189748697</v>
      </c>
      <c r="Q9" s="36">
        <f>STDEV(M9:O9)</f>
        <v>0.55604494638295143</v>
      </c>
      <c r="R9" s="115">
        <v>2.1022055272540883E-3</v>
      </c>
      <c r="S9" s="115">
        <v>1.3616751489046596E-3</v>
      </c>
      <c r="T9" s="115">
        <v>5.7042483866215539E-4</v>
      </c>
      <c r="U9" s="35">
        <f>AVERAGE(R9:T9)</f>
        <v>1.344768504940301E-3</v>
      </c>
      <c r="V9" s="36">
        <f>STDEV(R9:T9)</f>
        <v>7.6603028363335433E-4</v>
      </c>
      <c r="W9" s="33">
        <v>2.0018532296377125</v>
      </c>
      <c r="X9" s="34">
        <v>0.69401349816832258</v>
      </c>
      <c r="Y9" s="34">
        <v>0.63924962769907634</v>
      </c>
      <c r="Z9" s="35">
        <f t="shared" si="0"/>
        <v>1.1117054518350371</v>
      </c>
      <c r="AA9" s="36">
        <f t="shared" si="1"/>
        <v>0.77137673682998376</v>
      </c>
    </row>
    <row r="10" spans="1:27" x14ac:dyDescent="0.25">
      <c r="A10" s="5" t="s">
        <v>24</v>
      </c>
      <c r="B10" s="28">
        <v>4</v>
      </c>
      <c r="C10" s="277">
        <v>0.28799999999999998</v>
      </c>
      <c r="D10" s="278">
        <v>0.28799999999999998</v>
      </c>
      <c r="E10" s="278">
        <v>0.26800000000000002</v>
      </c>
      <c r="F10" s="31">
        <f>AVERAGE(C10:E10)</f>
        <v>0.28133333333333332</v>
      </c>
      <c r="G10" s="32">
        <f>STDEV(C10:E10)</f>
        <v>1.1547005383792493E-2</v>
      </c>
      <c r="H10" s="279">
        <v>6.92</v>
      </c>
      <c r="I10" s="280">
        <v>6.92</v>
      </c>
      <c r="J10" s="280">
        <v>6.92</v>
      </c>
      <c r="K10" s="35">
        <f>AVERAGE(H10:J10)</f>
        <v>6.919999999999999</v>
      </c>
      <c r="L10" s="36">
        <f>STDEV(H10:J10)</f>
        <v>1.0877919644084146E-15</v>
      </c>
      <c r="M10" s="33">
        <v>18.842588966934684</v>
      </c>
      <c r="N10" s="34">
        <v>19.486652166051108</v>
      </c>
      <c r="O10" s="34">
        <v>19.273924410992233</v>
      </c>
      <c r="P10" s="35">
        <f>AVERAGE(M10:O10)</f>
        <v>19.201055181326009</v>
      </c>
      <c r="Q10" s="36">
        <f>STDEV(M10:O10)</f>
        <v>0.32815666165435725</v>
      </c>
      <c r="R10" s="115">
        <v>2.3892866998524109E-5</v>
      </c>
      <c r="S10" s="115">
        <v>1.2082162910466177E-4</v>
      </c>
      <c r="T10" s="115">
        <v>6.8563413026842424E-5</v>
      </c>
      <c r="U10" s="35">
        <f>AVERAGE(R10:T10)</f>
        <v>7.1092636376676103E-5</v>
      </c>
      <c r="V10" s="36">
        <f>STDEV(R10:T10)</f>
        <v>4.8513853268134298E-5</v>
      </c>
      <c r="W10" s="33">
        <v>1.2253823726674242</v>
      </c>
      <c r="X10" s="34">
        <v>3.2200386146328928</v>
      </c>
      <c r="Y10" s="34">
        <v>1.3185570687461254</v>
      </c>
      <c r="Z10" s="35">
        <f t="shared" si="0"/>
        <v>1.9213260186821473</v>
      </c>
      <c r="AA10" s="36">
        <f t="shared" si="1"/>
        <v>1.1256825423529424</v>
      </c>
    </row>
    <row r="11" spans="1:27" x14ac:dyDescent="0.25">
      <c r="A11" s="5" t="s">
        <v>40</v>
      </c>
      <c r="B11" s="28">
        <v>5</v>
      </c>
      <c r="C11" s="277">
        <v>0.52900000000000003</v>
      </c>
      <c r="D11" s="278">
        <v>0.53800000000000003</v>
      </c>
      <c r="E11" s="278">
        <v>0.501</v>
      </c>
      <c r="F11" s="31">
        <f t="shared" ref="F11:F18" si="2">AVERAGE(C11:E11)</f>
        <v>0.52266666666666672</v>
      </c>
      <c r="G11" s="32">
        <f t="shared" ref="G11:G18" si="3">STDEV(C11:E11)</f>
        <v>1.9295940851208421E-2</v>
      </c>
      <c r="H11" s="279">
        <v>6.84</v>
      </c>
      <c r="I11" s="280">
        <v>6.84</v>
      </c>
      <c r="J11" s="280">
        <v>6.84</v>
      </c>
      <c r="K11" s="35">
        <f t="shared" ref="K11:K18" si="4">AVERAGE(H11:J11)</f>
        <v>6.84</v>
      </c>
      <c r="L11" s="36">
        <f t="shared" ref="L11:L18" si="5">STDEV(H11:J11)</f>
        <v>0</v>
      </c>
      <c r="M11" s="33">
        <v>16.203573916549637</v>
      </c>
      <c r="N11" s="34">
        <v>17.154855040231091</v>
      </c>
      <c r="O11" s="34">
        <v>17.805184232591184</v>
      </c>
      <c r="P11" s="35">
        <f t="shared" ref="P11:P18" si="6">AVERAGE(M11:O11)</f>
        <v>17.054537729790638</v>
      </c>
      <c r="Q11" s="36">
        <f t="shared" ref="Q11:Q18" si="7">STDEV(M11:O11)</f>
        <v>0.80550392500172285</v>
      </c>
      <c r="R11" s="115">
        <v>1.7413578730056094E-4</v>
      </c>
      <c r="S11" s="115">
        <v>2.3816234668067097E-4</v>
      </c>
      <c r="T11" s="115">
        <v>3.4529257480342228E-4</v>
      </c>
      <c r="U11" s="35">
        <f t="shared" ref="U11:U18" si="8">AVERAGE(R11:T11)</f>
        <v>2.5253023626155139E-4</v>
      </c>
      <c r="V11" s="36">
        <f t="shared" ref="V11:V18" si="9">STDEV(R11:T11)</f>
        <v>8.6478255448009514E-5</v>
      </c>
      <c r="W11" s="33">
        <v>1.9775889039375028</v>
      </c>
      <c r="X11" s="34">
        <v>2.9309388202064595</v>
      </c>
      <c r="Y11" s="34">
        <v>1.9816523598937457</v>
      </c>
      <c r="Z11" s="35">
        <f t="shared" si="0"/>
        <v>2.296726694679236</v>
      </c>
      <c r="AA11" s="36">
        <f t="shared" si="1"/>
        <v>0.54924756990167678</v>
      </c>
    </row>
    <row r="12" spans="1:27" x14ac:dyDescent="0.25">
      <c r="A12" s="5" t="s">
        <v>46</v>
      </c>
      <c r="B12" s="28">
        <v>6</v>
      </c>
      <c r="C12" s="277">
        <f>0.434*(10/4)</f>
        <v>1.085</v>
      </c>
      <c r="D12" s="278">
        <f>0.428*(10/4)</f>
        <v>1.07</v>
      </c>
      <c r="E12" s="278">
        <f>0.395*(10/4)</f>
        <v>0.98750000000000004</v>
      </c>
      <c r="F12" s="31">
        <f t="shared" si="2"/>
        <v>1.0475000000000001</v>
      </c>
      <c r="G12" s="32">
        <f t="shared" si="3"/>
        <v>5.2499999999999977E-2</v>
      </c>
      <c r="H12" s="279">
        <v>6.73</v>
      </c>
      <c r="I12" s="280">
        <v>6.73</v>
      </c>
      <c r="J12" s="280">
        <v>6.74</v>
      </c>
      <c r="K12" s="35">
        <f t="shared" si="4"/>
        <v>6.7333333333333343</v>
      </c>
      <c r="L12" s="36">
        <f t="shared" si="5"/>
        <v>5.7735026918961348E-3</v>
      </c>
      <c r="M12" s="33">
        <v>14.648480871685431</v>
      </c>
      <c r="N12" s="34">
        <v>13.793249551110831</v>
      </c>
      <c r="O12" s="34">
        <v>13.75813328144551</v>
      </c>
      <c r="P12" s="35">
        <f t="shared" si="6"/>
        <v>14.066621234747258</v>
      </c>
      <c r="Q12" s="36">
        <f t="shared" si="7"/>
        <v>0.50421103312221283</v>
      </c>
      <c r="R12" s="115">
        <v>3.0091399544219204E-4</v>
      </c>
      <c r="S12" s="115">
        <v>1.1584712981011949E-4</v>
      </c>
      <c r="T12" s="115">
        <v>4.5714749240482723E-4</v>
      </c>
      <c r="U12" s="35">
        <f t="shared" si="8"/>
        <v>2.9130287255237959E-4</v>
      </c>
      <c r="V12" s="36">
        <f t="shared" si="9"/>
        <v>1.7085304983880753E-4</v>
      </c>
      <c r="W12" s="33">
        <v>4.0016700135932251</v>
      </c>
      <c r="X12" s="34">
        <v>3.9845089046141067</v>
      </c>
      <c r="Y12" s="34">
        <v>2.9870330106882843</v>
      </c>
      <c r="Z12" s="35">
        <f t="shared" si="0"/>
        <v>3.6577373096318717</v>
      </c>
      <c r="AA12" s="36">
        <f t="shared" si="1"/>
        <v>0.58091033592234209</v>
      </c>
    </row>
    <row r="13" spans="1:27" x14ac:dyDescent="0.25">
      <c r="A13" s="5" t="s">
        <v>65</v>
      </c>
      <c r="B13" s="122">
        <v>7</v>
      </c>
      <c r="C13" s="275">
        <f>0.305*(10/2)</f>
        <v>1.5249999999999999</v>
      </c>
      <c r="D13" s="276">
        <f>0.342*(10/2)</f>
        <v>1.7100000000000002</v>
      </c>
      <c r="E13" s="276">
        <f>0.309*(10/2)</f>
        <v>1.5449999999999999</v>
      </c>
      <c r="F13" s="21">
        <f t="shared" si="2"/>
        <v>1.5933333333333335</v>
      </c>
      <c r="G13" s="22">
        <f t="shared" si="3"/>
        <v>0.10152996273678704</v>
      </c>
      <c r="H13" s="281">
        <v>6.61</v>
      </c>
      <c r="I13" s="282">
        <v>6.6</v>
      </c>
      <c r="J13" s="282">
        <v>6.61</v>
      </c>
      <c r="K13" s="25">
        <f t="shared" si="4"/>
        <v>6.6066666666666665</v>
      </c>
      <c r="L13" s="26">
        <f t="shared" si="5"/>
        <v>5.7735026918966474E-3</v>
      </c>
      <c r="M13" s="23">
        <v>10.378771143947912</v>
      </c>
      <c r="N13" s="24">
        <v>10.063375174993363</v>
      </c>
      <c r="O13" s="24">
        <v>10.400267971864356</v>
      </c>
      <c r="P13" s="25">
        <f t="shared" si="6"/>
        <v>10.280804763601877</v>
      </c>
      <c r="Q13" s="26">
        <f t="shared" si="7"/>
        <v>0.18860606539681601</v>
      </c>
      <c r="R13" s="55">
        <v>0</v>
      </c>
      <c r="S13" s="55">
        <v>0</v>
      </c>
      <c r="T13" s="55">
        <v>0</v>
      </c>
      <c r="U13" s="25">
        <f t="shared" si="8"/>
        <v>0</v>
      </c>
      <c r="V13" s="26">
        <f t="shared" si="9"/>
        <v>0</v>
      </c>
      <c r="W13" s="23">
        <v>4.3338597177887204</v>
      </c>
      <c r="X13" s="24">
        <v>6.6117421409183201</v>
      </c>
      <c r="Y13" s="24">
        <v>5.554077819776075</v>
      </c>
      <c r="Z13" s="25">
        <f t="shared" si="0"/>
        <v>5.4998932261610385</v>
      </c>
      <c r="AA13" s="26">
        <f t="shared" si="1"/>
        <v>1.139907479157678</v>
      </c>
    </row>
    <row r="14" spans="1:27" x14ac:dyDescent="0.25">
      <c r="A14" s="5" t="s">
        <v>66</v>
      </c>
      <c r="B14" s="122">
        <v>8</v>
      </c>
      <c r="C14" s="275">
        <f>0.235*(10/1)</f>
        <v>2.3499999999999996</v>
      </c>
      <c r="D14" s="276">
        <f>0.251*(10/1)</f>
        <v>2.5099999999999998</v>
      </c>
      <c r="E14" s="276">
        <f>0.23*(10/1)</f>
        <v>2.3000000000000003</v>
      </c>
      <c r="F14" s="21">
        <f t="shared" si="2"/>
        <v>2.3866666666666667</v>
      </c>
      <c r="G14" s="22">
        <f t="shared" si="3"/>
        <v>0.10969655114602873</v>
      </c>
      <c r="H14" s="281">
        <v>6.34</v>
      </c>
      <c r="I14" s="282">
        <v>6.31</v>
      </c>
      <c r="J14" s="282">
        <v>6.34</v>
      </c>
      <c r="K14" s="25">
        <f t="shared" si="4"/>
        <v>6.3299999999999992</v>
      </c>
      <c r="L14" s="26">
        <f t="shared" si="5"/>
        <v>1.7320508075688915E-2</v>
      </c>
      <c r="M14" s="23">
        <v>4.2582383071032552</v>
      </c>
      <c r="N14" s="24">
        <v>3.8798916892727262</v>
      </c>
      <c r="O14" s="24">
        <v>4.8044116044151179</v>
      </c>
      <c r="P14" s="25">
        <f t="shared" si="6"/>
        <v>4.3141805335970327</v>
      </c>
      <c r="Q14" s="26">
        <f t="shared" si="7"/>
        <v>0.46479180059735847</v>
      </c>
      <c r="R14" s="55">
        <v>3.1793514371658902E-4</v>
      </c>
      <c r="S14" s="55">
        <v>2.3029444113198966E-4</v>
      </c>
      <c r="T14" s="55">
        <v>5.0752883882126112E-5</v>
      </c>
      <c r="U14" s="25">
        <f t="shared" si="8"/>
        <v>1.996608229102349E-4</v>
      </c>
      <c r="V14" s="26">
        <f t="shared" si="9"/>
        <v>1.3619986753510364E-4</v>
      </c>
      <c r="W14" s="23">
        <v>6.0638374087133355</v>
      </c>
      <c r="X14" s="24">
        <v>6.7991717481425864</v>
      </c>
      <c r="Y14" s="24">
        <v>6.6432997135510075</v>
      </c>
      <c r="Z14" s="25">
        <f t="shared" si="0"/>
        <v>6.5021029568023101</v>
      </c>
      <c r="AA14" s="26">
        <f t="shared" si="1"/>
        <v>0.38746811581500018</v>
      </c>
    </row>
    <row r="15" spans="1:27" x14ac:dyDescent="0.25">
      <c r="A15" s="5" t="s">
        <v>142</v>
      </c>
      <c r="B15" s="122">
        <v>9</v>
      </c>
      <c r="C15" s="275">
        <f>0.381*(10/1)</f>
        <v>3.81</v>
      </c>
      <c r="D15" s="276">
        <f>0.338*(10/1)</f>
        <v>3.3800000000000003</v>
      </c>
      <c r="E15" s="276">
        <f>0.317*(10/1)</f>
        <v>3.17</v>
      </c>
      <c r="F15" s="21">
        <f t="shared" si="2"/>
        <v>3.4533333333333331</v>
      </c>
      <c r="G15" s="22">
        <f t="shared" si="3"/>
        <v>0.32624121954978857</v>
      </c>
      <c r="H15" s="281">
        <v>6.12</v>
      </c>
      <c r="I15" s="282">
        <v>6.12</v>
      </c>
      <c r="J15" s="282">
        <v>6.11</v>
      </c>
      <c r="K15" s="25">
        <f t="shared" si="4"/>
        <v>6.1166666666666671</v>
      </c>
      <c r="L15" s="26">
        <f t="shared" si="5"/>
        <v>5.7735026918961348E-3</v>
      </c>
      <c r="M15" s="23">
        <v>4.5181702929292401E-3</v>
      </c>
      <c r="N15" s="24">
        <v>4.2132070948466037E-3</v>
      </c>
      <c r="O15" s="24">
        <v>7.6767047338689729E-3</v>
      </c>
      <c r="P15" s="25">
        <f t="shared" si="6"/>
        <v>5.4693607072149389E-3</v>
      </c>
      <c r="Q15" s="26">
        <f t="shared" si="7"/>
        <v>1.917687768394566E-3</v>
      </c>
      <c r="R15" s="55">
        <v>3.7602209799348186E-5</v>
      </c>
      <c r="S15" s="55">
        <v>1.6206499515998417E-3</v>
      </c>
      <c r="T15" s="55">
        <v>0</v>
      </c>
      <c r="U15" s="25">
        <f t="shared" si="8"/>
        <v>5.5275072046639658E-4</v>
      </c>
      <c r="V15" s="26">
        <f t="shared" si="9"/>
        <v>9.2501894977184158E-4</v>
      </c>
      <c r="W15" s="23">
        <v>8.1441676369089286</v>
      </c>
      <c r="X15" s="24">
        <v>7.4557575802581093</v>
      </c>
      <c r="Y15" s="24">
        <v>7.8385489907065233</v>
      </c>
      <c r="Z15" s="25">
        <f t="shared" si="0"/>
        <v>7.8128247359578538</v>
      </c>
      <c r="AA15" s="26">
        <f t="shared" si="1"/>
        <v>0.34492521578782392</v>
      </c>
    </row>
    <row r="16" spans="1:27" x14ac:dyDescent="0.25">
      <c r="A16" s="5" t="s">
        <v>143</v>
      </c>
      <c r="B16" s="122">
        <v>10</v>
      </c>
      <c r="C16" s="19">
        <f>0.336*(10/1)</f>
        <v>3.3600000000000003</v>
      </c>
      <c r="D16" s="20">
        <f>0.32*(10/1)</f>
        <v>3.2</v>
      </c>
      <c r="E16" s="20">
        <f>0.307*(10/1)</f>
        <v>3.07</v>
      </c>
      <c r="F16" s="21">
        <f t="shared" si="2"/>
        <v>3.2100000000000004</v>
      </c>
      <c r="G16" s="22">
        <f t="shared" si="3"/>
        <v>0.14525839046333974</v>
      </c>
      <c r="H16" s="281">
        <v>6.24</v>
      </c>
      <c r="I16" s="282">
        <v>6.25</v>
      </c>
      <c r="J16" s="282"/>
      <c r="K16" s="25">
        <f t="shared" si="4"/>
        <v>6.2450000000000001</v>
      </c>
      <c r="L16" s="26">
        <f t="shared" si="5"/>
        <v>7.0710678118653244E-3</v>
      </c>
      <c r="M16" s="93">
        <v>0</v>
      </c>
      <c r="N16" s="94">
        <v>0</v>
      </c>
      <c r="O16" s="94">
        <v>6.5520388715907974E-3</v>
      </c>
      <c r="P16" s="25">
        <f t="shared" si="6"/>
        <v>2.1840129571969323E-3</v>
      </c>
      <c r="Q16" s="26">
        <f t="shared" si="7"/>
        <v>3.7828214062538387E-3</v>
      </c>
      <c r="R16" s="264">
        <v>9.3391545680731735E-5</v>
      </c>
      <c r="S16" s="264">
        <v>6.3505490629899158E-5</v>
      </c>
      <c r="T16" s="264">
        <v>4.2450322447107336E-4</v>
      </c>
      <c r="U16" s="25">
        <f t="shared" si="8"/>
        <v>1.9380008692723477E-4</v>
      </c>
      <c r="V16" s="26">
        <f t="shared" si="9"/>
        <v>2.0035280713295191E-4</v>
      </c>
      <c r="W16" s="93">
        <v>6.0469237760862313</v>
      </c>
      <c r="X16" s="94">
        <v>5.0315319676883323</v>
      </c>
      <c r="Y16" s="94">
        <v>9.4642076885900543</v>
      </c>
      <c r="Z16" s="25">
        <f t="shared" si="0"/>
        <v>6.8475544774548736</v>
      </c>
      <c r="AA16" s="26">
        <f t="shared" si="1"/>
        <v>2.3222641218535891</v>
      </c>
    </row>
    <row r="17" spans="1:27" x14ac:dyDescent="0.25">
      <c r="A17" s="5" t="s">
        <v>144</v>
      </c>
      <c r="B17" s="122">
        <v>11</v>
      </c>
      <c r="C17" s="19">
        <f>0.341*10</f>
        <v>3.41</v>
      </c>
      <c r="D17" s="20">
        <f>0.394*10</f>
        <v>3.9400000000000004</v>
      </c>
      <c r="E17" s="20">
        <f>0.348*10</f>
        <v>3.4799999999999995</v>
      </c>
      <c r="F17" s="21">
        <f t="shared" si="2"/>
        <v>3.61</v>
      </c>
      <c r="G17" s="22">
        <f t="shared" si="3"/>
        <v>0.28792360097775965</v>
      </c>
      <c r="H17" s="281">
        <v>6.38</v>
      </c>
      <c r="I17" s="282">
        <v>6.36</v>
      </c>
      <c r="J17" s="282">
        <v>6.37</v>
      </c>
      <c r="K17" s="25">
        <f t="shared" si="4"/>
        <v>6.37</v>
      </c>
      <c r="L17" s="26">
        <f t="shared" si="5"/>
        <v>9.9999999999997868E-3</v>
      </c>
      <c r="M17" s="23">
        <v>0</v>
      </c>
      <c r="N17" s="24">
        <v>0</v>
      </c>
      <c r="O17" s="24">
        <v>0</v>
      </c>
      <c r="P17" s="25">
        <f t="shared" si="6"/>
        <v>0</v>
      </c>
      <c r="Q17" s="26">
        <f t="shared" si="7"/>
        <v>0</v>
      </c>
      <c r="R17" s="55">
        <v>3.1060321699438726E-5</v>
      </c>
      <c r="S17" s="55">
        <v>3.0455852241415591E-5</v>
      </c>
      <c r="T17" s="55">
        <v>0</v>
      </c>
      <c r="U17" s="25">
        <f t="shared" si="8"/>
        <v>2.0505391313618103E-5</v>
      </c>
      <c r="V17" s="26">
        <f t="shared" si="9"/>
        <v>1.7760761541242379E-5</v>
      </c>
      <c r="W17" s="23">
        <v>0</v>
      </c>
      <c r="X17" s="24">
        <v>0.18300760634733337</v>
      </c>
      <c r="Y17" s="24">
        <v>3.1341933930452011</v>
      </c>
      <c r="Z17" s="25">
        <f t="shared" si="0"/>
        <v>1.1057336664641781</v>
      </c>
      <c r="AA17" s="26">
        <f t="shared" si="1"/>
        <v>1.759079188884376</v>
      </c>
    </row>
    <row r="18" spans="1:27" x14ac:dyDescent="0.25">
      <c r="A18" s="5" t="s">
        <v>145</v>
      </c>
      <c r="B18" s="122">
        <v>12</v>
      </c>
      <c r="C18" s="40">
        <f>0.349*10</f>
        <v>3.4899999999999998</v>
      </c>
      <c r="D18" s="41">
        <f>0.333*10</f>
        <v>3.33</v>
      </c>
      <c r="E18" s="41">
        <f>0.335*10</f>
        <v>3.35</v>
      </c>
      <c r="F18" s="42">
        <f t="shared" si="2"/>
        <v>3.39</v>
      </c>
      <c r="G18" s="43">
        <f t="shared" si="3"/>
        <v>8.7177978870813286E-2</v>
      </c>
      <c r="H18" s="283">
        <v>6.4</v>
      </c>
      <c r="I18" s="128">
        <v>6.41</v>
      </c>
      <c r="J18" s="128">
        <v>6.41</v>
      </c>
      <c r="K18" s="46">
        <f t="shared" si="4"/>
        <v>6.4066666666666663</v>
      </c>
      <c r="L18" s="47">
        <f t="shared" si="5"/>
        <v>5.7735026918961348E-3</v>
      </c>
      <c r="M18" s="44">
        <v>0</v>
      </c>
      <c r="N18" s="45">
        <v>0</v>
      </c>
      <c r="O18" s="45">
        <v>0</v>
      </c>
      <c r="P18" s="46">
        <f t="shared" si="6"/>
        <v>0</v>
      </c>
      <c r="Q18" s="47">
        <f t="shared" si="7"/>
        <v>0</v>
      </c>
      <c r="R18" s="55">
        <v>3.1060321699438726E-5</v>
      </c>
      <c r="S18" s="55">
        <v>3.0455852241415591E-5</v>
      </c>
      <c r="T18" s="55">
        <v>4.3051511029090566E-4</v>
      </c>
      <c r="U18" s="25">
        <f t="shared" si="8"/>
        <v>1.6401042807725333E-4</v>
      </c>
      <c r="V18" s="26">
        <f t="shared" si="9"/>
        <v>2.3080002291416975E-4</v>
      </c>
      <c r="W18" s="44">
        <v>0</v>
      </c>
      <c r="X18" s="45">
        <v>0.18300760634733337</v>
      </c>
      <c r="Y18" s="45">
        <v>0.8699106296295066</v>
      </c>
      <c r="Z18" s="46">
        <f t="shared" si="0"/>
        <v>0.35097274532561329</v>
      </c>
      <c r="AA18" s="47">
        <f t="shared" si="1"/>
        <v>0.45863421352925238</v>
      </c>
    </row>
    <row r="19" spans="1:27" ht="18.75" x14ac:dyDescent="0.35">
      <c r="B19" s="284" t="s">
        <v>25</v>
      </c>
      <c r="C19" s="201">
        <f>LN(LOGEST(C8:C12,$B$8:$B$12))</f>
        <v>0.64673381419541287</v>
      </c>
      <c r="D19" s="119">
        <f t="shared" ref="D19:E19" si="10">LN(LOGEST(D8:D12,$B$8:$B$12))</f>
        <v>0.6481843644775257</v>
      </c>
      <c r="E19" s="119">
        <f t="shared" si="10"/>
        <v>0.65541415529354385</v>
      </c>
      <c r="F19" s="202">
        <f>AVERAGE(C19:E19)</f>
        <v>0.65011077798882744</v>
      </c>
      <c r="G19" s="202">
        <f>STDEV(C19:E19)</f>
        <v>4.6497722694095441E-3</v>
      </c>
      <c r="H19" s="119"/>
      <c r="I19" s="119"/>
      <c r="J19" s="119"/>
      <c r="K19" s="119"/>
      <c r="L19" s="123" t="s">
        <v>87</v>
      </c>
      <c r="M19" s="201">
        <f>M8-M12</f>
        <v>5.6120538781771092</v>
      </c>
      <c r="N19" s="119">
        <f t="shared" ref="N19:O19" si="11">N8-N12</f>
        <v>7.3313849983933093</v>
      </c>
      <c r="O19" s="119">
        <f t="shared" si="11"/>
        <v>6.5237136461997807</v>
      </c>
      <c r="P19" s="202">
        <f>AVERAGE(M19:O19)</f>
        <v>6.4890508409234</v>
      </c>
      <c r="Q19" s="243">
        <f>STDEV(M19:O19)</f>
        <v>0.86018951852960401</v>
      </c>
      <c r="R19" s="285"/>
      <c r="S19" s="286"/>
      <c r="T19" s="286"/>
      <c r="U19" s="286"/>
      <c r="V19" s="215"/>
      <c r="W19" s="201">
        <f>W12-W8</f>
        <v>3.655067905351411</v>
      </c>
      <c r="X19" s="119">
        <f t="shared" ref="X19:Y19" si="12">X12-X8</f>
        <v>3.5687283811388513</v>
      </c>
      <c r="Y19" s="119">
        <f t="shared" si="12"/>
        <v>2.4513930508888548</v>
      </c>
      <c r="Z19" s="202">
        <f>AVERAGE(W19:Y19)</f>
        <v>3.225063112459706</v>
      </c>
      <c r="AA19" s="243">
        <f>STDEV(W19:Y19)</f>
        <v>0.67140721733430231</v>
      </c>
    </row>
    <row r="20" spans="1:27" ht="18" x14ac:dyDescent="0.35">
      <c r="A20" s="52" t="s">
        <v>27</v>
      </c>
      <c r="B20" s="50" t="s">
        <v>28</v>
      </c>
      <c r="C20" s="23">
        <f>C15*0.5</f>
        <v>1.905</v>
      </c>
      <c r="D20" s="24">
        <f>D17*0.5</f>
        <v>1.9700000000000002</v>
      </c>
      <c r="E20" s="24">
        <f>E17*0.5</f>
        <v>1.7399999999999998</v>
      </c>
      <c r="F20" s="25">
        <f>AVERAGE(C20:E20)</f>
        <v>1.8716666666666668</v>
      </c>
      <c r="G20" s="25">
        <f>STDEV(C20:E20)</f>
        <v>0.11856784274554963</v>
      </c>
      <c r="H20" s="24"/>
      <c r="I20" s="24"/>
      <c r="J20" s="24"/>
      <c r="K20" s="24"/>
      <c r="L20" s="54" t="s">
        <v>29</v>
      </c>
      <c r="M20" s="23">
        <f>(C12-C8)*0.5</f>
        <v>0.503</v>
      </c>
      <c r="N20" s="24">
        <f t="shared" ref="N20:O20" si="13">(D12-D8)*0.5</f>
        <v>0.49600000000000005</v>
      </c>
      <c r="O20" s="24">
        <f t="shared" si="13"/>
        <v>0.45874999999999999</v>
      </c>
      <c r="P20" s="25">
        <f>AVERAGE(M20:O20)</f>
        <v>0.48591666666666672</v>
      </c>
      <c r="Q20" s="95">
        <f>STDEV(M20:O20)</f>
        <v>2.3785937722388288E-2</v>
      </c>
      <c r="R20" s="84"/>
      <c r="S20" s="49"/>
      <c r="T20" s="49"/>
      <c r="U20" s="49"/>
      <c r="V20" s="59"/>
      <c r="W20" s="84"/>
      <c r="X20" s="49"/>
      <c r="Y20" s="49"/>
      <c r="Z20" s="25"/>
      <c r="AA20" s="95"/>
    </row>
    <row r="21" spans="1:27" ht="18" x14ac:dyDescent="0.35">
      <c r="B21" s="122"/>
      <c r="C21" s="19"/>
      <c r="D21" s="20"/>
      <c r="E21" s="20"/>
      <c r="F21" s="20"/>
      <c r="G21" s="20"/>
      <c r="H21" s="24"/>
      <c r="I21" s="24"/>
      <c r="J21" s="24"/>
      <c r="K21" s="24"/>
      <c r="L21" s="54" t="s">
        <v>30</v>
      </c>
      <c r="M21" s="23">
        <f>M20/(M19/1000*180.16)</f>
        <v>0.49749392297873973</v>
      </c>
      <c r="N21" s="24">
        <f t="shared" ref="N21:O21" si="14">N20/(N19/1000*180.16)</f>
        <v>0.37552363553930695</v>
      </c>
      <c r="O21" s="24">
        <f t="shared" si="14"/>
        <v>0.39032180580530135</v>
      </c>
      <c r="P21" s="25">
        <f>AVERAGE(M21:O21)</f>
        <v>0.42111312144111596</v>
      </c>
      <c r="Q21" s="95">
        <f>STDEV(M21:O21)</f>
        <v>6.6560247846990495E-2</v>
      </c>
      <c r="R21" s="84"/>
      <c r="S21" s="49"/>
      <c r="T21" s="49"/>
      <c r="U21" s="49"/>
      <c r="V21" s="59"/>
      <c r="W21" s="23">
        <f>(W19/1000*59.04)/(M19/1000*180.16)</f>
        <v>0.21343301222876743</v>
      </c>
      <c r="X21" s="24">
        <f t="shared" ref="X21:Y21" si="15">(X19/1000*59.04)/(N19/1000*180.16)</f>
        <v>0.15952011123902005</v>
      </c>
      <c r="Y21" s="24">
        <f t="shared" si="15"/>
        <v>0.1231419528410316</v>
      </c>
      <c r="Z21" s="25">
        <f t="shared" ref="Z21:Z22" si="16">AVERAGE(W21:Y21)</f>
        <v>0.16536502543627304</v>
      </c>
      <c r="AA21" s="95">
        <f t="shared" ref="AA21:AA22" si="17">STDEV(W21:Y21)</f>
        <v>4.5428417513928857E-2</v>
      </c>
    </row>
    <row r="22" spans="1:27" ht="18" x14ac:dyDescent="0.35">
      <c r="B22" s="122"/>
      <c r="C22" s="19"/>
      <c r="D22" s="20"/>
      <c r="E22" s="20"/>
      <c r="F22" s="20"/>
      <c r="G22" s="20"/>
      <c r="H22" s="24"/>
      <c r="I22" s="24"/>
      <c r="J22" s="24"/>
      <c r="K22" s="24"/>
      <c r="L22" s="60" t="s">
        <v>31</v>
      </c>
      <c r="M22" s="84"/>
      <c r="N22" s="49"/>
      <c r="O22" s="49"/>
      <c r="P22" s="25"/>
      <c r="Q22" s="95"/>
      <c r="R22" s="84"/>
      <c r="S22" s="49"/>
      <c r="T22" s="49"/>
      <c r="U22" s="49"/>
      <c r="V22" s="59"/>
      <c r="W22" s="23">
        <f>(W19/1000*59.04)/M20</f>
        <v>0.42901632034184356</v>
      </c>
      <c r="X22" s="24">
        <f t="shared" ref="X22:Y22" si="18">(X19/1000*59.04)/N20</f>
        <v>0.42479379762588254</v>
      </c>
      <c r="Y22" s="24">
        <f t="shared" si="18"/>
        <v>0.31548827405880758</v>
      </c>
      <c r="Z22" s="25">
        <f t="shared" si="16"/>
        <v>0.38976613067551119</v>
      </c>
      <c r="AA22" s="95">
        <f t="shared" si="17"/>
        <v>6.436114831325182E-2</v>
      </c>
    </row>
    <row r="23" spans="1:27" ht="18.75" x14ac:dyDescent="0.35">
      <c r="B23" s="122"/>
      <c r="C23" s="19"/>
      <c r="D23" s="20"/>
      <c r="E23" s="20"/>
      <c r="F23" s="20"/>
      <c r="G23" s="20"/>
      <c r="H23" s="24"/>
      <c r="I23" s="24"/>
      <c r="J23" s="24"/>
      <c r="K23" s="24"/>
      <c r="L23" s="54" t="s">
        <v>32</v>
      </c>
      <c r="M23" s="23">
        <f>C19*(M19)</f>
        <v>3.6295050101036406</v>
      </c>
      <c r="N23" s="24">
        <f t="shared" ref="N23:O23" si="19">D19*(N19)</f>
        <v>4.7520891259236331</v>
      </c>
      <c r="O23" s="24">
        <f t="shared" si="19"/>
        <v>4.2757342688009938</v>
      </c>
      <c r="P23" s="25">
        <f t="shared" ref="P23:P24" si="20">AVERAGE(M23:O23)</f>
        <v>4.2191094682760895</v>
      </c>
      <c r="Q23" s="95">
        <f t="shared" ref="Q23:Q24" si="21">STDEV(M23:O23)</f>
        <v>0.56343016452680383</v>
      </c>
      <c r="R23" s="84"/>
      <c r="S23" s="49"/>
      <c r="T23" s="49"/>
      <c r="U23" s="49"/>
      <c r="V23" s="59"/>
      <c r="W23" s="23"/>
      <c r="X23" s="24"/>
      <c r="Y23" s="24"/>
      <c r="Z23" s="25"/>
      <c r="AA23" s="95"/>
    </row>
    <row r="24" spans="1:27" ht="18.75" x14ac:dyDescent="0.35">
      <c r="B24" s="122"/>
      <c r="C24" s="40"/>
      <c r="D24" s="41"/>
      <c r="E24" s="41"/>
      <c r="F24" s="41"/>
      <c r="G24" s="41"/>
      <c r="H24" s="45"/>
      <c r="I24" s="45"/>
      <c r="J24" s="45"/>
      <c r="K24" s="45"/>
      <c r="L24" s="124" t="s">
        <v>33</v>
      </c>
      <c r="M24" s="44">
        <f>C19*(M19/M20)</f>
        <v>7.215715725852168</v>
      </c>
      <c r="N24" s="45">
        <f t="shared" ref="N24:O24" si="22">D19*(N19/N20)</f>
        <v>9.5808248506524851</v>
      </c>
      <c r="O24" s="45">
        <f t="shared" si="22"/>
        <v>9.3204016758604791</v>
      </c>
      <c r="P24" s="46">
        <f t="shared" si="20"/>
        <v>8.7056474174550456</v>
      </c>
      <c r="Q24" s="287">
        <f t="shared" si="21"/>
        <v>1.2968721570471449</v>
      </c>
      <c r="R24" s="64"/>
      <c r="S24" s="62"/>
      <c r="T24" s="62"/>
      <c r="U24" s="62"/>
      <c r="V24" s="63"/>
      <c r="W24" s="44">
        <f>C19*(W19/M20)</f>
        <v>4.6995149255887796</v>
      </c>
      <c r="X24" s="45">
        <f t="shared" ref="X24:Y24" si="23">D19*(X19/N20)</f>
        <v>4.663697455083458</v>
      </c>
      <c r="Y24" s="45">
        <f t="shared" si="23"/>
        <v>3.5022947264104243</v>
      </c>
      <c r="Z24" s="46">
        <f t="shared" ref="Z24" si="24">AVERAGE(W24:Y24)</f>
        <v>4.2885023690275537</v>
      </c>
      <c r="AA24" s="287">
        <f t="shared" ref="AA24" si="25">STDEV(W24:Y24)</f>
        <v>0.68111127268643812</v>
      </c>
    </row>
    <row r="25" spans="1:27" x14ac:dyDescent="0.25">
      <c r="B25" s="122"/>
      <c r="C25" s="109"/>
      <c r="D25" s="109"/>
      <c r="E25" s="109"/>
      <c r="F25" s="109"/>
      <c r="G25" s="54" t="s">
        <v>34</v>
      </c>
      <c r="H25" s="55">
        <f>M20/(H8-H12)</f>
        <v>1.9346153846153862</v>
      </c>
      <c r="I25" s="55">
        <f t="shared" ref="I25:J25" si="26">N20/(I8-I12)</f>
        <v>1.9076923076923094</v>
      </c>
      <c r="J25" s="55">
        <f t="shared" si="26"/>
        <v>1.835</v>
      </c>
      <c r="K25" s="111">
        <f>AVERAGE(H25:J25)</f>
        <v>1.8924358974358986</v>
      </c>
      <c r="L25" s="111">
        <f>STDEV(H25:J25)</f>
        <v>5.1530328481892776E-2</v>
      </c>
    </row>
  </sheetData>
  <mergeCells count="5">
    <mergeCell ref="C4:G4"/>
    <mergeCell ref="H4:L4"/>
    <mergeCell ref="M4:Q4"/>
    <mergeCell ref="R4:V4"/>
    <mergeCell ref="W4:AA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61F3-F23D-4326-AC8C-28D62663090C}">
  <dimension ref="A1:S24"/>
  <sheetViews>
    <sheetView zoomScaleNormal="100" workbookViewId="0"/>
  </sheetViews>
  <sheetFormatPr defaultColWidth="8.7109375" defaultRowHeight="15" x14ac:dyDescent="0.25"/>
  <cols>
    <col min="1" max="1" width="8.7109375" style="5"/>
    <col min="2" max="2" width="14.85546875" style="5" bestFit="1" customWidth="1"/>
    <col min="3" max="15" width="8.7109375" style="5"/>
    <col min="16" max="16" width="16.140625" style="5" customWidth="1"/>
    <col min="17" max="17" width="14.140625" style="5" customWidth="1"/>
    <col min="18" max="18" width="12.7109375" style="5" customWidth="1"/>
    <col min="19" max="19" width="14.42578125" style="5" customWidth="1"/>
    <col min="20" max="16384" width="8.7109375" style="5"/>
  </cols>
  <sheetData>
    <row r="1" spans="1:19" x14ac:dyDescent="0.25">
      <c r="A1" s="8" t="s">
        <v>209</v>
      </c>
      <c r="F1" s="5">
        <v>20151204</v>
      </c>
    </row>
    <row r="2" spans="1:19" x14ac:dyDescent="0.25">
      <c r="A2" s="9" t="s">
        <v>68</v>
      </c>
    </row>
    <row r="3" spans="1:19" x14ac:dyDescent="0.25">
      <c r="A3" s="9" t="s">
        <v>210</v>
      </c>
    </row>
    <row r="6" spans="1:19" x14ac:dyDescent="0.25">
      <c r="D6" s="382" t="s">
        <v>12</v>
      </c>
      <c r="E6" s="383"/>
      <c r="F6" s="383"/>
      <c r="G6" s="383"/>
      <c r="H6" s="383"/>
      <c r="I6" s="384"/>
      <c r="J6" s="382" t="s">
        <v>5</v>
      </c>
      <c r="K6" s="383"/>
      <c r="L6" s="383"/>
      <c r="M6" s="383"/>
      <c r="N6" s="383"/>
      <c r="O6" s="384"/>
      <c r="P6" s="288" t="s">
        <v>124</v>
      </c>
      <c r="Q6" s="288" t="s">
        <v>126</v>
      </c>
      <c r="R6" s="288" t="s">
        <v>128</v>
      </c>
      <c r="S6" s="288" t="s">
        <v>211</v>
      </c>
    </row>
    <row r="7" spans="1:19" x14ac:dyDescent="0.25">
      <c r="B7" s="73" t="s">
        <v>15</v>
      </c>
      <c r="C7" s="13" t="s">
        <v>16</v>
      </c>
      <c r="D7" s="12">
        <v>1</v>
      </c>
      <c r="E7" s="13">
        <v>2</v>
      </c>
      <c r="F7" s="13">
        <v>3</v>
      </c>
      <c r="G7" s="13" t="s">
        <v>4</v>
      </c>
      <c r="H7" s="14" t="s">
        <v>17</v>
      </c>
      <c r="I7" s="15" t="s">
        <v>18</v>
      </c>
      <c r="J7" s="12">
        <v>1</v>
      </c>
      <c r="K7" s="13">
        <v>2</v>
      </c>
      <c r="L7" s="13">
        <v>3</v>
      </c>
      <c r="M7" s="13" t="s">
        <v>4</v>
      </c>
      <c r="N7" s="14" t="s">
        <v>17</v>
      </c>
      <c r="O7" s="15" t="s">
        <v>18</v>
      </c>
      <c r="P7" s="288">
        <v>1</v>
      </c>
      <c r="Q7" s="288">
        <v>1</v>
      </c>
      <c r="R7" s="288">
        <v>1</v>
      </c>
      <c r="S7" s="288">
        <v>1</v>
      </c>
    </row>
    <row r="8" spans="1:19" x14ac:dyDescent="0.25">
      <c r="A8" s="5" t="s">
        <v>19</v>
      </c>
      <c r="B8" s="17">
        <v>42342.347222222219</v>
      </c>
      <c r="C8" s="122">
        <f t="shared" ref="C8:C16" si="0">(B8-$B$8)*24</f>
        <v>0</v>
      </c>
      <c r="D8" s="198">
        <v>2.1000000000000001E-2</v>
      </c>
      <c r="E8" s="199">
        <v>0.02</v>
      </c>
      <c r="F8" s="199">
        <v>2.1000000000000001E-2</v>
      </c>
      <c r="G8" s="199">
        <v>0</v>
      </c>
      <c r="H8" s="202">
        <f>AVERAGE(D8:F8)</f>
        <v>2.0666666666666667E-2</v>
      </c>
      <c r="I8" s="51">
        <f>STDEV(D8:F8)</f>
        <v>5.7735026918962623E-4</v>
      </c>
      <c r="J8" s="201">
        <v>7.02</v>
      </c>
      <c r="K8" s="119">
        <v>7.02</v>
      </c>
      <c r="L8" s="119">
        <v>7.02</v>
      </c>
      <c r="M8" s="119">
        <v>7.02</v>
      </c>
      <c r="N8" s="202">
        <f t="shared" ref="N8:N16" si="1">AVERAGE(J8:L8)</f>
        <v>7.02</v>
      </c>
      <c r="O8" s="51">
        <f t="shared" ref="O8:O16" si="2">STDEV(J8:L8)</f>
        <v>0</v>
      </c>
      <c r="P8" s="289">
        <v>27.885865148279748</v>
      </c>
      <c r="Q8" s="290" t="s">
        <v>21</v>
      </c>
      <c r="R8" s="290" t="s">
        <v>21</v>
      </c>
      <c r="S8" s="290" t="s">
        <v>21</v>
      </c>
    </row>
    <row r="9" spans="1:19" x14ac:dyDescent="0.25">
      <c r="A9" s="5" t="s">
        <v>20</v>
      </c>
      <c r="B9" s="17">
        <v>42342.445833333331</v>
      </c>
      <c r="C9" s="28">
        <f t="shared" si="0"/>
        <v>2.3666666666977108</v>
      </c>
      <c r="D9" s="29">
        <v>3.7999999999999999E-2</v>
      </c>
      <c r="E9" s="30">
        <v>3.5999999999999997E-2</v>
      </c>
      <c r="F9" s="30">
        <v>3.9E-2</v>
      </c>
      <c r="G9" s="30">
        <v>0</v>
      </c>
      <c r="H9" s="35">
        <f t="shared" ref="H9:H16" si="3">AVERAGE(D9:F9)</f>
        <v>3.7666666666666661E-2</v>
      </c>
      <c r="I9" s="36">
        <f t="shared" ref="I9:I16" si="4">STDEV(D9:F9)</f>
        <v>1.5275252316519479E-3</v>
      </c>
      <c r="J9" s="33">
        <v>6.98</v>
      </c>
      <c r="K9" s="34">
        <v>6.98</v>
      </c>
      <c r="L9" s="34">
        <v>6.99</v>
      </c>
      <c r="M9" s="34">
        <v>7.02</v>
      </c>
      <c r="N9" s="35">
        <f t="shared" si="1"/>
        <v>6.9833333333333343</v>
      </c>
      <c r="O9" s="36">
        <f t="shared" si="2"/>
        <v>5.7735026918961348E-3</v>
      </c>
      <c r="P9" s="291">
        <v>27.636596881204468</v>
      </c>
      <c r="Q9" s="291">
        <v>0.95399296789148147</v>
      </c>
      <c r="R9" s="292" t="s">
        <v>21</v>
      </c>
      <c r="S9" s="292" t="s">
        <v>21</v>
      </c>
    </row>
    <row r="10" spans="1:19" x14ac:dyDescent="0.25">
      <c r="A10" s="5" t="s">
        <v>22</v>
      </c>
      <c r="B10" s="17">
        <v>42342.526388888888</v>
      </c>
      <c r="C10" s="28">
        <f t="shared" si="0"/>
        <v>4.3000000000465661</v>
      </c>
      <c r="D10" s="29">
        <v>0.06</v>
      </c>
      <c r="E10" s="30">
        <v>5.8000000000000003E-2</v>
      </c>
      <c r="F10" s="30">
        <v>6.2E-2</v>
      </c>
      <c r="G10" s="30">
        <v>0</v>
      </c>
      <c r="H10" s="35">
        <f t="shared" si="3"/>
        <v>0.06</v>
      </c>
      <c r="I10" s="36">
        <f t="shared" si="4"/>
        <v>1.9999999999999983E-3</v>
      </c>
      <c r="J10" s="33">
        <v>6.93</v>
      </c>
      <c r="K10" s="34">
        <v>6.93</v>
      </c>
      <c r="L10" s="34">
        <v>6.93</v>
      </c>
      <c r="M10" s="34">
        <v>7.01</v>
      </c>
      <c r="N10" s="35">
        <f t="shared" si="1"/>
        <v>6.93</v>
      </c>
      <c r="O10" s="36">
        <f t="shared" si="2"/>
        <v>0</v>
      </c>
      <c r="P10" s="291">
        <v>26.284652681556214</v>
      </c>
      <c r="Q10" s="291">
        <v>2.2552191709313401</v>
      </c>
      <c r="R10" s="292" t="s">
        <v>21</v>
      </c>
      <c r="S10" s="292" t="s">
        <v>21</v>
      </c>
    </row>
    <row r="11" spans="1:19" x14ac:dyDescent="0.25">
      <c r="A11" s="5" t="s">
        <v>23</v>
      </c>
      <c r="B11" s="17">
        <v>42342.615972222222</v>
      </c>
      <c r="C11" s="28">
        <f t="shared" si="0"/>
        <v>6.4500000000698492</v>
      </c>
      <c r="D11" s="29">
        <v>0.10100000000000001</v>
      </c>
      <c r="E11" s="30">
        <v>9.7000000000000003E-2</v>
      </c>
      <c r="F11" s="30">
        <v>0.105</v>
      </c>
      <c r="G11" s="30">
        <v>0</v>
      </c>
      <c r="H11" s="35">
        <f t="shared" si="3"/>
        <v>0.10099999999999999</v>
      </c>
      <c r="I11" s="36">
        <f t="shared" si="4"/>
        <v>3.9999999999999966E-3</v>
      </c>
      <c r="J11" s="33">
        <v>6.85</v>
      </c>
      <c r="K11" s="34">
        <v>6.87</v>
      </c>
      <c r="L11" s="34">
        <v>6.86</v>
      </c>
      <c r="M11" s="34">
        <v>7.02</v>
      </c>
      <c r="N11" s="35">
        <f t="shared" si="1"/>
        <v>6.8599999999999994</v>
      </c>
      <c r="O11" s="36">
        <f t="shared" si="2"/>
        <v>1.0000000000000231E-2</v>
      </c>
      <c r="P11" s="291">
        <v>25.208642083917766</v>
      </c>
      <c r="Q11" s="291">
        <v>4.6625899561358093</v>
      </c>
      <c r="R11" s="292" t="s">
        <v>21</v>
      </c>
      <c r="S11" s="292" t="s">
        <v>21</v>
      </c>
    </row>
    <row r="12" spans="1:19" x14ac:dyDescent="0.25">
      <c r="A12" s="5" t="s">
        <v>24</v>
      </c>
      <c r="B12" s="17">
        <v>42342.699305555558</v>
      </c>
      <c r="C12" s="28">
        <f t="shared" si="0"/>
        <v>8.4500000001280569</v>
      </c>
      <c r="D12" s="29">
        <v>0.16500000000000001</v>
      </c>
      <c r="E12" s="30">
        <v>0.158</v>
      </c>
      <c r="F12" s="30">
        <v>0.17100000000000001</v>
      </c>
      <c r="G12" s="30">
        <v>1E-3</v>
      </c>
      <c r="H12" s="35">
        <f t="shared" si="3"/>
        <v>0.16466666666666666</v>
      </c>
      <c r="I12" s="36">
        <f t="shared" si="4"/>
        <v>6.5064070986477172E-3</v>
      </c>
      <c r="J12" s="33">
        <v>6.75</v>
      </c>
      <c r="K12" s="34">
        <v>6.76</v>
      </c>
      <c r="L12" s="34">
        <v>6.74</v>
      </c>
      <c r="M12" s="34">
        <v>7.01</v>
      </c>
      <c r="N12" s="35">
        <f t="shared" si="1"/>
        <v>6.75</v>
      </c>
      <c r="O12" s="36">
        <f t="shared" si="2"/>
        <v>9.9999999999997868E-3</v>
      </c>
      <c r="P12" s="291">
        <v>23.116830373098349</v>
      </c>
      <c r="Q12" s="291">
        <v>8.5448011753272564</v>
      </c>
      <c r="R12" s="292" t="s">
        <v>21</v>
      </c>
      <c r="S12" s="292" t="s">
        <v>21</v>
      </c>
    </row>
    <row r="13" spans="1:19" x14ac:dyDescent="0.25">
      <c r="A13" s="5" t="s">
        <v>40</v>
      </c>
      <c r="B13" s="17">
        <v>42342.799305555556</v>
      </c>
      <c r="C13" s="122">
        <f t="shared" si="0"/>
        <v>10.850000000093132</v>
      </c>
      <c r="D13" s="19">
        <v>0.28499999999999998</v>
      </c>
      <c r="E13" s="20">
        <v>0.27500000000000002</v>
      </c>
      <c r="F13" s="20">
        <v>0.29499999999999998</v>
      </c>
      <c r="G13" s="20">
        <v>0</v>
      </c>
      <c r="H13" s="25">
        <f t="shared" si="3"/>
        <v>0.28499999999999998</v>
      </c>
      <c r="I13" s="26">
        <f t="shared" si="4"/>
        <v>9.9999999999999811E-3</v>
      </c>
      <c r="J13" s="23">
        <v>6.49</v>
      </c>
      <c r="K13" s="24">
        <v>6.51</v>
      </c>
      <c r="L13" s="24">
        <v>6.46</v>
      </c>
      <c r="M13" s="24">
        <v>7.02</v>
      </c>
      <c r="N13" s="25">
        <f t="shared" si="1"/>
        <v>6.4866666666666672</v>
      </c>
      <c r="O13" s="26">
        <f t="shared" si="2"/>
        <v>2.5166114784235766E-2</v>
      </c>
      <c r="P13" s="293">
        <v>18.437838707115212</v>
      </c>
      <c r="Q13" s="293">
        <v>16.881168647872823</v>
      </c>
      <c r="R13" s="294" t="s">
        <v>21</v>
      </c>
      <c r="S13" s="293">
        <v>0.15501274139450053</v>
      </c>
    </row>
    <row r="14" spans="1:19" x14ac:dyDescent="0.25">
      <c r="A14" s="5" t="s">
        <v>46</v>
      </c>
      <c r="B14" s="17">
        <v>42342.883333333331</v>
      </c>
      <c r="C14" s="122">
        <f t="shared" si="0"/>
        <v>12.866666666697711</v>
      </c>
      <c r="D14" s="19">
        <f>0.219*2</f>
        <v>0.438</v>
      </c>
      <c r="E14" s="20">
        <f>0.213*2</f>
        <v>0.42599999999999999</v>
      </c>
      <c r="F14" s="20">
        <f>0.225*2</f>
        <v>0.45</v>
      </c>
      <c r="G14" s="20">
        <v>1E-3</v>
      </c>
      <c r="H14" s="25">
        <f t="shared" si="3"/>
        <v>0.438</v>
      </c>
      <c r="I14" s="26">
        <f t="shared" si="4"/>
        <v>1.2000000000000011E-2</v>
      </c>
      <c r="J14" s="23">
        <v>6.02</v>
      </c>
      <c r="K14" s="24">
        <v>6.07</v>
      </c>
      <c r="L14" s="24">
        <v>5.94</v>
      </c>
      <c r="M14" s="24">
        <v>7.01</v>
      </c>
      <c r="N14" s="25">
        <f t="shared" si="1"/>
        <v>6.0100000000000007</v>
      </c>
      <c r="O14" s="26">
        <f t="shared" si="2"/>
        <v>6.5574385243019895E-2</v>
      </c>
      <c r="P14" s="293">
        <v>12.153076007247179</v>
      </c>
      <c r="Q14" s="293">
        <v>28.033365475744599</v>
      </c>
      <c r="R14" s="294" t="s">
        <v>21</v>
      </c>
      <c r="S14" s="293">
        <v>0.44383868468243409</v>
      </c>
    </row>
    <row r="15" spans="1:19" x14ac:dyDescent="0.25">
      <c r="A15" s="5" t="s">
        <v>65</v>
      </c>
      <c r="B15" s="17">
        <v>42342.963194444441</v>
      </c>
      <c r="C15" s="122">
        <f t="shared" si="0"/>
        <v>14.783333333325572</v>
      </c>
      <c r="D15" s="19">
        <f>0.241*2</f>
        <v>0.48199999999999998</v>
      </c>
      <c r="E15" s="20">
        <f>0.238*2</f>
        <v>0.47599999999999998</v>
      </c>
      <c r="F15" s="20">
        <f>0.238*2</f>
        <v>0.47599999999999998</v>
      </c>
      <c r="G15" s="20">
        <v>1E-3</v>
      </c>
      <c r="H15" s="25">
        <f t="shared" si="3"/>
        <v>0.47799999999999998</v>
      </c>
      <c r="I15" s="26">
        <f t="shared" si="4"/>
        <v>3.4641016151377583E-3</v>
      </c>
      <c r="J15" s="23">
        <v>5.48</v>
      </c>
      <c r="K15" s="24">
        <v>5.5</v>
      </c>
      <c r="L15" s="24">
        <v>5.45</v>
      </c>
      <c r="M15" s="24">
        <v>7.01</v>
      </c>
      <c r="N15" s="25">
        <f t="shared" si="1"/>
        <v>5.4766666666666666</v>
      </c>
      <c r="O15" s="26">
        <f t="shared" si="2"/>
        <v>2.5166114784235766E-2</v>
      </c>
      <c r="P15" s="293">
        <v>7.8395450271544744</v>
      </c>
      <c r="Q15" s="293">
        <v>35.165864449557148</v>
      </c>
      <c r="R15" s="293">
        <v>0.40155919440150584</v>
      </c>
      <c r="S15" s="293">
        <v>0.60278306858933162</v>
      </c>
    </row>
    <row r="16" spans="1:19" x14ac:dyDescent="0.25">
      <c r="A16" s="5" t="s">
        <v>66</v>
      </c>
      <c r="B16" s="17">
        <v>42343.040972222225</v>
      </c>
      <c r="C16" s="122">
        <f t="shared" si="0"/>
        <v>16.650000000139698</v>
      </c>
      <c r="D16" s="40">
        <f>0.239*2</f>
        <v>0.47799999999999998</v>
      </c>
      <c r="E16" s="41">
        <f>0.24*2</f>
        <v>0.48</v>
      </c>
      <c r="F16" s="41">
        <f>0.238*2</f>
        <v>0.47599999999999998</v>
      </c>
      <c r="G16" s="41">
        <v>1E-3</v>
      </c>
      <c r="H16" s="46">
        <f t="shared" si="3"/>
        <v>0.47799999999999998</v>
      </c>
      <c r="I16" s="47">
        <f t="shared" si="4"/>
        <v>2.0000000000000018E-3</v>
      </c>
      <c r="J16" s="44">
        <v>5.28</v>
      </c>
      <c r="K16" s="45">
        <v>5.3</v>
      </c>
      <c r="L16" s="45">
        <v>5.27</v>
      </c>
      <c r="M16" s="45">
        <v>7.02</v>
      </c>
      <c r="N16" s="46">
        <f t="shared" si="1"/>
        <v>5.2833333333333332</v>
      </c>
      <c r="O16" s="47">
        <f t="shared" si="2"/>
        <v>1.5275252316519529E-2</v>
      </c>
      <c r="P16" s="295">
        <v>6.9847185889709253</v>
      </c>
      <c r="Q16" s="295">
        <v>36.894177769333702</v>
      </c>
      <c r="R16" s="295">
        <v>0.43239162766977196</v>
      </c>
      <c r="S16" s="295">
        <v>0.62126745521181281</v>
      </c>
    </row>
    <row r="17" spans="1:19" ht="18.75" x14ac:dyDescent="0.35">
      <c r="C17" s="284" t="s">
        <v>25</v>
      </c>
      <c r="D17" s="201">
        <f>LN(LOGEST(D9:D12,$C$9:$C$12))</f>
        <v>0.24148259774983158</v>
      </c>
      <c r="E17" s="119">
        <f>LN(LOGEST(E9:E12,$C$9:$C$12))</f>
        <v>0.24269396786914318</v>
      </c>
      <c r="F17" s="119">
        <f>LN(LOGEST(F9:F12,$C$9:$C$12))</f>
        <v>0.24321070007252363</v>
      </c>
      <c r="G17" s="119"/>
      <c r="H17" s="119">
        <f>AVERAGE(D17:F17)</f>
        <v>0.24246242189716613</v>
      </c>
      <c r="I17" s="296">
        <f>STDEV(D17:F17)</f>
        <v>8.8701440928403894E-4</v>
      </c>
      <c r="J17" s="285"/>
      <c r="K17" s="286"/>
      <c r="L17" s="286"/>
      <c r="M17" s="286"/>
      <c r="N17" s="286"/>
      <c r="O17" s="123" t="s">
        <v>87</v>
      </c>
      <c r="P17" s="289">
        <f>P9-P12</f>
        <v>4.5197665081061196</v>
      </c>
      <c r="Q17" s="255"/>
      <c r="R17" s="255"/>
      <c r="S17" s="255"/>
    </row>
    <row r="18" spans="1:19" ht="18" x14ac:dyDescent="0.35">
      <c r="A18" s="52" t="s">
        <v>27</v>
      </c>
      <c r="B18" s="53"/>
      <c r="C18" s="50" t="s">
        <v>28</v>
      </c>
      <c r="D18" s="23">
        <f>D15*0.46</f>
        <v>0.22172</v>
      </c>
      <c r="E18" s="24">
        <f>E16*0.46</f>
        <v>0.2208</v>
      </c>
      <c r="F18" s="24">
        <f t="shared" ref="F18" si="5">F15*0.46</f>
        <v>0.21895999999999999</v>
      </c>
      <c r="G18" s="24"/>
      <c r="H18" s="24">
        <f>AVERAGE(D18:F18)</f>
        <v>0.22049333333333335</v>
      </c>
      <c r="I18" s="27">
        <f>AVERAGE(E18:G18)</f>
        <v>0.21987999999999999</v>
      </c>
      <c r="J18" s="84"/>
      <c r="K18" s="49"/>
      <c r="L18" s="49"/>
      <c r="M18" s="49"/>
      <c r="N18" s="49"/>
      <c r="O18" s="54"/>
      <c r="P18" s="189"/>
      <c r="Q18" s="189"/>
      <c r="R18" s="189"/>
      <c r="S18" s="189"/>
    </row>
    <row r="19" spans="1:19" ht="18" x14ac:dyDescent="0.35">
      <c r="D19" s="84"/>
      <c r="E19" s="49"/>
      <c r="F19" s="49"/>
      <c r="G19" s="49"/>
      <c r="H19" s="49"/>
      <c r="I19" s="59"/>
      <c r="J19" s="84"/>
      <c r="K19" s="49"/>
      <c r="L19" s="49"/>
      <c r="M19" s="49"/>
      <c r="N19" s="49"/>
      <c r="O19" s="54" t="s">
        <v>30</v>
      </c>
      <c r="P19" s="293">
        <f>D20/(P17/1000*180.16)</f>
        <v>7.174426319546412E-2</v>
      </c>
      <c r="Q19" s="189"/>
      <c r="R19" s="189"/>
      <c r="S19" s="189"/>
    </row>
    <row r="20" spans="1:19" x14ac:dyDescent="0.25">
      <c r="C20" s="50" t="s">
        <v>29</v>
      </c>
      <c r="D20" s="44">
        <f>(D12-D9)*0.46</f>
        <v>5.8420000000000007E-2</v>
      </c>
      <c r="E20" s="45">
        <f>(E12-E9)*0.46</f>
        <v>5.6120000000000003E-2</v>
      </c>
      <c r="F20" s="45">
        <f>(F12-F9)*0.46</f>
        <v>6.0720000000000003E-2</v>
      </c>
      <c r="G20" s="62"/>
      <c r="H20" s="62"/>
      <c r="I20" s="124" t="s">
        <v>34</v>
      </c>
      <c r="J20" s="44">
        <f>D20/(J9-J12)</f>
        <v>0.25399999999999956</v>
      </c>
      <c r="K20" s="45">
        <f>E20/(K9-K12)</f>
        <v>0.25509090909090837</v>
      </c>
      <c r="L20" s="45">
        <f>F20/(L9-L12)</f>
        <v>0.24288000000000001</v>
      </c>
      <c r="M20" s="62"/>
      <c r="N20" s="62"/>
      <c r="O20" s="63"/>
      <c r="P20" s="197"/>
      <c r="Q20" s="197"/>
      <c r="R20" s="197"/>
      <c r="S20" s="197"/>
    </row>
    <row r="23" spans="1:19" x14ac:dyDescent="0.25">
      <c r="P23" s="106"/>
    </row>
    <row r="24" spans="1:19" x14ac:dyDescent="0.25">
      <c r="P24" s="106"/>
    </row>
  </sheetData>
  <mergeCells count="2">
    <mergeCell ref="D6:I6"/>
    <mergeCell ref="J6:O6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7DB5-21FF-452A-88FF-5E29D185E88D}">
  <dimension ref="A1:BN201"/>
  <sheetViews>
    <sheetView zoomScaleNormal="100" workbookViewId="0"/>
  </sheetViews>
  <sheetFormatPr defaultColWidth="8.7109375" defaultRowHeight="15" x14ac:dyDescent="0.25"/>
  <cols>
    <col min="1" max="1" width="8.7109375" style="5"/>
    <col min="2" max="2" width="15.7109375" style="5" bestFit="1" customWidth="1"/>
    <col min="3" max="3" width="8.7109375" style="5"/>
    <col min="4" max="6" width="13.28515625" style="5" bestFit="1" customWidth="1"/>
    <col min="7" max="9" width="10.28515625" style="5" customWidth="1"/>
    <col min="10" max="18" width="8.7109375" style="5"/>
    <col min="19" max="21" width="11.140625" style="5" bestFit="1" customWidth="1"/>
    <col min="22" max="30" width="8.7109375" style="5"/>
    <col min="31" max="31" width="12" style="5" bestFit="1" customWidth="1"/>
    <col min="32" max="41" width="8.7109375" style="5"/>
    <col min="42" max="43" width="10.85546875" style="5" bestFit="1" customWidth="1"/>
    <col min="44" max="45" width="12" style="5" bestFit="1" customWidth="1"/>
    <col min="46" max="55" width="8.7109375" style="5"/>
    <col min="56" max="56" width="12" style="5" bestFit="1" customWidth="1"/>
    <col min="57" max="16384" width="8.7109375" style="5"/>
  </cols>
  <sheetData>
    <row r="1" spans="1:43" x14ac:dyDescent="0.25">
      <c r="A1" s="8" t="s">
        <v>212</v>
      </c>
      <c r="F1" s="5">
        <v>20150926</v>
      </c>
    </row>
    <row r="2" spans="1:43" x14ac:dyDescent="0.25">
      <c r="A2" s="9" t="s">
        <v>82</v>
      </c>
    </row>
    <row r="3" spans="1:43" x14ac:dyDescent="0.25">
      <c r="A3" s="9" t="s">
        <v>208</v>
      </c>
    </row>
    <row r="4" spans="1:43" x14ac:dyDescent="0.25">
      <c r="D4" s="382" t="s">
        <v>12</v>
      </c>
      <c r="E4" s="383"/>
      <c r="F4" s="383"/>
      <c r="G4" s="383"/>
      <c r="H4" s="383"/>
      <c r="I4" s="384"/>
      <c r="J4" s="382" t="s">
        <v>5</v>
      </c>
      <c r="K4" s="383"/>
      <c r="L4" s="383"/>
      <c r="M4" s="383"/>
      <c r="N4" s="383"/>
      <c r="O4" s="384"/>
      <c r="P4" s="382" t="s">
        <v>124</v>
      </c>
      <c r="Q4" s="383"/>
      <c r="R4" s="383"/>
      <c r="S4" s="383"/>
      <c r="T4" s="383"/>
      <c r="U4" s="384"/>
      <c r="V4" s="383" t="s">
        <v>126</v>
      </c>
      <c r="W4" s="383"/>
      <c r="X4" s="383"/>
      <c r="Y4" s="383"/>
      <c r="Z4" s="383"/>
      <c r="AA4" s="384"/>
      <c r="AB4" s="383" t="s">
        <v>128</v>
      </c>
      <c r="AC4" s="383"/>
      <c r="AD4" s="383"/>
      <c r="AE4" s="383"/>
      <c r="AF4" s="383"/>
      <c r="AG4" s="384"/>
      <c r="AH4" s="383" t="s">
        <v>213</v>
      </c>
      <c r="AI4" s="383"/>
      <c r="AJ4" s="383"/>
      <c r="AK4" s="383"/>
      <c r="AL4" s="384"/>
      <c r="AM4" s="383" t="s">
        <v>84</v>
      </c>
      <c r="AN4" s="383"/>
      <c r="AO4" s="383"/>
      <c r="AP4" s="383"/>
      <c r="AQ4" s="384"/>
    </row>
    <row r="5" spans="1:43" x14ac:dyDescent="0.25">
      <c r="B5" s="9" t="s">
        <v>15</v>
      </c>
      <c r="C5" s="9" t="s">
        <v>16</v>
      </c>
      <c r="D5" s="12">
        <v>1</v>
      </c>
      <c r="E5" s="13">
        <v>2</v>
      </c>
      <c r="F5" s="13">
        <v>3</v>
      </c>
      <c r="G5" s="13" t="s">
        <v>4</v>
      </c>
      <c r="H5" s="14" t="s">
        <v>17</v>
      </c>
      <c r="I5" s="15" t="s">
        <v>18</v>
      </c>
      <c r="J5" s="12">
        <v>1</v>
      </c>
      <c r="K5" s="13">
        <v>2</v>
      </c>
      <c r="L5" s="13">
        <v>3</v>
      </c>
      <c r="M5" s="13" t="s">
        <v>4</v>
      </c>
      <c r="N5" s="14" t="s">
        <v>17</v>
      </c>
      <c r="O5" s="15" t="s">
        <v>18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5" t="s">
        <v>18</v>
      </c>
      <c r="V5" s="13">
        <v>1</v>
      </c>
      <c r="W5" s="13">
        <v>2</v>
      </c>
      <c r="X5" s="13">
        <v>3</v>
      </c>
      <c r="Y5" s="13" t="s">
        <v>4</v>
      </c>
      <c r="Z5" s="14" t="s">
        <v>17</v>
      </c>
      <c r="AA5" s="15" t="s">
        <v>18</v>
      </c>
      <c r="AB5" s="13">
        <v>1</v>
      </c>
      <c r="AC5" s="13">
        <v>2</v>
      </c>
      <c r="AD5" s="13">
        <v>3</v>
      </c>
      <c r="AE5" s="13" t="s">
        <v>4</v>
      </c>
      <c r="AF5" s="14" t="s">
        <v>17</v>
      </c>
      <c r="AG5" s="15" t="s">
        <v>18</v>
      </c>
      <c r="AH5" s="13">
        <v>1</v>
      </c>
      <c r="AI5" s="13">
        <v>2</v>
      </c>
      <c r="AJ5" s="13">
        <v>3</v>
      </c>
      <c r="AK5" s="14" t="s">
        <v>17</v>
      </c>
      <c r="AL5" s="15" t="s">
        <v>18</v>
      </c>
      <c r="AM5" s="13">
        <v>1</v>
      </c>
      <c r="AN5" s="13">
        <v>2</v>
      </c>
      <c r="AO5" s="13">
        <v>3</v>
      </c>
      <c r="AP5" s="14" t="s">
        <v>17</v>
      </c>
      <c r="AQ5" s="15" t="s">
        <v>18</v>
      </c>
    </row>
    <row r="6" spans="1:43" x14ac:dyDescent="0.25">
      <c r="A6" s="5" t="s">
        <v>19</v>
      </c>
      <c r="B6" s="17">
        <v>42273.54583333333</v>
      </c>
      <c r="C6" s="122">
        <f>(B6-$B$6)*24</f>
        <v>0</v>
      </c>
      <c r="D6" s="198">
        <v>4.2000000000000003E-2</v>
      </c>
      <c r="E6" s="199">
        <v>4.7E-2</v>
      </c>
      <c r="F6" s="199">
        <v>3.2000000000000001E-2</v>
      </c>
      <c r="G6" s="199">
        <v>1E-3</v>
      </c>
      <c r="H6" s="200">
        <f>AVERAGE(D6:F6)</f>
        <v>4.0333333333333332E-2</v>
      </c>
      <c r="I6" s="110">
        <f>STDEV(D6:F6)</f>
        <v>7.6376261582597384E-3</v>
      </c>
      <c r="J6" s="201">
        <v>7.04</v>
      </c>
      <c r="K6" s="119">
        <v>7.04</v>
      </c>
      <c r="L6" s="119">
        <v>7.03</v>
      </c>
      <c r="M6" s="119">
        <v>7.05</v>
      </c>
      <c r="N6" s="202">
        <f>AVERAGE(J6:L6)</f>
        <v>7.0366666666666662</v>
      </c>
      <c r="O6" s="51">
        <f>STDEV(J6:L6)</f>
        <v>5.7735026918961348E-3</v>
      </c>
      <c r="P6" s="198">
        <f t="shared" ref="P6:P13" si="0">J155</f>
        <v>22.402473012828811</v>
      </c>
      <c r="Q6" s="199">
        <f t="shared" ref="Q6:Q13" si="1">J163</f>
        <v>23.188634331778928</v>
      </c>
      <c r="R6" s="199">
        <f t="shared" ref="R6:R13" si="2">J171</f>
        <v>23.187508903987034</v>
      </c>
      <c r="S6" s="199">
        <f t="shared" ref="S6:S13" si="3">J179</f>
        <v>23.350270929429069</v>
      </c>
      <c r="T6" s="200">
        <f>AVERAGE(P6:R6)</f>
        <v>22.926205416198258</v>
      </c>
      <c r="U6" s="110">
        <f>STDEV(P6:R6)</f>
        <v>0.45356591516700367</v>
      </c>
      <c r="V6" s="198">
        <f t="shared" ref="V6:V13" si="4">K155</f>
        <v>9.2562055361301757E-2</v>
      </c>
      <c r="W6" s="199">
        <f t="shared" ref="W6:W13" si="5">K163</f>
        <v>8.1109720969154794E-2</v>
      </c>
      <c r="X6" s="199">
        <f t="shared" ref="X6:X13" si="6">K171</f>
        <v>9.3848269777431659E-2</v>
      </c>
      <c r="Y6" s="199">
        <f t="shared" ref="Y6:Y13" si="7">K179</f>
        <v>-2.5902920301457814E-3</v>
      </c>
      <c r="Z6" s="200">
        <f>AVERAGE(V6:X6)</f>
        <v>8.9173348702629399E-2</v>
      </c>
      <c r="AA6" s="110">
        <f>STDEV(V6:X6)</f>
        <v>7.0128564828542406E-3</v>
      </c>
      <c r="AB6" s="198">
        <f t="shared" ref="AB6:AB13" si="8">L155</f>
        <v>6.0092697780024885E-2</v>
      </c>
      <c r="AC6" s="199">
        <f t="shared" ref="AC6:AC13" si="9">L163</f>
        <v>6.1970789451674613E-2</v>
      </c>
      <c r="AD6" s="199">
        <f t="shared" ref="AD6:AD13" si="10">L171</f>
        <v>6.8494704060467648E-2</v>
      </c>
      <c r="AE6" s="199">
        <f t="shared" ref="AE6:AE13" si="11">L179</f>
        <v>6.2317722445255963E-2</v>
      </c>
      <c r="AF6" s="200">
        <f>AVERAGE(AB6:AD6)</f>
        <v>6.3519397097389046E-2</v>
      </c>
      <c r="AG6" s="110">
        <f>STDEV(AB6:AD6)</f>
        <v>4.4098828345460394E-3</v>
      </c>
      <c r="AH6" s="198">
        <f>AB55</f>
        <v>7.6353708550443669</v>
      </c>
      <c r="AI6" s="199">
        <f>AB56</f>
        <v>7.8167218056091459</v>
      </c>
      <c r="AJ6" s="199">
        <f>AB58</f>
        <v>7.3321875420760021</v>
      </c>
      <c r="AK6" s="200">
        <f>AVERAGE(AH6:AJ6)</f>
        <v>7.5947600675765052</v>
      </c>
      <c r="AL6" s="110">
        <f>STDEV(AH6:AJ6)</f>
        <v>0.24480663834641286</v>
      </c>
      <c r="AM6" s="204">
        <f>AN55</f>
        <v>48000000</v>
      </c>
      <c r="AN6" s="205">
        <f>AN56</f>
        <v>72000000</v>
      </c>
      <c r="AO6" s="205">
        <f>AN58</f>
        <v>22000000</v>
      </c>
      <c r="AP6" s="206">
        <f>AVERAGE(AM6:AO6)</f>
        <v>47333333.333333336</v>
      </c>
      <c r="AQ6" s="207">
        <f>STDEV(AM6:AO6)</f>
        <v>25006665.778014738</v>
      </c>
    </row>
    <row r="7" spans="1:43" x14ac:dyDescent="0.25">
      <c r="A7" s="5" t="s">
        <v>20</v>
      </c>
      <c r="B7" s="17">
        <v>42273.632638888892</v>
      </c>
      <c r="C7" s="28">
        <f t="shared" ref="C7:C14" si="12">(B7-$B$6)*24</f>
        <v>2.0833333334885538</v>
      </c>
      <c r="D7" s="29">
        <v>7.6999999999999999E-2</v>
      </c>
      <c r="E7" s="30">
        <v>8.8999999999999996E-2</v>
      </c>
      <c r="F7" s="30">
        <v>5.7000000000000002E-2</v>
      </c>
      <c r="G7" s="30">
        <v>1E-3</v>
      </c>
      <c r="H7" s="31">
        <f t="shared" ref="H7:H16" si="13">AVERAGE(D7:F7)</f>
        <v>7.4333333333333321E-2</v>
      </c>
      <c r="I7" s="32">
        <f t="shared" ref="I7:I16" si="14">STDEV(D7:F7)</f>
        <v>1.6165807537309593E-2</v>
      </c>
      <c r="J7" s="33">
        <v>7</v>
      </c>
      <c r="K7" s="34">
        <v>7.01</v>
      </c>
      <c r="L7" s="34">
        <v>7.01</v>
      </c>
      <c r="M7" s="34">
        <v>7.04</v>
      </c>
      <c r="N7" s="35">
        <f t="shared" ref="N7:N14" si="15">AVERAGE(J7:L7)</f>
        <v>7.0066666666666668</v>
      </c>
      <c r="O7" s="36">
        <f t="shared" ref="O7:O14" si="16">STDEV(J7:L7)</f>
        <v>5.7735026918961348E-3</v>
      </c>
      <c r="P7" s="29">
        <f t="shared" si="0"/>
        <v>22.867417422008725</v>
      </c>
      <c r="Q7" s="30">
        <f t="shared" si="1"/>
        <v>22.878710247678729</v>
      </c>
      <c r="R7" s="30">
        <f t="shared" si="2"/>
        <v>22.686158113202822</v>
      </c>
      <c r="S7" s="30">
        <f t="shared" si="3"/>
        <v>23.244493288522506</v>
      </c>
      <c r="T7" s="31">
        <f t="shared" ref="T7:T13" si="17">AVERAGE(P7:R7)</f>
        <v>22.810761927630093</v>
      </c>
      <c r="U7" s="32">
        <f t="shared" ref="U7:U13" si="18">STDEV(P7:R7)</f>
        <v>0.10805769248541444</v>
      </c>
      <c r="V7" s="29">
        <f t="shared" si="4"/>
        <v>0.36916726293519514</v>
      </c>
      <c r="W7" s="30">
        <f t="shared" si="5"/>
        <v>0.26380290398262729</v>
      </c>
      <c r="X7" s="30">
        <f t="shared" si="6"/>
        <v>0.53408760314055692</v>
      </c>
      <c r="Y7" s="30">
        <f t="shared" si="7"/>
        <v>-5.8470672302000483E-3</v>
      </c>
      <c r="Z7" s="31">
        <f t="shared" ref="Z7:Z13" si="19">AVERAGE(V7:X7)</f>
        <v>0.38901925668612652</v>
      </c>
      <c r="AA7" s="32">
        <f t="shared" ref="AA7:AA13" si="20">STDEV(V7:X7)</f>
        <v>0.13623153413082567</v>
      </c>
      <c r="AB7" s="29">
        <f t="shared" si="8"/>
        <v>9.0483619642426127E-2</v>
      </c>
      <c r="AC7" s="30">
        <f t="shared" si="9"/>
        <v>0.11324565785187261</v>
      </c>
      <c r="AD7" s="30">
        <f t="shared" si="10"/>
        <v>7.1120440849620423E-2</v>
      </c>
      <c r="AE7" s="30">
        <f t="shared" si="11"/>
        <v>5.5299308351952702E-2</v>
      </c>
      <c r="AF7" s="31">
        <f t="shared" ref="AF7:AF13" si="21">AVERAGE(AB7:AD7)</f>
        <v>9.1616572781306402E-2</v>
      </c>
      <c r="AG7" s="32">
        <f t="shared" ref="AG7:AG13" si="22">STDEV(AB7:AD7)</f>
        <v>2.1085449105553367E-2</v>
      </c>
      <c r="AH7" s="29">
        <f>AB60</f>
        <v>7.9096439817194435</v>
      </c>
      <c r="AI7" s="30">
        <f>AB62</f>
        <v>8.0240308842590728</v>
      </c>
      <c r="AJ7" s="30">
        <f>AB63</f>
        <v>7.6191786247582201</v>
      </c>
      <c r="AK7" s="31">
        <f t="shared" ref="AK7:AK12" si="23">AVERAGE(AH7:AJ7)</f>
        <v>7.8509511635789124</v>
      </c>
      <c r="AL7" s="32">
        <f t="shared" ref="AL7:AL12" si="24">STDEV(AH7:AJ7)</f>
        <v>0.20871026132343032</v>
      </c>
      <c r="AM7" s="139">
        <f>AN60</f>
        <v>88000000</v>
      </c>
      <c r="AN7" s="140">
        <f>AN62</f>
        <v>113000000</v>
      </c>
      <c r="AO7" s="140">
        <f>AN63</f>
        <v>44000000</v>
      </c>
      <c r="AP7" s="141">
        <f t="shared" ref="AP7:AP12" si="25">AVERAGE(AM7:AO7)</f>
        <v>81666666.666666672</v>
      </c>
      <c r="AQ7" s="142">
        <f t="shared" ref="AQ7:AQ12" si="26">STDEV(AM7:AO7)</f>
        <v>34933269.720043868</v>
      </c>
    </row>
    <row r="8" spans="1:43" x14ac:dyDescent="0.25">
      <c r="A8" s="5" t="s">
        <v>22</v>
      </c>
      <c r="B8" s="17">
        <v>42273.71597222222</v>
      </c>
      <c r="C8" s="28">
        <f t="shared" si="12"/>
        <v>4.0833333333721384</v>
      </c>
      <c r="D8" s="29">
        <v>0.124</v>
      </c>
      <c r="E8" s="30">
        <v>0.14499999999999999</v>
      </c>
      <c r="F8" s="30">
        <v>8.7999999999999995E-2</v>
      </c>
      <c r="G8" s="30">
        <v>1E-3</v>
      </c>
      <c r="H8" s="31">
        <f t="shared" si="13"/>
        <v>0.11899999999999999</v>
      </c>
      <c r="I8" s="32">
        <f t="shared" si="14"/>
        <v>2.8827070610799182E-2</v>
      </c>
      <c r="J8" s="33">
        <v>6.99</v>
      </c>
      <c r="K8" s="34">
        <v>7</v>
      </c>
      <c r="L8" s="34">
        <v>6.99</v>
      </c>
      <c r="M8" s="34">
        <v>7.04</v>
      </c>
      <c r="N8" s="35">
        <f t="shared" si="15"/>
        <v>6.9933333333333332</v>
      </c>
      <c r="O8" s="36">
        <f t="shared" si="16"/>
        <v>5.7735026918961348E-3</v>
      </c>
      <c r="P8" s="29">
        <f t="shared" si="0"/>
        <v>22.183121313781168</v>
      </c>
      <c r="Q8" s="30">
        <f t="shared" si="1"/>
        <v>22.19396754033674</v>
      </c>
      <c r="R8" s="30">
        <f t="shared" si="2"/>
        <v>22.128412173259374</v>
      </c>
      <c r="S8" s="30">
        <f t="shared" si="3"/>
        <v>23.241407362224098</v>
      </c>
      <c r="T8" s="31">
        <f t="shared" si="17"/>
        <v>22.168500342459094</v>
      </c>
      <c r="U8" s="32">
        <f t="shared" si="18"/>
        <v>3.5138385562838902E-2</v>
      </c>
      <c r="V8" s="29">
        <f t="shared" si="4"/>
        <v>0.93698636721605411</v>
      </c>
      <c r="W8" s="30">
        <f t="shared" si="5"/>
        <v>0.67795630620426905</v>
      </c>
      <c r="X8" s="30">
        <f t="shared" si="6"/>
        <v>1.4025586489171384</v>
      </c>
      <c r="Y8" s="30">
        <f t="shared" si="7"/>
        <v>1.4159922645140442E-3</v>
      </c>
      <c r="Z8" s="31">
        <f t="shared" si="19"/>
        <v>1.0058337741124872</v>
      </c>
      <c r="AA8" s="32">
        <f t="shared" si="20"/>
        <v>0.36717449917378103</v>
      </c>
      <c r="AB8" s="29">
        <f t="shared" si="8"/>
        <v>0.14826918088389704</v>
      </c>
      <c r="AC8" s="30">
        <f t="shared" si="9"/>
        <v>0.16104319242885001</v>
      </c>
      <c r="AD8" s="30">
        <f t="shared" si="10"/>
        <v>0.10469838471323119</v>
      </c>
      <c r="AE8" s="30">
        <f t="shared" si="11"/>
        <v>5.4828791392017011E-2</v>
      </c>
      <c r="AF8" s="31">
        <f t="shared" si="21"/>
        <v>0.13800358600865942</v>
      </c>
      <c r="AG8" s="32">
        <f t="shared" si="22"/>
        <v>2.9541854507366194E-2</v>
      </c>
      <c r="AH8" s="29">
        <f>AB65</f>
        <v>8.0909459215708637</v>
      </c>
      <c r="AI8" s="30">
        <f>AB66</f>
        <v>8.4099466271824603</v>
      </c>
      <c r="AJ8" s="30">
        <f>AB69</f>
        <v>7.8408034644783795</v>
      </c>
      <c r="AK8" s="31">
        <f t="shared" si="23"/>
        <v>8.1138986710772354</v>
      </c>
      <c r="AL8" s="32">
        <f t="shared" si="24"/>
        <v>0.28526497584811844</v>
      </c>
      <c r="AM8" s="139">
        <f>AN65</f>
        <v>125000000</v>
      </c>
      <c r="AN8" s="140">
        <f>AN66</f>
        <v>262469045.79397565</v>
      </c>
      <c r="AO8" s="140">
        <f>AN69</f>
        <v>74000000</v>
      </c>
      <c r="AP8" s="141">
        <f t="shared" si="25"/>
        <v>153823015.26465854</v>
      </c>
      <c r="AQ8" s="142">
        <f t="shared" si="26"/>
        <v>97484460.106895909</v>
      </c>
    </row>
    <row r="9" spans="1:43" x14ac:dyDescent="0.25">
      <c r="A9" s="5" t="s">
        <v>23</v>
      </c>
      <c r="B9" s="17">
        <v>42273.813194444447</v>
      </c>
      <c r="C9" s="28">
        <f t="shared" si="12"/>
        <v>6.4166666668024845</v>
      </c>
      <c r="D9" s="29">
        <v>0.214</v>
      </c>
      <c r="E9" s="30">
        <v>0.255</v>
      </c>
      <c r="F9" s="30">
        <v>0.14499999999999999</v>
      </c>
      <c r="G9" s="30">
        <v>1E-3</v>
      </c>
      <c r="H9" s="31">
        <f t="shared" si="13"/>
        <v>0.20466666666666666</v>
      </c>
      <c r="I9" s="32">
        <f t="shared" si="14"/>
        <v>5.5590766619406623E-2</v>
      </c>
      <c r="J9" s="33">
        <v>6.91</v>
      </c>
      <c r="K9" s="34">
        <v>6.92</v>
      </c>
      <c r="L9" s="34">
        <v>6.91</v>
      </c>
      <c r="M9" s="34">
        <v>7.04</v>
      </c>
      <c r="N9" s="35">
        <f t="shared" si="15"/>
        <v>6.913333333333334</v>
      </c>
      <c r="O9" s="36">
        <f t="shared" si="16"/>
        <v>5.7735026918961348E-3</v>
      </c>
      <c r="P9" s="29">
        <f t="shared" si="0"/>
        <v>20.317518949994696</v>
      </c>
      <c r="Q9" s="30">
        <f t="shared" si="1"/>
        <v>20.992713238215348</v>
      </c>
      <c r="R9" s="30">
        <f t="shared" si="2"/>
        <v>20.857182218011726</v>
      </c>
      <c r="S9" s="30">
        <f t="shared" si="3"/>
        <v>23.618291238941371</v>
      </c>
      <c r="T9" s="31">
        <f t="shared" si="17"/>
        <v>20.72247146874059</v>
      </c>
      <c r="U9" s="32">
        <f t="shared" si="18"/>
        <v>0.35718632558979829</v>
      </c>
      <c r="V9" s="29">
        <f t="shared" si="4"/>
        <v>2.022933303450186</v>
      </c>
      <c r="W9" s="30">
        <f t="shared" si="5"/>
        <v>1.3901071523057797</v>
      </c>
      <c r="X9" s="30">
        <f t="shared" si="6"/>
        <v>3.2847367276866035</v>
      </c>
      <c r="Y9" s="30">
        <f t="shared" si="7"/>
        <v>-9.9422663333543528E-5</v>
      </c>
      <c r="Z9" s="31">
        <f t="shared" si="19"/>
        <v>2.2325923944808568</v>
      </c>
      <c r="AA9" s="32">
        <f t="shared" si="20"/>
        <v>0.96455845225459713</v>
      </c>
      <c r="AB9" s="29">
        <f t="shared" si="8"/>
        <v>0.29859302111062536</v>
      </c>
      <c r="AC9" s="30">
        <f t="shared" si="9"/>
        <v>0.343204784363843</v>
      </c>
      <c r="AD9" s="30">
        <f t="shared" si="10"/>
        <v>0.16232178822685916</v>
      </c>
      <c r="AE9" s="30">
        <f t="shared" si="11"/>
        <v>4.0945298950381875E-2</v>
      </c>
      <c r="AF9" s="31">
        <f t="shared" si="21"/>
        <v>0.26803986456710921</v>
      </c>
      <c r="AG9" s="32">
        <f t="shared" si="22"/>
        <v>9.4232616985587631E-2</v>
      </c>
      <c r="AH9" s="29">
        <f>AB71</f>
        <v>8.3794876465394417</v>
      </c>
      <c r="AI9" s="30">
        <f>AB74</f>
        <v>8.6274679280870394</v>
      </c>
      <c r="AJ9" s="30">
        <f>AB77</f>
        <v>7.9738865792299602</v>
      </c>
      <c r="AK9" s="31">
        <f t="shared" si="23"/>
        <v>8.3269473846188138</v>
      </c>
      <c r="AL9" s="32">
        <f t="shared" si="24"/>
        <v>0.32994318334445993</v>
      </c>
      <c r="AM9" s="139">
        <f>AN71</f>
        <v>249819935.15330219</v>
      </c>
      <c r="AN9" s="140">
        <f>AN74</f>
        <v>445881150.08374184</v>
      </c>
      <c r="AO9" s="140">
        <f>AN77</f>
        <v>98000000</v>
      </c>
      <c r="AP9" s="141">
        <f t="shared" si="25"/>
        <v>264567028.41234803</v>
      </c>
      <c r="AQ9" s="142">
        <f t="shared" si="26"/>
        <v>174408804.86830351</v>
      </c>
    </row>
    <row r="10" spans="1:43" x14ac:dyDescent="0.25">
      <c r="A10" s="5" t="s">
        <v>24</v>
      </c>
      <c r="B10" s="17">
        <v>42273.904166666667</v>
      </c>
      <c r="C10" s="28">
        <f t="shared" si="12"/>
        <v>8.6000000000931323</v>
      </c>
      <c r="D10" s="29">
        <f>0.182*2</f>
        <v>0.36399999999999999</v>
      </c>
      <c r="E10" s="30">
        <f>0.221*2</f>
        <v>0.442</v>
      </c>
      <c r="F10" s="30">
        <f>0.233</f>
        <v>0.23300000000000001</v>
      </c>
      <c r="G10" s="30">
        <v>2E-3</v>
      </c>
      <c r="H10" s="31">
        <f t="shared" si="13"/>
        <v>0.34633333333333338</v>
      </c>
      <c r="I10" s="32">
        <f t="shared" si="14"/>
        <v>0.10561407734451546</v>
      </c>
      <c r="J10" s="33">
        <v>6.82</v>
      </c>
      <c r="K10" s="34">
        <v>6.86</v>
      </c>
      <c r="L10" s="34">
        <v>6.8</v>
      </c>
      <c r="M10" s="34">
        <v>7.03</v>
      </c>
      <c r="N10" s="35">
        <f t="shared" si="15"/>
        <v>6.8266666666666671</v>
      </c>
      <c r="O10" s="36">
        <f t="shared" si="16"/>
        <v>3.0550504633039158E-2</v>
      </c>
      <c r="P10" s="29">
        <f t="shared" si="0"/>
        <v>18.877128775204397</v>
      </c>
      <c r="Q10" s="30">
        <f t="shared" si="1"/>
        <v>19.064128609828519</v>
      </c>
      <c r="R10" s="30">
        <f t="shared" si="2"/>
        <v>18.72876178774953</v>
      </c>
      <c r="S10" s="30">
        <f t="shared" si="3"/>
        <v>23.631508852149661</v>
      </c>
      <c r="T10" s="31">
        <f t="shared" si="17"/>
        <v>18.890006390927482</v>
      </c>
      <c r="U10" s="32">
        <f t="shared" si="18"/>
        <v>0.16805386362078548</v>
      </c>
      <c r="V10" s="29">
        <f t="shared" si="4"/>
        <v>3.4769768246912256</v>
      </c>
      <c r="W10" s="30">
        <f t="shared" si="5"/>
        <v>1.9738907065492441</v>
      </c>
      <c r="X10" s="30">
        <f t="shared" si="6"/>
        <v>6.6698297545226142</v>
      </c>
      <c r="Y10" s="30">
        <f t="shared" si="7"/>
        <v>8.6606181170343006E-4</v>
      </c>
      <c r="Z10" s="31">
        <f t="shared" si="19"/>
        <v>4.0402324285876947</v>
      </c>
      <c r="AA10" s="32">
        <f t="shared" si="20"/>
        <v>2.3981041557990843</v>
      </c>
      <c r="AB10" s="29">
        <f t="shared" si="8"/>
        <v>0.6583092023542747</v>
      </c>
      <c r="AC10" s="30">
        <f t="shared" si="9"/>
        <v>0.83041283727274384</v>
      </c>
      <c r="AD10" s="30">
        <f t="shared" si="10"/>
        <v>0.24628293919241603</v>
      </c>
      <c r="AE10" s="30">
        <f t="shared" si="11"/>
        <v>9.7274163890552212E-2</v>
      </c>
      <c r="AF10" s="31">
        <f t="shared" si="21"/>
        <v>0.5783349929398115</v>
      </c>
      <c r="AG10" s="32">
        <f t="shared" si="22"/>
        <v>0.30016468827367881</v>
      </c>
      <c r="AH10" s="29">
        <f>AB80</f>
        <v>8.7865095291034638</v>
      </c>
      <c r="AI10" s="30">
        <f>AB82</f>
        <v>8.7490090216461418</v>
      </c>
      <c r="AJ10" s="30">
        <f>AB84</f>
        <v>8.1354738776927924</v>
      </c>
      <c r="AK10" s="31">
        <f t="shared" si="23"/>
        <v>8.5569974761474672</v>
      </c>
      <c r="AL10" s="32">
        <f t="shared" si="24"/>
        <v>0.36553136671908454</v>
      </c>
      <c r="AM10" s="139">
        <f>AN80</f>
        <v>622968699.05317128</v>
      </c>
      <c r="AN10" s="140">
        <f>AN82</f>
        <v>585021367.1311506</v>
      </c>
      <c r="AO10" s="140">
        <f>AN84</f>
        <v>139000000</v>
      </c>
      <c r="AP10" s="141">
        <f t="shared" si="25"/>
        <v>448996688.72810727</v>
      </c>
      <c r="AQ10" s="142">
        <f t="shared" si="26"/>
        <v>269134650.81032085</v>
      </c>
    </row>
    <row r="11" spans="1:43" x14ac:dyDescent="0.25">
      <c r="A11" s="5" t="s">
        <v>40</v>
      </c>
      <c r="B11" s="17">
        <v>42273.99722222222</v>
      </c>
      <c r="C11" s="122">
        <f t="shared" si="12"/>
        <v>10.833333333372138</v>
      </c>
      <c r="D11" s="19">
        <f>0.19*3</f>
        <v>0.57000000000000006</v>
      </c>
      <c r="E11" s="57">
        <f>0.254*3</f>
        <v>0.76200000000000001</v>
      </c>
      <c r="F11" s="20">
        <f>0.111*3</f>
        <v>0.33300000000000002</v>
      </c>
      <c r="G11" s="20">
        <v>0</v>
      </c>
      <c r="H11" s="21">
        <f t="shared" si="13"/>
        <v>0.55500000000000005</v>
      </c>
      <c r="I11" s="22">
        <f t="shared" si="14"/>
        <v>0.21489299662855471</v>
      </c>
      <c r="J11" s="23">
        <v>6.77</v>
      </c>
      <c r="K11" s="24">
        <v>6.82</v>
      </c>
      <c r="L11" s="24">
        <v>6.63</v>
      </c>
      <c r="M11" s="24">
        <v>7.03</v>
      </c>
      <c r="N11" s="25">
        <f t="shared" si="15"/>
        <v>6.7399999999999993</v>
      </c>
      <c r="O11" s="26">
        <f t="shared" si="16"/>
        <v>9.8488578017961154E-2</v>
      </c>
      <c r="P11" s="19">
        <f t="shared" si="0"/>
        <v>16.509187843242426</v>
      </c>
      <c r="Q11" s="20">
        <f t="shared" si="1"/>
        <v>16.415335120153554</v>
      </c>
      <c r="R11" s="20">
        <f t="shared" si="2"/>
        <v>15.203816076213547</v>
      </c>
      <c r="S11" s="20">
        <f t="shared" si="3"/>
        <v>23.39335636266625</v>
      </c>
      <c r="T11" s="21">
        <f t="shared" si="17"/>
        <v>16.042779679869842</v>
      </c>
      <c r="U11" s="22">
        <f t="shared" si="18"/>
        <v>0.72807762608307547</v>
      </c>
      <c r="V11" s="19">
        <f t="shared" si="4"/>
        <v>3.6589561199661826</v>
      </c>
      <c r="W11" s="20">
        <f t="shared" si="5"/>
        <v>0.61264841882418242</v>
      </c>
      <c r="X11" s="20">
        <f t="shared" si="6"/>
        <v>11.762295663547006</v>
      </c>
      <c r="Y11" s="20">
        <f t="shared" si="7"/>
        <v>-5.8470672302000483E-3</v>
      </c>
      <c r="Z11" s="21">
        <f t="shared" si="19"/>
        <v>5.3446334007791236</v>
      </c>
      <c r="AA11" s="22">
        <f t="shared" si="20"/>
        <v>5.7627935362743559</v>
      </c>
      <c r="AB11" s="19">
        <f t="shared" si="8"/>
        <v>1.153091277210148</v>
      </c>
      <c r="AC11" s="20">
        <f t="shared" si="9"/>
        <v>1.3412249391394013</v>
      </c>
      <c r="AD11" s="20">
        <f t="shared" si="10"/>
        <v>0.49626797130548433</v>
      </c>
      <c r="AE11" s="20">
        <f t="shared" si="11"/>
        <v>5.3586626617786813E-2</v>
      </c>
      <c r="AF11" s="21">
        <f t="shared" si="21"/>
        <v>0.99686139588501133</v>
      </c>
      <c r="AG11" s="22">
        <f t="shared" si="22"/>
        <v>0.44361458636627532</v>
      </c>
      <c r="AH11" s="19">
        <f>AB85</f>
        <v>8.9575601613562643</v>
      </c>
      <c r="AI11" s="20">
        <f>AB86</f>
        <v>9.2134054625538226</v>
      </c>
      <c r="AJ11" s="20">
        <f>AB89</f>
        <v>8.2913767151954119</v>
      </c>
      <c r="AK11" s="21">
        <f t="shared" si="23"/>
        <v>8.8207807797018329</v>
      </c>
      <c r="AL11" s="22">
        <f t="shared" si="24"/>
        <v>0.47598918283208547</v>
      </c>
      <c r="AM11" s="133">
        <f>AN85</f>
        <v>940000000</v>
      </c>
      <c r="AN11" s="134">
        <f>AN86</f>
        <v>1670000000</v>
      </c>
      <c r="AO11" s="134">
        <f>AN89</f>
        <v>199000000</v>
      </c>
      <c r="AP11" s="135">
        <f t="shared" si="25"/>
        <v>936333333.33333337</v>
      </c>
      <c r="AQ11" s="136">
        <f t="shared" si="26"/>
        <v>735506854.71539509</v>
      </c>
    </row>
    <row r="12" spans="1:43" x14ac:dyDescent="0.25">
      <c r="A12" s="5" t="s">
        <v>46</v>
      </c>
      <c r="B12" s="17">
        <v>42274.1</v>
      </c>
      <c r="C12" s="122">
        <f t="shared" si="12"/>
        <v>13.300000000046566</v>
      </c>
      <c r="D12" s="19">
        <f>0.282*3</f>
        <v>0.84599999999999986</v>
      </c>
      <c r="E12" s="20">
        <f>0.232*4</f>
        <v>0.92800000000000005</v>
      </c>
      <c r="F12" s="20">
        <f>0.113*3</f>
        <v>0.33900000000000002</v>
      </c>
      <c r="G12" s="20">
        <v>1E-3</v>
      </c>
      <c r="H12" s="21">
        <f t="shared" si="13"/>
        <v>0.70433333333333337</v>
      </c>
      <c r="I12" s="22">
        <f t="shared" si="14"/>
        <v>0.31903343607423551</v>
      </c>
      <c r="J12" s="23">
        <v>6.87</v>
      </c>
      <c r="K12" s="24">
        <v>6.88</v>
      </c>
      <c r="L12" s="24">
        <v>6.59</v>
      </c>
      <c r="M12" s="24">
        <v>7.04</v>
      </c>
      <c r="N12" s="25">
        <f t="shared" si="15"/>
        <v>6.78</v>
      </c>
      <c r="O12" s="26">
        <f t="shared" si="16"/>
        <v>0.16462077633154337</v>
      </c>
      <c r="P12" s="19">
        <f t="shared" si="0"/>
        <v>15.418771307606432</v>
      </c>
      <c r="Q12" s="20">
        <f t="shared" si="1"/>
        <v>15.240064966289628</v>
      </c>
      <c r="R12" s="20">
        <f t="shared" si="2"/>
        <v>13.176807218867998</v>
      </c>
      <c r="S12" s="20">
        <f t="shared" si="3"/>
        <v>23.603791009470992</v>
      </c>
      <c r="T12" s="21">
        <f t="shared" si="17"/>
        <v>14.611881164254685</v>
      </c>
      <c r="U12" s="22">
        <f t="shared" si="18"/>
        <v>1.2460184230790876</v>
      </c>
      <c r="V12" s="19">
        <f t="shared" si="4"/>
        <v>3.7727083578249852E-2</v>
      </c>
      <c r="W12" s="20">
        <f t="shared" si="5"/>
        <v>3.7255582304419881E-2</v>
      </c>
      <c r="X12" s="20">
        <f t="shared" si="6"/>
        <v>12.008170017253695</v>
      </c>
      <c r="Y12" s="20">
        <f t="shared" si="7"/>
        <v>-2.9868531379448455E-3</v>
      </c>
      <c r="Z12" s="21">
        <f t="shared" si="19"/>
        <v>4.0277175610454554</v>
      </c>
      <c r="AA12" s="22">
        <f t="shared" si="20"/>
        <v>6.9112745647911042</v>
      </c>
      <c r="AB12" s="19">
        <f t="shared" si="8"/>
        <v>3.2430825770436503E-3</v>
      </c>
      <c r="AC12" s="20">
        <f t="shared" si="9"/>
        <v>3.7242784844873193E-3</v>
      </c>
      <c r="AD12" s="20">
        <f t="shared" si="10"/>
        <v>0.85869688538584132</v>
      </c>
      <c r="AE12" s="20">
        <f t="shared" si="11"/>
        <v>7.3795438192520796E-2</v>
      </c>
      <c r="AF12" s="21">
        <f t="shared" si="21"/>
        <v>0.28855474881579074</v>
      </c>
      <c r="AG12" s="22">
        <f t="shared" si="22"/>
        <v>0.49375763265682482</v>
      </c>
      <c r="AH12" s="19">
        <f>AB90</f>
        <v>9.0494384685078249</v>
      </c>
      <c r="AI12" s="20">
        <f>AB91</f>
        <v>9.4585718313559486</v>
      </c>
      <c r="AJ12" s="20">
        <f>AB92</f>
        <v>8.8473152976508551</v>
      </c>
      <c r="AK12" s="21">
        <f t="shared" si="23"/>
        <v>9.1184418658382089</v>
      </c>
      <c r="AL12" s="22">
        <f t="shared" si="24"/>
        <v>0.31141570148539832</v>
      </c>
      <c r="AM12" s="133">
        <f>AN90</f>
        <v>1190000000</v>
      </c>
      <c r="AN12" s="134">
        <f>AN91</f>
        <v>2970000000</v>
      </c>
      <c r="AO12" s="134">
        <f>AN92</f>
        <v>730000000</v>
      </c>
      <c r="AP12" s="135">
        <f t="shared" si="25"/>
        <v>1630000000</v>
      </c>
      <c r="AQ12" s="136">
        <f t="shared" si="26"/>
        <v>1183046913.6936202</v>
      </c>
    </row>
    <row r="13" spans="1:43" x14ac:dyDescent="0.25">
      <c r="A13" s="5" t="s">
        <v>65</v>
      </c>
      <c r="B13" s="17">
        <v>42274.297222222223</v>
      </c>
      <c r="C13" s="122">
        <f t="shared" si="12"/>
        <v>18.033333333441988</v>
      </c>
      <c r="D13" s="19">
        <f>0.243*4</f>
        <v>0.97199999999999998</v>
      </c>
      <c r="E13" s="20">
        <f>0.267*4</f>
        <v>1.0680000000000001</v>
      </c>
      <c r="F13" s="20">
        <f>0.268*4</f>
        <v>1.0720000000000001</v>
      </c>
      <c r="G13" s="20">
        <v>1E-3</v>
      </c>
      <c r="H13" s="21">
        <f t="shared" si="13"/>
        <v>1.0373333333333334</v>
      </c>
      <c r="I13" s="22">
        <f t="shared" si="14"/>
        <v>5.6615663321499109E-2</v>
      </c>
      <c r="J13" s="23">
        <v>6.87</v>
      </c>
      <c r="K13" s="24">
        <v>6.87</v>
      </c>
      <c r="L13" s="24">
        <v>6.84</v>
      </c>
      <c r="M13" s="24">
        <v>7.04</v>
      </c>
      <c r="N13" s="25">
        <f t="shared" si="15"/>
        <v>6.8599999999999994</v>
      </c>
      <c r="O13" s="26">
        <f t="shared" si="16"/>
        <v>1.7320508075688915E-2</v>
      </c>
      <c r="P13" s="19">
        <f t="shared" si="0"/>
        <v>15.030810343389492</v>
      </c>
      <c r="Q13" s="20">
        <f t="shared" si="1"/>
        <v>14.689635171946856</v>
      </c>
      <c r="R13" s="20">
        <f t="shared" si="2"/>
        <v>12.547046518562345</v>
      </c>
      <c r="S13" s="20">
        <f t="shared" si="3"/>
        <v>23.761222147500245</v>
      </c>
      <c r="T13" s="21">
        <f t="shared" si="17"/>
        <v>14.089164011299564</v>
      </c>
      <c r="U13" s="22">
        <f t="shared" si="18"/>
        <v>1.3463635821934665</v>
      </c>
      <c r="V13" s="19">
        <f t="shared" si="4"/>
        <v>3.4643746204921506E-2</v>
      </c>
      <c r="W13" s="20">
        <f t="shared" si="5"/>
        <v>3.9688379607987399E-2</v>
      </c>
      <c r="X13" s="20">
        <f t="shared" si="6"/>
        <v>5.8931322720804924E-2</v>
      </c>
      <c r="Y13" s="20">
        <f t="shared" si="7"/>
        <v>-5.8470672302000483E-3</v>
      </c>
      <c r="Z13" s="21">
        <f t="shared" si="19"/>
        <v>4.4421149511237941E-2</v>
      </c>
      <c r="AA13" s="22">
        <f t="shared" si="20"/>
        <v>1.2816822011386403E-2</v>
      </c>
      <c r="AB13" s="19">
        <f t="shared" si="8"/>
        <v>1.2611160981285098E-2</v>
      </c>
      <c r="AC13" s="20">
        <f t="shared" si="9"/>
        <v>7.0589387000637056E-3</v>
      </c>
      <c r="AD13" s="20">
        <f t="shared" si="10"/>
        <v>1.0092856936796551E-2</v>
      </c>
      <c r="AE13" s="20">
        <f t="shared" si="11"/>
        <v>0.11659432655142947</v>
      </c>
      <c r="AF13" s="21">
        <f t="shared" si="21"/>
        <v>9.9209855393817842E-3</v>
      </c>
      <c r="AG13" s="22">
        <f t="shared" si="22"/>
        <v>2.7800985410520616E-3</v>
      </c>
      <c r="AH13" s="84"/>
      <c r="AI13" s="49"/>
      <c r="AJ13" s="49"/>
      <c r="AK13" s="49"/>
      <c r="AL13" s="59"/>
      <c r="AM13" s="84"/>
      <c r="AN13" s="49"/>
      <c r="AO13" s="49"/>
      <c r="AP13" s="49"/>
      <c r="AQ13" s="59"/>
    </row>
    <row r="14" spans="1:43" x14ac:dyDescent="0.25">
      <c r="A14" s="5" t="s">
        <v>66</v>
      </c>
      <c r="B14" s="17">
        <v>42274.675694444442</v>
      </c>
      <c r="C14" s="122">
        <f t="shared" si="12"/>
        <v>27.116666666697711</v>
      </c>
      <c r="D14" s="40">
        <f>0.276*4</f>
        <v>1.1040000000000001</v>
      </c>
      <c r="E14" s="41">
        <f>0.246*5</f>
        <v>1.23</v>
      </c>
      <c r="F14" s="41">
        <f>0.256*5</f>
        <v>1.28</v>
      </c>
      <c r="G14" s="41">
        <v>1E-3</v>
      </c>
      <c r="H14" s="42">
        <f t="shared" si="13"/>
        <v>1.2046666666666666</v>
      </c>
      <c r="I14" s="43">
        <f t="shared" si="14"/>
        <v>9.069362344362103E-2</v>
      </c>
      <c r="J14" s="44">
        <v>6.86</v>
      </c>
      <c r="K14" s="45">
        <v>6.86</v>
      </c>
      <c r="L14" s="45">
        <v>6.83</v>
      </c>
      <c r="M14" s="45">
        <v>7.03</v>
      </c>
      <c r="N14" s="46">
        <f t="shared" si="15"/>
        <v>6.8500000000000005</v>
      </c>
      <c r="O14" s="47">
        <f t="shared" si="16"/>
        <v>1.7320508075688915E-2</v>
      </c>
      <c r="P14" s="64"/>
      <c r="Q14" s="62"/>
      <c r="R14" s="62"/>
      <c r="S14" s="62"/>
      <c r="T14" s="62"/>
      <c r="U14" s="63"/>
      <c r="V14" s="64"/>
      <c r="W14" s="62"/>
      <c r="X14" s="62"/>
      <c r="Y14" s="62"/>
      <c r="Z14" s="62"/>
      <c r="AA14" s="63"/>
      <c r="AB14" s="64"/>
      <c r="AC14" s="62"/>
      <c r="AD14" s="62"/>
      <c r="AE14" s="62"/>
      <c r="AF14" s="62"/>
      <c r="AG14" s="63"/>
      <c r="AH14" s="64"/>
      <c r="AI14" s="62"/>
      <c r="AJ14" s="62"/>
      <c r="AK14" s="62"/>
      <c r="AL14" s="63"/>
      <c r="AM14" s="64"/>
      <c r="AN14" s="62"/>
      <c r="AO14" s="62"/>
      <c r="AP14" s="62"/>
      <c r="AQ14" s="63"/>
    </row>
    <row r="15" spans="1:43" ht="18.75" x14ac:dyDescent="0.35">
      <c r="B15" s="17"/>
      <c r="C15" s="284" t="s">
        <v>25</v>
      </c>
      <c r="D15" s="201">
        <f>LN(LOGEST(D7:D10,$C$7:$C$10))</f>
        <v>0.23787575439671649</v>
      </c>
      <c r="E15" s="119">
        <f t="shared" ref="E15:F15" si="27">LN(LOGEST(E7:E10,$C$7:$C$10))</f>
        <v>0.24551319016567719</v>
      </c>
      <c r="F15" s="119">
        <f t="shared" si="27"/>
        <v>0.2158293505990482</v>
      </c>
      <c r="G15" s="199"/>
      <c r="H15" s="202">
        <f t="shared" si="13"/>
        <v>0.23307276505381394</v>
      </c>
      <c r="I15" s="51">
        <f t="shared" si="14"/>
        <v>1.5413763746255117E-2</v>
      </c>
      <c r="J15" s="201"/>
      <c r="K15" s="119"/>
      <c r="L15" s="119"/>
      <c r="M15" s="119"/>
      <c r="N15" s="119"/>
      <c r="O15" s="123" t="s">
        <v>87</v>
      </c>
      <c r="P15" s="201">
        <f>P7-P10</f>
        <v>3.990288646804327</v>
      </c>
      <c r="Q15" s="119">
        <f t="shared" ref="Q15:R15" si="28">Q7-Q10</f>
        <v>3.8145816378502104</v>
      </c>
      <c r="R15" s="119">
        <f t="shared" si="28"/>
        <v>3.957396325453292</v>
      </c>
      <c r="S15" s="119"/>
      <c r="T15" s="202">
        <f>AVERAGE(P15:R15)</f>
        <v>3.9207555367026097</v>
      </c>
      <c r="U15" s="243">
        <f>STDEV(P15:R15)</f>
        <v>9.3408504961296712E-2</v>
      </c>
      <c r="V15" s="201">
        <f>V10-V7</f>
        <v>3.1078095617560306</v>
      </c>
      <c r="W15" s="119">
        <f t="shared" ref="W15:X15" si="29">W10-W7</f>
        <v>1.7100878025666169</v>
      </c>
      <c r="X15" s="119">
        <f t="shared" si="29"/>
        <v>6.1357421513820576</v>
      </c>
      <c r="Y15" s="119"/>
      <c r="Z15" s="202">
        <f>AVERAGE(V15:X15)</f>
        <v>3.6512131719015684</v>
      </c>
      <c r="AA15" s="243">
        <f>STDEV(V15:X15)</f>
        <v>2.2623151231507643</v>
      </c>
      <c r="AB15" s="201">
        <f>AB10-AB7</f>
        <v>0.56782558271184858</v>
      </c>
      <c r="AC15" s="119">
        <f t="shared" ref="AC15:AD15" si="30">AC10-AC7</f>
        <v>0.71716717942087127</v>
      </c>
      <c r="AD15" s="119">
        <f t="shared" si="30"/>
        <v>0.17516249834279563</v>
      </c>
      <c r="AE15" s="119"/>
      <c r="AF15" s="202">
        <f>AVERAGE(AB15:AD15)</f>
        <v>0.48671842015850525</v>
      </c>
      <c r="AG15" s="243">
        <f>STDEV(AB15:AD15)</f>
        <v>0.27995722430529874</v>
      </c>
    </row>
    <row r="16" spans="1:43" ht="18" x14ac:dyDescent="0.35">
      <c r="A16" s="52" t="s">
        <v>27</v>
      </c>
      <c r="B16" s="53"/>
      <c r="C16" s="50" t="s">
        <v>28</v>
      </c>
      <c r="D16" s="23">
        <f>D14*0.46</f>
        <v>0.50784000000000007</v>
      </c>
      <c r="E16" s="24">
        <f t="shared" ref="E16:F16" si="31">E14*0.46</f>
        <v>0.56579999999999997</v>
      </c>
      <c r="F16" s="24">
        <f t="shared" si="31"/>
        <v>0.58879999999999999</v>
      </c>
      <c r="G16" s="20"/>
      <c r="H16" s="25">
        <f t="shared" si="13"/>
        <v>0.55414666666666668</v>
      </c>
      <c r="I16" s="26">
        <f t="shared" si="14"/>
        <v>4.1719066784065652E-2</v>
      </c>
      <c r="J16" s="23"/>
      <c r="K16" s="24"/>
      <c r="L16" s="24"/>
      <c r="M16" s="24"/>
      <c r="N16" s="24"/>
      <c r="O16" s="54" t="s">
        <v>29</v>
      </c>
      <c r="P16" s="23">
        <f>(D10-D7)*0.46</f>
        <v>0.13202</v>
      </c>
      <c r="Q16" s="24">
        <f t="shared" ref="Q16:R16" si="32">(E10-E7)*0.46</f>
        <v>0.16238</v>
      </c>
      <c r="R16" s="24">
        <f t="shared" si="32"/>
        <v>8.0960000000000018E-2</v>
      </c>
      <c r="S16" s="24"/>
      <c r="T16" s="25">
        <f>AVERAGE(P16:R16)</f>
        <v>0.12512000000000001</v>
      </c>
      <c r="U16" s="95">
        <f>STDEV(P16:R16)</f>
        <v>4.1146222183816569E-2</v>
      </c>
      <c r="V16" s="84"/>
      <c r="W16" s="49"/>
      <c r="X16" s="49"/>
      <c r="Y16" s="49"/>
      <c r="Z16" s="25"/>
      <c r="AA16" s="95"/>
      <c r="AB16" s="84"/>
      <c r="AC16" s="49"/>
      <c r="AD16" s="49"/>
      <c r="AE16" s="49"/>
      <c r="AF16" s="25"/>
      <c r="AG16" s="95"/>
    </row>
    <row r="17" spans="2:33" ht="18" x14ac:dyDescent="0.35">
      <c r="B17" s="17"/>
      <c r="C17" s="122"/>
      <c r="D17" s="19"/>
      <c r="E17" s="20"/>
      <c r="F17" s="20"/>
      <c r="G17" s="20"/>
      <c r="H17" s="20"/>
      <c r="I17" s="58"/>
      <c r="J17" s="23"/>
      <c r="K17" s="24"/>
      <c r="L17" s="24"/>
      <c r="M17" s="24"/>
      <c r="N17" s="24"/>
      <c r="O17" s="54" t="s">
        <v>30</v>
      </c>
      <c r="P17" s="23">
        <f>P16/(P15/1000*180.16)</f>
        <v>0.18364412644960482</v>
      </c>
      <c r="Q17" s="24">
        <f t="shared" ref="Q17:R17" si="33">Q16/(Q15/1000*180.16)</f>
        <v>0.23628015658933033</v>
      </c>
      <c r="R17" s="24">
        <f t="shared" si="33"/>
        <v>0.11355403740653364</v>
      </c>
      <c r="S17" s="49"/>
      <c r="T17" s="25">
        <f>AVERAGE(P17:R17)</f>
        <v>0.17782610681515623</v>
      </c>
      <c r="U17" s="95">
        <f>STDEV(P17:R17)</f>
        <v>6.1569571192007178E-2</v>
      </c>
      <c r="V17" s="23">
        <f>(V15/1000*90.08)/(P15/1000*180.16)</f>
        <v>0.38942164801097273</v>
      </c>
      <c r="W17" s="24">
        <f t="shared" ref="W17:X17" si="34">(W15/1000*90.08)/(Q15/1000*180.16)</f>
        <v>0.22415142274034192</v>
      </c>
      <c r="X17" s="24">
        <f t="shared" si="34"/>
        <v>0.7752246233107889</v>
      </c>
      <c r="Y17" s="24"/>
      <c r="Z17" s="25">
        <f t="shared" ref="Z17:Z20" si="35">AVERAGE(V17:X17)</f>
        <v>0.46293256468736788</v>
      </c>
      <c r="AA17" s="95">
        <f t="shared" ref="AA17:AA20" si="36">STDEV(V17:X17)</f>
        <v>0.28279552551214798</v>
      </c>
      <c r="AB17" s="23">
        <f>(AB15/1000*59.04)/(P15/1000*180.16)</f>
        <v>4.6633565118792415E-2</v>
      </c>
      <c r="AC17" s="24">
        <f t="shared" ref="AC17:AD17" si="37">(AC15/1000*59.04)/(Q15/1000*180.16)</f>
        <v>6.161145540547721E-2</v>
      </c>
      <c r="AD17" s="24">
        <f t="shared" si="37"/>
        <v>1.450506102777796E-2</v>
      </c>
      <c r="AE17" s="24"/>
      <c r="AF17" s="25">
        <f t="shared" ref="AF17:AF20" si="38">AVERAGE(AB17:AD17)</f>
        <v>4.0916693850682528E-2</v>
      </c>
      <c r="AG17" s="95">
        <f t="shared" ref="AG17:AG20" si="39">STDEV(AB17:AD17)</f>
        <v>2.4067925972940399E-2</v>
      </c>
    </row>
    <row r="18" spans="2:33" ht="18" x14ac:dyDescent="0.35">
      <c r="B18" s="17"/>
      <c r="C18" s="122"/>
      <c r="D18" s="19"/>
      <c r="E18" s="20"/>
      <c r="F18" s="20"/>
      <c r="G18" s="20"/>
      <c r="H18" s="20"/>
      <c r="I18" s="58"/>
      <c r="J18" s="23"/>
      <c r="K18" s="24"/>
      <c r="L18" s="24"/>
      <c r="M18" s="24"/>
      <c r="N18" s="24"/>
      <c r="O18" s="60" t="s">
        <v>31</v>
      </c>
      <c r="P18" s="84"/>
      <c r="Q18" s="49"/>
      <c r="R18" s="49"/>
      <c r="S18" s="49"/>
      <c r="T18" s="25"/>
      <c r="U18" s="95"/>
      <c r="V18" s="23">
        <f>(V15/1000*90.08)/P16</f>
        <v>2.1205232943719379</v>
      </c>
      <c r="W18" s="24">
        <f t="shared" ref="W18:X18" si="40">(W15/1000*90.08)/Q16</f>
        <v>0.94866799639857646</v>
      </c>
      <c r="X18" s="24">
        <f t="shared" si="40"/>
        <v>6.8269225913598763</v>
      </c>
      <c r="Y18" s="49"/>
      <c r="Z18" s="25">
        <f t="shared" si="35"/>
        <v>3.2987046273767966</v>
      </c>
      <c r="AA18" s="95">
        <f t="shared" si="36"/>
        <v>3.1111979543058235</v>
      </c>
      <c r="AB18" s="23">
        <f>(AB15/1000*59.04)/P16</f>
        <v>0.25393442208231737</v>
      </c>
      <c r="AC18" s="24">
        <f t="shared" ref="AC18:AD18" si="41">(AC15/1000*59.04)/Q16</f>
        <v>0.260755944531397</v>
      </c>
      <c r="AD18" s="24">
        <f t="shared" si="41"/>
        <v>0.12773707883101101</v>
      </c>
      <c r="AE18" s="49"/>
      <c r="AF18" s="25">
        <f t="shared" si="38"/>
        <v>0.21414248181490847</v>
      </c>
      <c r="AG18" s="95">
        <f t="shared" si="39"/>
        <v>7.4906965902632253E-2</v>
      </c>
    </row>
    <row r="19" spans="2:33" ht="18.75" x14ac:dyDescent="0.35">
      <c r="B19" s="17"/>
      <c r="C19" s="122"/>
      <c r="D19" s="19"/>
      <c r="E19" s="20"/>
      <c r="F19" s="20"/>
      <c r="G19" s="20"/>
      <c r="H19" s="20"/>
      <c r="I19" s="58"/>
      <c r="J19" s="23"/>
      <c r="K19" s="24"/>
      <c r="L19" s="24"/>
      <c r="M19" s="24"/>
      <c r="N19" s="24"/>
      <c r="O19" s="54" t="s">
        <v>32</v>
      </c>
      <c r="P19" s="23">
        <f>D15*(P15/P16)</f>
        <v>7.189766112098412</v>
      </c>
      <c r="Q19" s="24">
        <f t="shared" ref="Q19:R19" si="42">E15*(Q15/Q16)</f>
        <v>5.7675212899126684</v>
      </c>
      <c r="R19" s="24">
        <f t="shared" si="42"/>
        <v>10.54992933529698</v>
      </c>
      <c r="S19" s="49"/>
      <c r="T19" s="25">
        <f t="shared" ref="T19:T20" si="43">AVERAGE(P19:R19)</f>
        <v>7.8357389124360202</v>
      </c>
      <c r="U19" s="95">
        <f t="shared" ref="U19:U20" si="44">STDEV(P19:R19)</f>
        <v>2.4557722455922457</v>
      </c>
      <c r="V19" s="23">
        <f>D15*(V15)</f>
        <v>0.73927254402404463</v>
      </c>
      <c r="W19" s="24">
        <f t="shared" ref="W19:X19" si="45">E15*(W15)</f>
        <v>0.41984911187154283</v>
      </c>
      <c r="X19" s="24">
        <f t="shared" si="45"/>
        <v>1.3242732439759963</v>
      </c>
      <c r="Y19" s="49"/>
      <c r="Z19" s="25">
        <f t="shared" si="35"/>
        <v>0.82779829995719467</v>
      </c>
      <c r="AA19" s="95">
        <f t="shared" si="36"/>
        <v>0.45866475750909319</v>
      </c>
      <c r="AB19" s="23">
        <f>D15*(AB15)</f>
        <v>0.13507193885333613</v>
      </c>
      <c r="AC19" s="24">
        <f t="shared" ref="AC19:AD19" si="46">E15*(AC15)</f>
        <v>0.17607400210173871</v>
      </c>
      <c r="AD19" s="24">
        <f t="shared" si="46"/>
        <v>3.7805208266632438E-2</v>
      </c>
      <c r="AE19" s="49"/>
      <c r="AF19" s="25">
        <f t="shared" si="38"/>
        <v>0.1163170497405691</v>
      </c>
      <c r="AG19" s="95">
        <f t="shared" si="39"/>
        <v>7.1016718006240764E-2</v>
      </c>
    </row>
    <row r="20" spans="2:33" ht="18.75" x14ac:dyDescent="0.35">
      <c r="B20" s="17"/>
      <c r="C20" s="122"/>
      <c r="D20" s="40"/>
      <c r="E20" s="41"/>
      <c r="F20" s="41"/>
      <c r="G20" s="41"/>
      <c r="H20" s="41"/>
      <c r="I20" s="144"/>
      <c r="J20" s="44"/>
      <c r="K20" s="45"/>
      <c r="L20" s="45"/>
      <c r="M20" s="45"/>
      <c r="N20" s="45"/>
      <c r="O20" s="124" t="s">
        <v>33</v>
      </c>
      <c r="P20" s="44">
        <f>D15*(P15/P16)</f>
        <v>7.189766112098412</v>
      </c>
      <c r="Q20" s="45">
        <f t="shared" ref="Q20:R20" si="47">E15*(Q15/Q16)</f>
        <v>5.7675212899126684</v>
      </c>
      <c r="R20" s="45">
        <f t="shared" si="47"/>
        <v>10.54992933529698</v>
      </c>
      <c r="S20" s="62"/>
      <c r="T20" s="46">
        <f t="shared" si="43"/>
        <v>7.8357389124360202</v>
      </c>
      <c r="U20" s="287">
        <f t="shared" si="44"/>
        <v>2.4557722455922457</v>
      </c>
      <c r="V20" s="44">
        <f>D15*(V15/P16)</f>
        <v>5.5997011363736151</v>
      </c>
      <c r="W20" s="45">
        <f t="shared" ref="W20:X20" si="48">E15*(W15/Q16)</f>
        <v>2.5855962056382737</v>
      </c>
      <c r="X20" s="45">
        <f t="shared" si="48"/>
        <v>16.357129989822084</v>
      </c>
      <c r="Y20" s="62"/>
      <c r="Z20" s="46">
        <f t="shared" si="35"/>
        <v>8.1808091106113245</v>
      </c>
      <c r="AA20" s="287">
        <f t="shared" si="36"/>
        <v>7.2395009823353247</v>
      </c>
      <c r="AB20" s="44">
        <f>D15*(AB15/P16)</f>
        <v>1.023117246275838</v>
      </c>
      <c r="AC20" s="45">
        <f t="shared" ref="AC20:AD20" si="49">E15*(AC15/Q16)</f>
        <v>1.0843330588849533</v>
      </c>
      <c r="AD20" s="45">
        <f t="shared" si="49"/>
        <v>0.46696156455820687</v>
      </c>
      <c r="AE20" s="62"/>
      <c r="AF20" s="46">
        <f t="shared" si="38"/>
        <v>0.85813728990633276</v>
      </c>
      <c r="AG20" s="287">
        <f t="shared" si="39"/>
        <v>0.34014802660690685</v>
      </c>
    </row>
    <row r="21" spans="2:33" x14ac:dyDescent="0.25">
      <c r="B21" s="17"/>
      <c r="C21" s="122"/>
      <c r="D21" s="109"/>
      <c r="E21" s="109"/>
      <c r="F21" s="109"/>
      <c r="G21" s="109"/>
      <c r="H21" s="109"/>
      <c r="I21" s="54" t="s">
        <v>34</v>
      </c>
      <c r="J21" s="55">
        <f>P16/(J7-J10)</f>
        <v>0.73344444444444556</v>
      </c>
      <c r="K21" s="55">
        <f t="shared" ref="K21:L21" si="50">Q16/(K7-K10)</f>
        <v>1.0825333333333371</v>
      </c>
      <c r="L21" s="55">
        <f t="shared" si="50"/>
        <v>0.38552380952380966</v>
      </c>
      <c r="M21" s="55"/>
      <c r="N21" s="111">
        <f>AVERAGE(J21:L21)</f>
        <v>0.73383386243386417</v>
      </c>
      <c r="O21" s="111">
        <f>STDEV(J21:L21)</f>
        <v>0.34850492508008218</v>
      </c>
    </row>
    <row r="22" spans="2:33" x14ac:dyDescent="0.25">
      <c r="B22" s="17"/>
      <c r="C22" s="297"/>
      <c r="D22" s="298"/>
      <c r="E22" s="298"/>
      <c r="F22" s="298"/>
      <c r="G22" s="109"/>
      <c r="H22" s="109"/>
      <c r="I22" s="109"/>
      <c r="J22" s="55"/>
      <c r="K22" s="55"/>
      <c r="L22" s="55"/>
      <c r="M22" s="55"/>
      <c r="N22" s="55"/>
      <c r="O22" s="55"/>
      <c r="U22" s="299"/>
      <c r="V22" s="299"/>
      <c r="W22" s="299"/>
      <c r="X22" s="299"/>
    </row>
    <row r="23" spans="2:33" x14ac:dyDescent="0.25">
      <c r="B23" s="17"/>
      <c r="C23" s="297"/>
      <c r="D23" s="298"/>
      <c r="E23" s="298"/>
      <c r="F23" s="298"/>
      <c r="G23" s="109"/>
      <c r="H23" s="109"/>
      <c r="I23" s="109"/>
      <c r="J23" s="55"/>
      <c r="K23" s="55"/>
      <c r="L23" s="55"/>
      <c r="M23" s="55"/>
      <c r="N23" s="55"/>
      <c r="O23" s="55"/>
      <c r="U23" s="299"/>
      <c r="V23" s="299"/>
      <c r="W23" s="299"/>
      <c r="X23" s="299"/>
    </row>
    <row r="24" spans="2:33" x14ac:dyDescent="0.25">
      <c r="B24" s="17"/>
      <c r="C24" s="122"/>
      <c r="D24" s="109"/>
      <c r="E24" s="109"/>
      <c r="F24" s="109"/>
      <c r="G24" s="109"/>
      <c r="H24" s="109"/>
      <c r="I24" s="109"/>
      <c r="J24" s="55"/>
      <c r="K24" s="55"/>
      <c r="L24" s="55"/>
      <c r="M24" s="55"/>
      <c r="N24" s="55"/>
      <c r="O24" s="55"/>
    </row>
    <row r="26" spans="2:33" x14ac:dyDescent="0.25">
      <c r="B26" s="9"/>
      <c r="C26" s="9"/>
    </row>
    <row r="27" spans="2:33" x14ac:dyDescent="0.25">
      <c r="B27" s="9"/>
    </row>
    <row r="28" spans="2:33" x14ac:dyDescent="0.25">
      <c r="C28" s="300"/>
    </row>
    <row r="30" spans="2:33" x14ac:dyDescent="0.25">
      <c r="D30" s="55"/>
      <c r="E30" s="55"/>
      <c r="F30" s="55"/>
    </row>
    <row r="31" spans="2:33" x14ac:dyDescent="0.25">
      <c r="K31" s="301"/>
    </row>
    <row r="46" spans="11:11" x14ac:dyDescent="0.25">
      <c r="K46" s="301"/>
    </row>
    <row r="53" spans="1:41" x14ac:dyDescent="0.25">
      <c r="B53" s="5" t="s">
        <v>90</v>
      </c>
      <c r="C53" s="5">
        <v>1</v>
      </c>
      <c r="D53" s="5">
        <v>2</v>
      </c>
      <c r="E53" s="5">
        <v>3</v>
      </c>
      <c r="F53" s="5">
        <v>4</v>
      </c>
      <c r="I53" s="5">
        <v>5</v>
      </c>
      <c r="J53" s="5">
        <v>6</v>
      </c>
      <c r="K53" s="5">
        <v>7</v>
      </c>
      <c r="L53" s="5">
        <v>8</v>
      </c>
      <c r="O53" s="5">
        <v>9</v>
      </c>
      <c r="P53" s="5">
        <v>10</v>
      </c>
      <c r="Q53" s="5" t="s">
        <v>91</v>
      </c>
      <c r="R53" s="5">
        <v>1</v>
      </c>
      <c r="S53" s="5">
        <v>2</v>
      </c>
      <c r="T53" s="5">
        <v>3</v>
      </c>
      <c r="U53" s="5">
        <v>4</v>
      </c>
      <c r="V53" s="5">
        <v>5</v>
      </c>
      <c r="W53" s="5">
        <v>6</v>
      </c>
      <c r="X53" s="5">
        <v>7</v>
      </c>
      <c r="Y53" s="5">
        <v>8</v>
      </c>
      <c r="Z53" s="5">
        <v>9</v>
      </c>
      <c r="AA53" s="5">
        <v>10</v>
      </c>
      <c r="AB53" s="5" t="s">
        <v>91</v>
      </c>
      <c r="AD53" s="5">
        <v>1</v>
      </c>
      <c r="AE53" s="5">
        <v>2</v>
      </c>
      <c r="AF53" s="5">
        <v>3</v>
      </c>
      <c r="AG53" s="5">
        <v>4</v>
      </c>
      <c r="AH53" s="5">
        <v>5</v>
      </c>
      <c r="AI53" s="5">
        <v>6</v>
      </c>
      <c r="AJ53" s="5">
        <v>7</v>
      </c>
      <c r="AK53" s="5">
        <v>8</v>
      </c>
      <c r="AL53" s="5">
        <v>9</v>
      </c>
      <c r="AM53" s="5">
        <v>10</v>
      </c>
      <c r="AN53" s="5" t="s">
        <v>91</v>
      </c>
    </row>
    <row r="54" spans="1:41" x14ac:dyDescent="0.25">
      <c r="A54" s="156" t="s">
        <v>89</v>
      </c>
    </row>
    <row r="55" spans="1:41" x14ac:dyDescent="0.25">
      <c r="A55" s="302" t="s">
        <v>92</v>
      </c>
      <c r="B55" s="302">
        <v>5</v>
      </c>
      <c r="C55" s="302">
        <v>3</v>
      </c>
      <c r="D55" s="302">
        <v>6</v>
      </c>
      <c r="E55" s="302">
        <v>7</v>
      </c>
      <c r="F55" s="302">
        <v>2</v>
      </c>
      <c r="G55" s="302"/>
      <c r="H55" s="302"/>
      <c r="I55" s="302">
        <v>7</v>
      </c>
      <c r="J55" s="302">
        <v>4</v>
      </c>
      <c r="K55" s="302">
        <v>8</v>
      </c>
      <c r="L55" s="302">
        <v>2</v>
      </c>
      <c r="M55" s="302"/>
      <c r="N55" s="302"/>
      <c r="O55" s="302">
        <v>5</v>
      </c>
      <c r="P55" s="302">
        <v>4</v>
      </c>
      <c r="Q55" s="302"/>
      <c r="R55" s="302">
        <f>LOG((C55/0.01)*10^($B$55))</f>
        <v>7.4771212547196626</v>
      </c>
      <c r="S55" s="302">
        <f>LOG((D55/0.01)*10^($B$55))</f>
        <v>7.7781512503836439</v>
      </c>
      <c r="T55" s="302">
        <f>LOG((E55/0.01)*10^($B$55))</f>
        <v>7.8450980400142569</v>
      </c>
      <c r="U55" s="302">
        <f>LOG((F55/0.01)*10^($B$55))</f>
        <v>7.3010299956639813</v>
      </c>
      <c r="V55" s="302">
        <f>LOG((I55/0.01)*10^($B$55))</f>
        <v>7.8450980400142569</v>
      </c>
      <c r="W55" s="302">
        <f>LOG((J55/0.01)*10^($B$55))</f>
        <v>7.6020599913279625</v>
      </c>
      <c r="X55" s="302">
        <f>LOG((K55/0.01)*10^($B$55))</f>
        <v>7.9030899869919438</v>
      </c>
      <c r="Y55" s="302">
        <f>LOG((L55/0.01)*10^($B$55))</f>
        <v>7.3010299956639813</v>
      </c>
      <c r="Z55" s="302">
        <f>LOG((O55/0.01)*10^($B$55))</f>
        <v>7.6989700043360187</v>
      </c>
      <c r="AA55" s="302">
        <f>LOG((P55/0.01)*10^($B$55))</f>
        <v>7.6020599913279625</v>
      </c>
      <c r="AB55" s="302">
        <f>AVERAGE(R55:AA55)</f>
        <v>7.6353708550443669</v>
      </c>
      <c r="AC55" s="302" t="s">
        <v>92</v>
      </c>
      <c r="AD55" s="5">
        <f>(C55/0.01)*10^($B$55)</f>
        <v>30000000</v>
      </c>
      <c r="AE55" s="5">
        <f>(D55/0.01)*10^($B$55)</f>
        <v>60000000</v>
      </c>
      <c r="AF55" s="5">
        <f>(E55/0.01)*10^($B$55)</f>
        <v>70000000</v>
      </c>
      <c r="AG55" s="5">
        <f>(F55/0.01)*10^($B$55)</f>
        <v>20000000</v>
      </c>
      <c r="AH55" s="5">
        <f>(I55/0.01)*10^($B$55)</f>
        <v>70000000</v>
      </c>
      <c r="AI55" s="5">
        <f>(J55/0.01)*10^($B$55)</f>
        <v>40000000</v>
      </c>
      <c r="AJ55" s="5">
        <f>(K55/0.01)*10^($B$55)</f>
        <v>80000000</v>
      </c>
      <c r="AK55" s="5">
        <f>(L55/0.01)*10^($B$55)</f>
        <v>20000000</v>
      </c>
      <c r="AL55" s="5">
        <f>(O55/0.01)*10^($B$55)</f>
        <v>50000000</v>
      </c>
      <c r="AM55" s="5">
        <f>(P55/0.01)*10^($B$55)</f>
        <v>40000000</v>
      </c>
      <c r="AN55" s="5">
        <f>AVERAGE(AD55:AM55)</f>
        <v>48000000</v>
      </c>
      <c r="AO55" s="302" t="s">
        <v>92</v>
      </c>
    </row>
    <row r="56" spans="1:41" x14ac:dyDescent="0.25">
      <c r="A56" s="302" t="s">
        <v>93</v>
      </c>
      <c r="B56" s="302">
        <v>5</v>
      </c>
      <c r="C56" s="302">
        <v>9</v>
      </c>
      <c r="D56" s="302">
        <v>3</v>
      </c>
      <c r="E56" s="302">
        <v>5</v>
      </c>
      <c r="F56" s="302">
        <v>8</v>
      </c>
      <c r="G56" s="302"/>
      <c r="H56" s="302"/>
      <c r="I56" s="302">
        <v>6</v>
      </c>
      <c r="J56" s="302">
        <v>3</v>
      </c>
      <c r="K56" s="302">
        <v>12</v>
      </c>
      <c r="L56" s="302">
        <v>9</v>
      </c>
      <c r="M56" s="302"/>
      <c r="N56" s="302"/>
      <c r="O56" s="302">
        <v>10</v>
      </c>
      <c r="P56" s="302">
        <v>7</v>
      </c>
      <c r="Q56" s="302"/>
      <c r="R56" s="302">
        <f>LOG((C56/0.01)*10^($B$56))</f>
        <v>7.9542425094393252</v>
      </c>
      <c r="S56" s="302">
        <f>LOG((D56/0.01)*10^($B$56))</f>
        <v>7.4771212547196626</v>
      </c>
      <c r="T56" s="302">
        <f>LOG((E56/0.01)*10^($B$56))</f>
        <v>7.6989700043360187</v>
      </c>
      <c r="U56" s="302">
        <f>LOG((F56/0.01)*10^($B$56))</f>
        <v>7.9030899869919438</v>
      </c>
      <c r="V56" s="302">
        <f>LOG((I56/0.01)*10^($B$56))</f>
        <v>7.7781512503836439</v>
      </c>
      <c r="W56" s="302">
        <f>LOG((J56/0.01)*10^($B$56))</f>
        <v>7.4771212547196626</v>
      </c>
      <c r="X56" s="302">
        <f>LOG((K56/0.01)*10^($B$56))</f>
        <v>8.0791812460476251</v>
      </c>
      <c r="Y56" s="302">
        <f>LOG((L56/0.01)*10^($B$56))</f>
        <v>7.9542425094393252</v>
      </c>
      <c r="Z56" s="302">
        <f>LOG((O56/0.01)*10^($B$56))</f>
        <v>8</v>
      </c>
      <c r="AA56" s="302">
        <f>LOG((P56/0.01)*10^($B$56))</f>
        <v>7.8450980400142569</v>
      </c>
      <c r="AB56" s="302">
        <f t="shared" ref="AB56:AB92" si="51">AVERAGE(R56:AA56)</f>
        <v>7.8167218056091459</v>
      </c>
      <c r="AC56" s="302" t="s">
        <v>93</v>
      </c>
      <c r="AD56" s="5">
        <f>(C56/0.01)*10^($B$56)</f>
        <v>90000000</v>
      </c>
      <c r="AE56" s="5">
        <f>(D56/0.01)*10^($B$56)</f>
        <v>30000000</v>
      </c>
      <c r="AF56" s="5">
        <f>(E56/0.01)*10^($B$56)</f>
        <v>50000000</v>
      </c>
      <c r="AG56" s="5">
        <f>(F56/0.01)*10^($B$56)</f>
        <v>80000000</v>
      </c>
      <c r="AH56" s="5">
        <f>(I56/0.01)*10^($B$56)</f>
        <v>60000000</v>
      </c>
      <c r="AI56" s="5">
        <f>(J56/0.01)*10^($B$56)</f>
        <v>30000000</v>
      </c>
      <c r="AJ56" s="5">
        <f>(K56/0.01)*10^($B$56)</f>
        <v>120000000</v>
      </c>
      <c r="AK56" s="5">
        <f>(L56/0.01)*10^($B$56)</f>
        <v>90000000</v>
      </c>
      <c r="AL56" s="5">
        <f>(O56/0.01)*10^($B$56)</f>
        <v>100000000</v>
      </c>
      <c r="AM56" s="5">
        <f>(P56/0.01)*10^($B$56)</f>
        <v>70000000</v>
      </c>
      <c r="AN56" s="5">
        <f t="shared" ref="AN56:AN121" si="52">AVERAGE(AD56:AM56)</f>
        <v>72000000</v>
      </c>
      <c r="AO56" s="302" t="s">
        <v>93</v>
      </c>
    </row>
    <row r="57" spans="1:41" x14ac:dyDescent="0.25">
      <c r="A57" s="5" t="s">
        <v>94</v>
      </c>
      <c r="B57" s="5">
        <v>5</v>
      </c>
      <c r="C57" s="5">
        <v>3</v>
      </c>
      <c r="D57" s="5">
        <v>3</v>
      </c>
      <c r="E57" s="5">
        <v>3</v>
      </c>
      <c r="F57" s="5">
        <v>2</v>
      </c>
      <c r="I57" s="5">
        <v>3</v>
      </c>
      <c r="J57" s="5">
        <v>2</v>
      </c>
      <c r="K57" s="5">
        <v>1</v>
      </c>
      <c r="L57" s="5">
        <v>5</v>
      </c>
      <c r="O57" s="5">
        <v>1</v>
      </c>
      <c r="P57" s="5">
        <v>0</v>
      </c>
      <c r="R57" s="5">
        <f>LOG((C57/0.01)*10^($B$57))</f>
        <v>7.4771212547196626</v>
      </c>
      <c r="S57" s="5">
        <f>LOG((D57/0.01)*10^($B$57))</f>
        <v>7.4771212547196626</v>
      </c>
      <c r="T57" s="5">
        <f>LOG((E57/0.01)*10^($B$57))</f>
        <v>7.4771212547196626</v>
      </c>
      <c r="U57" s="5">
        <f>LOG((F57/0.01)*10^($B$57))</f>
        <v>7.3010299956639813</v>
      </c>
      <c r="V57" s="5">
        <f>LOG((I57/0.01)*10^($B$57))</f>
        <v>7.4771212547196626</v>
      </c>
      <c r="W57" s="5">
        <f>LOG((J57/0.01)*10^($B$57))</f>
        <v>7.3010299956639813</v>
      </c>
      <c r="X57" s="5">
        <f>LOG((K57/0.01)*10^($B$57))</f>
        <v>7</v>
      </c>
      <c r="Y57" s="5">
        <f>LOG((L57/0.01)*10^($B$57))</f>
        <v>7.6989700043360187</v>
      </c>
      <c r="Z57" s="5">
        <f>LOG((O57/0.01)*10^($B$57))</f>
        <v>7</v>
      </c>
      <c r="AA57" s="5">
        <v>0</v>
      </c>
      <c r="AB57" s="5">
        <f t="shared" si="51"/>
        <v>6.6209515014542628</v>
      </c>
      <c r="AC57" s="5" t="s">
        <v>94</v>
      </c>
      <c r="AD57" s="5">
        <f>(C57/0.01)*10^($B$57)</f>
        <v>30000000</v>
      </c>
      <c r="AE57" s="5">
        <f>(D57/0.01)*10^($B$57)</f>
        <v>30000000</v>
      </c>
      <c r="AF57" s="5">
        <f>(E57/0.01)*10^($B$57)</f>
        <v>30000000</v>
      </c>
      <c r="AG57" s="5">
        <f>(F57/0.01)*10^($B$57)</f>
        <v>20000000</v>
      </c>
      <c r="AH57" s="5">
        <f>(I57/0.01)*10^($B$57)</f>
        <v>30000000</v>
      </c>
      <c r="AI57" s="5">
        <f>(J57/0.01)*10^($B$57)</f>
        <v>20000000</v>
      </c>
      <c r="AJ57" s="5">
        <f>(K57/0.01)*10^($B$57)</f>
        <v>10000000</v>
      </c>
      <c r="AK57" s="5">
        <f>(L57/0.01)*10^($B$57)</f>
        <v>50000000</v>
      </c>
      <c r="AL57" s="5">
        <f>(O57/0.01)*10^($B$57)</f>
        <v>10000000</v>
      </c>
      <c r="AM57" s="5">
        <f>(P57/0.01)*10^($B$57)</f>
        <v>0</v>
      </c>
      <c r="AN57" s="5">
        <f>AVERAGE(AD57:AM57)</f>
        <v>23000000</v>
      </c>
      <c r="AO57" s="5" t="s">
        <v>94</v>
      </c>
    </row>
    <row r="58" spans="1:41" x14ac:dyDescent="0.25">
      <c r="A58" s="302"/>
      <c r="B58" s="302">
        <v>4</v>
      </c>
      <c r="C58" s="302">
        <v>22</v>
      </c>
      <c r="D58" s="302">
        <v>27</v>
      </c>
      <c r="E58" s="302">
        <v>26</v>
      </c>
      <c r="F58" s="302">
        <v>28</v>
      </c>
      <c r="G58" s="302"/>
      <c r="H58" s="302"/>
      <c r="I58" s="302">
        <v>21</v>
      </c>
      <c r="J58" s="302">
        <v>13</v>
      </c>
      <c r="K58" s="302">
        <v>16</v>
      </c>
      <c r="L58" s="302">
        <v>21</v>
      </c>
      <c r="M58" s="302"/>
      <c r="N58" s="302"/>
      <c r="O58" s="302">
        <v>23</v>
      </c>
      <c r="P58" s="302">
        <v>23</v>
      </c>
      <c r="Q58" s="302"/>
      <c r="R58" s="302">
        <f>LOG((C58/0.01)*10^($B$58))</f>
        <v>7.3424226808222066</v>
      </c>
      <c r="S58" s="302">
        <f>LOG((D58/0.01)*10^($B$58))</f>
        <v>7.4313637641589869</v>
      </c>
      <c r="T58" s="302">
        <f>LOG((E58/0.01)*10^($B$58))</f>
        <v>7.4149733479708182</v>
      </c>
      <c r="U58" s="302">
        <f>LOG((F58/0.01)*10^($B$58))</f>
        <v>7.4471580313422194</v>
      </c>
      <c r="V58" s="302">
        <f>LOG((I58/0.01)*10^($B$58))</f>
        <v>7.3222192947339195</v>
      </c>
      <c r="W58" s="302">
        <f>LOG((J58/0.01)*10^($B$58))</f>
        <v>7.1139433523068369</v>
      </c>
      <c r="X58" s="302">
        <f>LOG((K58/0.01)*10^($B$58))</f>
        <v>7.204119982655925</v>
      </c>
      <c r="Y58" s="302">
        <f>LOG((L58/0.01)*10^($B$58))</f>
        <v>7.3222192947339195</v>
      </c>
      <c r="Z58" s="302">
        <f>LOG((O58/0.01)*10^($B$58))</f>
        <v>7.3617278360175931</v>
      </c>
      <c r="AA58" s="302">
        <f>LOG((P58/0.01)*10^($B$58))</f>
        <v>7.3617278360175931</v>
      </c>
      <c r="AB58" s="302">
        <f t="shared" si="51"/>
        <v>7.3321875420760021</v>
      </c>
      <c r="AC58" s="302"/>
      <c r="AD58" s="5">
        <f>(C58/0.01)*10^($B$58)</f>
        <v>22000000</v>
      </c>
      <c r="AE58" s="5">
        <f>(D58/0.01)*10^($B$58)</f>
        <v>27000000</v>
      </c>
      <c r="AF58" s="5">
        <f>(E58/0.01)*10^($B$58)</f>
        <v>26000000</v>
      </c>
      <c r="AG58" s="5">
        <f>(F58/0.01)*10^($B$58)</f>
        <v>28000000</v>
      </c>
      <c r="AH58" s="5">
        <f>(I58/0.01)*10^($B$58)</f>
        <v>21000000</v>
      </c>
      <c r="AI58" s="5">
        <f>(J58/0.01)*10^($B$58)</f>
        <v>13000000</v>
      </c>
      <c r="AJ58" s="5">
        <f>(K58/0.01)*10^($B$58)</f>
        <v>16000000</v>
      </c>
      <c r="AK58" s="5">
        <f>(L58/0.01)*10^($B$58)</f>
        <v>21000000</v>
      </c>
      <c r="AL58" s="5">
        <f>(O58/0.01)*10^($B$58)</f>
        <v>23000000</v>
      </c>
      <c r="AM58" s="5">
        <f>(P58/0.01)*10^($B$58)</f>
        <v>23000000</v>
      </c>
      <c r="AN58" s="5">
        <f t="shared" si="52"/>
        <v>22000000</v>
      </c>
      <c r="AO58" s="302" t="s">
        <v>94</v>
      </c>
    </row>
    <row r="59" spans="1:41" x14ac:dyDescent="0.25">
      <c r="A59" s="5" t="s">
        <v>95</v>
      </c>
      <c r="B59" s="5">
        <v>5.5</v>
      </c>
      <c r="C59" s="5">
        <v>6</v>
      </c>
      <c r="D59" s="5">
        <v>5</v>
      </c>
      <c r="E59" s="5">
        <v>9</v>
      </c>
      <c r="F59" s="5">
        <v>6</v>
      </c>
      <c r="I59" s="5">
        <v>7</v>
      </c>
      <c r="J59" s="5">
        <v>3</v>
      </c>
      <c r="K59" s="5">
        <v>4</v>
      </c>
      <c r="L59" s="5">
        <v>2</v>
      </c>
      <c r="O59" s="5">
        <v>5</v>
      </c>
      <c r="P59" s="5">
        <v>8</v>
      </c>
      <c r="R59" s="5">
        <f>LOG((C59/0.01)*10^($B$59))</f>
        <v>8.2781512503836439</v>
      </c>
      <c r="S59" s="5">
        <f>LOG((D59/0.01)*10^($B$59))</f>
        <v>8.1989700043360187</v>
      </c>
      <c r="T59" s="5">
        <f>LOG((E59/0.01)*10^($B$59))</f>
        <v>8.4542425094393252</v>
      </c>
      <c r="U59" s="5">
        <f>LOG((F59/0.01)*10^($B$59))</f>
        <v>8.2781512503836439</v>
      </c>
      <c r="V59" s="5">
        <f>LOG((I59/0.01)*10^($B$59))</f>
        <v>8.3450980400142569</v>
      </c>
      <c r="W59" s="5">
        <f>LOG((J59/0.01)*10^($B$59))</f>
        <v>7.9771212547196626</v>
      </c>
      <c r="X59" s="5">
        <f>LOG((K59/0.01)*10^($B$59))</f>
        <v>8.1020599913279625</v>
      </c>
      <c r="Y59" s="5">
        <f>LOG((L59/0.01)*10^($B$59))</f>
        <v>7.8010299956639813</v>
      </c>
      <c r="Z59" s="5">
        <f>LOG((O59/0.01)*10^($B$59))</f>
        <v>8.1989700043360187</v>
      </c>
      <c r="AA59" s="5">
        <f>LOG((P59/0.01)*10^($B$59))</f>
        <v>8.4030899869919438</v>
      </c>
      <c r="AB59" s="5">
        <f t="shared" si="51"/>
        <v>8.2036884287596443</v>
      </c>
      <c r="AC59" s="5" t="s">
        <v>95</v>
      </c>
      <c r="AD59" s="5">
        <f>(C59/0.01)*10^($B$59)</f>
        <v>189736659.61010292</v>
      </c>
      <c r="AE59" s="5">
        <f>(D59/0.01)*10^($B$59)</f>
        <v>158113883.0084191</v>
      </c>
      <c r="AF59" s="5">
        <f>(E59/0.01)*10^($B$59)</f>
        <v>284604989.4151544</v>
      </c>
      <c r="AG59" s="5">
        <f>(F59/0.01)*10^($B$59)</f>
        <v>189736659.61010292</v>
      </c>
      <c r="AH59" s="5">
        <f>(I59/0.01)*10^($B$59)</f>
        <v>221359436.21178675</v>
      </c>
      <c r="AI59" s="5">
        <f>(J59/0.01)*10^($B$59)</f>
        <v>94868329.805051461</v>
      </c>
      <c r="AJ59" s="5">
        <f>(K59/0.01)*10^($B$59)</f>
        <v>126491106.40673529</v>
      </c>
      <c r="AK59" s="5">
        <f>(L59/0.01)*10^($B$59)</f>
        <v>63245553.203367643</v>
      </c>
      <c r="AL59" s="5">
        <f>(O59/0.01)*10^($B$59)</f>
        <v>158113883.0084191</v>
      </c>
      <c r="AM59" s="5">
        <f>(P59/0.01)*10^($B$59)</f>
        <v>252982212.81347057</v>
      </c>
      <c r="AN59" s="5">
        <f t="shared" si="52"/>
        <v>173925271.30926102</v>
      </c>
      <c r="AO59" s="5" t="s">
        <v>95</v>
      </c>
    </row>
    <row r="60" spans="1:41" x14ac:dyDescent="0.25">
      <c r="A60" s="302"/>
      <c r="B60" s="302">
        <v>5</v>
      </c>
      <c r="C60" s="302">
        <v>5</v>
      </c>
      <c r="D60" s="302">
        <v>10</v>
      </c>
      <c r="E60" s="302">
        <v>11</v>
      </c>
      <c r="F60" s="302">
        <v>12</v>
      </c>
      <c r="G60" s="302"/>
      <c r="H60" s="302"/>
      <c r="I60" s="302">
        <v>7</v>
      </c>
      <c r="J60" s="302">
        <v>13</v>
      </c>
      <c r="K60" s="302">
        <v>11</v>
      </c>
      <c r="L60" s="302">
        <v>9</v>
      </c>
      <c r="M60" s="302"/>
      <c r="N60" s="302"/>
      <c r="O60" s="302">
        <v>7</v>
      </c>
      <c r="P60" s="302">
        <v>3</v>
      </c>
      <c r="Q60" s="302"/>
      <c r="R60" s="302">
        <f>LOG((C60/0.01)*10^($B$60))</f>
        <v>7.6989700043360187</v>
      </c>
      <c r="S60" s="302">
        <f>LOG((D60/0.01)*10^($B$60))</f>
        <v>8</v>
      </c>
      <c r="T60" s="302">
        <f>LOG((E60/0.01)*10^($B$60))</f>
        <v>8.0413926851582254</v>
      </c>
      <c r="U60" s="302">
        <f>LOG((F60/0.01)*10^($B$60))</f>
        <v>8.0791812460476251</v>
      </c>
      <c r="V60" s="302">
        <f>LOG((I60/0.01)*10^($B$60))</f>
        <v>7.8450980400142569</v>
      </c>
      <c r="W60" s="302">
        <f>LOG((J60/0.01)*10^($B$60))</f>
        <v>8.1139433523068369</v>
      </c>
      <c r="X60" s="302">
        <f>LOG((K60/0.01)*10^($B$60))</f>
        <v>8.0413926851582254</v>
      </c>
      <c r="Y60" s="302">
        <f>LOG((L60/0.01)*10^($B$60))</f>
        <v>7.9542425094393252</v>
      </c>
      <c r="Z60" s="302">
        <f>LOG((O60/0.01)*10^($B$60))</f>
        <v>7.8450980400142569</v>
      </c>
      <c r="AA60" s="302">
        <f>LOG((P60/0.01)*10^($B$60))</f>
        <v>7.4771212547196626</v>
      </c>
      <c r="AB60" s="302">
        <f t="shared" si="51"/>
        <v>7.9096439817194435</v>
      </c>
      <c r="AC60" s="302"/>
      <c r="AD60" s="5">
        <f>(C60/0.01)*10^($B$60)</f>
        <v>50000000</v>
      </c>
      <c r="AE60" s="5">
        <f>(D60/0.01)*10^($B$60)</f>
        <v>100000000</v>
      </c>
      <c r="AF60" s="5">
        <f>(E60/0.01)*10^($B$60)</f>
        <v>110000000</v>
      </c>
      <c r="AG60" s="5">
        <f>(F60/0.01)*10^($B$60)</f>
        <v>120000000</v>
      </c>
      <c r="AH60" s="5">
        <f>(I60/0.01)*10^($B$60)</f>
        <v>70000000</v>
      </c>
      <c r="AI60" s="5">
        <f>(J60/0.01)*10^($B$60)</f>
        <v>130000000</v>
      </c>
      <c r="AJ60" s="5">
        <f>(K60/0.01)*10^($B$60)</f>
        <v>110000000</v>
      </c>
      <c r="AK60" s="5">
        <f>(L60/0.01)*10^($B$60)</f>
        <v>90000000</v>
      </c>
      <c r="AL60" s="5">
        <f>(O60/0.01)*10^($B$60)</f>
        <v>70000000</v>
      </c>
      <c r="AM60" s="5">
        <f>(P60/0.01)*10^($B$60)</f>
        <v>30000000</v>
      </c>
      <c r="AN60" s="5">
        <f t="shared" si="52"/>
        <v>88000000</v>
      </c>
      <c r="AO60" s="302" t="s">
        <v>95</v>
      </c>
    </row>
    <row r="61" spans="1:41" x14ac:dyDescent="0.25">
      <c r="A61" s="5" t="s">
        <v>96</v>
      </c>
      <c r="B61" s="5">
        <v>5.5</v>
      </c>
      <c r="C61" s="5">
        <v>3</v>
      </c>
      <c r="D61" s="5">
        <v>1</v>
      </c>
      <c r="E61" s="5">
        <v>5</v>
      </c>
      <c r="F61" s="5">
        <v>4</v>
      </c>
      <c r="I61" s="5">
        <v>0</v>
      </c>
      <c r="J61" s="5">
        <v>7</v>
      </c>
      <c r="K61" s="5">
        <v>4</v>
      </c>
      <c r="L61" s="5">
        <v>3</v>
      </c>
      <c r="O61" s="5">
        <v>3</v>
      </c>
      <c r="P61" s="5">
        <v>3</v>
      </c>
      <c r="R61" s="5">
        <f>LOG((C61/0.01)*10^($B$61))</f>
        <v>7.9771212547196626</v>
      </c>
      <c r="S61" s="5">
        <f>LOG((D61/0.01)*10^($B$61))</f>
        <v>7.5</v>
      </c>
      <c r="T61" s="5">
        <f>LOG((E61/0.01)*10^($B$61))</f>
        <v>8.1989700043360187</v>
      </c>
      <c r="U61" s="5">
        <f>LOG((F61/0.01)*10^($B$61))</f>
        <v>8.1020599913279625</v>
      </c>
      <c r="V61" s="5">
        <v>0</v>
      </c>
      <c r="W61" s="5">
        <f>LOG((J61/0.01)*10^($B$61))</f>
        <v>8.3450980400142569</v>
      </c>
      <c r="X61" s="5">
        <f>LOG((K61/0.01)*10^($B$61))</f>
        <v>8.1020599913279625</v>
      </c>
      <c r="Y61" s="5">
        <f>LOG((L61/0.01)*10^($B$61))</f>
        <v>7.9771212547196626</v>
      </c>
      <c r="Z61" s="5">
        <f>LOG((O61/0.01)*10^($B$61))</f>
        <v>7.9771212547196626</v>
      </c>
      <c r="AA61" s="5">
        <f>LOG((P61/0.01)*10^($B$61))</f>
        <v>7.9771212547196626</v>
      </c>
      <c r="AB61" s="5">
        <f t="shared" si="51"/>
        <v>7.215667304588484</v>
      </c>
      <c r="AC61" s="5" t="s">
        <v>96</v>
      </c>
      <c r="AD61" s="5">
        <f>(C61/0.01)*10^($B$61)</f>
        <v>94868329.805051461</v>
      </c>
      <c r="AE61" s="5">
        <f>(D61/0.01)*10^($B$61)</f>
        <v>31622776.601683822</v>
      </c>
      <c r="AF61" s="5">
        <f>(E61/0.01)*10^($B$61)</f>
        <v>158113883.0084191</v>
      </c>
      <c r="AG61" s="5">
        <f>(F61/0.01)*10^($B$61)</f>
        <v>126491106.40673529</v>
      </c>
      <c r="AH61" s="5">
        <f>(I61/0.01)*10^($B$61)</f>
        <v>0</v>
      </c>
      <c r="AI61" s="5">
        <f>(J61/0.01)*10^($B$61)</f>
        <v>221359436.21178675</v>
      </c>
      <c r="AJ61" s="5">
        <f>(K61/0.01)*10^($B$61)</f>
        <v>126491106.40673529</v>
      </c>
      <c r="AK61" s="5">
        <f>(L61/0.01)*10^($B$61)</f>
        <v>94868329.805051461</v>
      </c>
      <c r="AL61" s="5">
        <f>(O61/0.01)*10^($B$61)</f>
        <v>94868329.805051461</v>
      </c>
      <c r="AM61" s="5">
        <f>(P61/0.01)*10^($B$61)</f>
        <v>94868329.805051461</v>
      </c>
      <c r="AN61" s="5">
        <f t="shared" si="52"/>
        <v>104355162.7855566</v>
      </c>
      <c r="AO61" s="5" t="s">
        <v>96</v>
      </c>
    </row>
    <row r="62" spans="1:41" x14ac:dyDescent="0.25">
      <c r="A62" s="302"/>
      <c r="B62" s="302">
        <v>5</v>
      </c>
      <c r="C62" s="302">
        <v>14</v>
      </c>
      <c r="D62" s="302">
        <v>6</v>
      </c>
      <c r="E62" s="302">
        <v>13</v>
      </c>
      <c r="F62" s="302">
        <v>16</v>
      </c>
      <c r="G62" s="302"/>
      <c r="H62" s="302"/>
      <c r="I62" s="302">
        <v>12</v>
      </c>
      <c r="J62" s="302">
        <v>18</v>
      </c>
      <c r="K62" s="302">
        <v>12</v>
      </c>
      <c r="L62" s="302">
        <v>8</v>
      </c>
      <c r="M62" s="302"/>
      <c r="N62" s="302"/>
      <c r="O62" s="302">
        <v>8</v>
      </c>
      <c r="P62" s="302">
        <v>6</v>
      </c>
      <c r="Q62" s="302"/>
      <c r="R62" s="302">
        <f>LOG((C62/0.01)*10^($B$62))</f>
        <v>8.1461280356782382</v>
      </c>
      <c r="S62" s="302">
        <f>LOG((D62/0.01)*10^($B$62))</f>
        <v>7.7781512503836439</v>
      </c>
      <c r="T62" s="302">
        <f>LOG((E62/0.01)*10^($B$62))</f>
        <v>8.1139433523068369</v>
      </c>
      <c r="U62" s="302">
        <f>LOG((F62/0.01)*10^($B$62))</f>
        <v>8.204119982655925</v>
      </c>
      <c r="V62" s="302">
        <f>LOG((I62/0.01)*10^($B$62))</f>
        <v>8.0791812460476251</v>
      </c>
      <c r="W62" s="302">
        <f>LOG((J62/0.01)*10^($B$62))</f>
        <v>8.2552725051033065</v>
      </c>
      <c r="X62" s="302">
        <f>LOG((K62/0.01)*10^($B$62))</f>
        <v>8.0791812460476251</v>
      </c>
      <c r="Y62" s="302">
        <f>LOG((L62/0.01)*10^($B$62))</f>
        <v>7.9030899869919438</v>
      </c>
      <c r="Z62" s="302">
        <f>LOG((O62/0.01)*10^($B$62))</f>
        <v>7.9030899869919438</v>
      </c>
      <c r="AA62" s="302">
        <f>LOG((P62/0.01)*10^($B$62))</f>
        <v>7.7781512503836439</v>
      </c>
      <c r="AB62" s="302">
        <f t="shared" si="51"/>
        <v>8.0240308842590728</v>
      </c>
      <c r="AC62" s="302"/>
      <c r="AD62" s="5">
        <f>(C62/0.01)*10^($B$62)</f>
        <v>140000000</v>
      </c>
      <c r="AE62" s="5">
        <f>(D62/0.01)*10^($B$62)</f>
        <v>60000000</v>
      </c>
      <c r="AF62" s="5">
        <f>(E62/0.01)*10^($B$62)</f>
        <v>130000000</v>
      </c>
      <c r="AG62" s="5">
        <f>(F62/0.01)*10^($B$62)</f>
        <v>160000000</v>
      </c>
      <c r="AH62" s="5">
        <f>(I62/0.01)*10^($B$62)</f>
        <v>120000000</v>
      </c>
      <c r="AI62" s="5">
        <f>(J62/0.01)*10^($B$62)</f>
        <v>180000000</v>
      </c>
      <c r="AJ62" s="5">
        <f>(K62/0.01)*10^($B$62)</f>
        <v>120000000</v>
      </c>
      <c r="AK62" s="5">
        <f>(L62/0.01)*10^($B$62)</f>
        <v>80000000</v>
      </c>
      <c r="AL62" s="5">
        <f>(O62/0.01)*10^($B$62)</f>
        <v>80000000</v>
      </c>
      <c r="AM62" s="5">
        <f>(P62/0.01)*10^($B$62)</f>
        <v>60000000</v>
      </c>
      <c r="AN62" s="5">
        <f t="shared" si="52"/>
        <v>113000000</v>
      </c>
      <c r="AO62" s="302" t="s">
        <v>96</v>
      </c>
    </row>
    <row r="63" spans="1:41" x14ac:dyDescent="0.25">
      <c r="A63" s="302" t="s">
        <v>97</v>
      </c>
      <c r="B63" s="302">
        <v>5</v>
      </c>
      <c r="C63" s="302">
        <v>5</v>
      </c>
      <c r="D63" s="302">
        <v>4</v>
      </c>
      <c r="E63" s="302">
        <v>5</v>
      </c>
      <c r="F63" s="302">
        <v>3</v>
      </c>
      <c r="G63" s="302"/>
      <c r="H63" s="302"/>
      <c r="I63" s="302">
        <v>4</v>
      </c>
      <c r="J63" s="302">
        <v>3</v>
      </c>
      <c r="K63" s="302">
        <v>3</v>
      </c>
      <c r="L63" s="302">
        <v>3</v>
      </c>
      <c r="M63" s="302"/>
      <c r="N63" s="302"/>
      <c r="O63" s="302">
        <v>6</v>
      </c>
      <c r="P63" s="302">
        <v>8</v>
      </c>
      <c r="Q63" s="302"/>
      <c r="R63" s="302">
        <f>LOG((C63/0.01)*10^($B$63))</f>
        <v>7.6989700043360187</v>
      </c>
      <c r="S63" s="302">
        <f>LOG((D63/0.01)*10^($B$63))</f>
        <v>7.6020599913279625</v>
      </c>
      <c r="T63" s="302">
        <f>LOG((E63/0.01)*10^($B$63))</f>
        <v>7.6989700043360187</v>
      </c>
      <c r="U63" s="302">
        <f>LOG((F63/0.01)*10^($B$63))</f>
        <v>7.4771212547196626</v>
      </c>
      <c r="V63" s="302">
        <f>LOG((I63/0.01)*10^($B$63))</f>
        <v>7.6020599913279625</v>
      </c>
      <c r="W63" s="302">
        <f>LOG((J63/0.01)*10^($B$63))</f>
        <v>7.4771212547196626</v>
      </c>
      <c r="X63" s="302">
        <f>LOG((K63/0.01)*10^($B$63))</f>
        <v>7.4771212547196626</v>
      </c>
      <c r="Y63" s="302">
        <f>LOG((L63/0.01)*10^($B$63))</f>
        <v>7.4771212547196626</v>
      </c>
      <c r="Z63" s="302">
        <f>LOG((O63/0.01)*10^($B$63))</f>
        <v>7.7781512503836439</v>
      </c>
      <c r="AA63" s="302">
        <f>LOG((P63/0.01)*10^($B$63))</f>
        <v>7.9030899869919438</v>
      </c>
      <c r="AB63" s="302">
        <f t="shared" si="51"/>
        <v>7.6191786247582201</v>
      </c>
      <c r="AC63" s="302" t="s">
        <v>97</v>
      </c>
      <c r="AD63" s="5">
        <f>(C63/0.01)*10^($B$63)</f>
        <v>50000000</v>
      </c>
      <c r="AE63" s="5">
        <f>(D63/0.01)*10^($B$63)</f>
        <v>40000000</v>
      </c>
      <c r="AF63" s="5">
        <f>(E63/0.01)*10^($B$63)</f>
        <v>50000000</v>
      </c>
      <c r="AG63" s="5">
        <f>(F63/0.01)*10^($B$63)</f>
        <v>30000000</v>
      </c>
      <c r="AH63" s="5">
        <f>(I63/0.01)*10^($B$63)</f>
        <v>40000000</v>
      </c>
      <c r="AI63" s="5">
        <f>(J63/0.01)*10^($B$63)</f>
        <v>30000000</v>
      </c>
      <c r="AJ63" s="5">
        <f>(K63/0.01)*10^($B$63)</f>
        <v>30000000</v>
      </c>
      <c r="AK63" s="5">
        <f>(L63/0.01)*10^($B$63)</f>
        <v>30000000</v>
      </c>
      <c r="AL63" s="5">
        <f>(O63/0.01)*10^($B$63)</f>
        <v>60000000</v>
      </c>
      <c r="AM63" s="5">
        <f>(P63/0.01)*10^($B$63)</f>
        <v>80000000</v>
      </c>
      <c r="AN63" s="5">
        <f t="shared" si="52"/>
        <v>44000000</v>
      </c>
      <c r="AO63" s="302" t="s">
        <v>97</v>
      </c>
    </row>
    <row r="64" spans="1:41" x14ac:dyDescent="0.25">
      <c r="A64" s="5" t="s">
        <v>98</v>
      </c>
      <c r="B64" s="5">
        <v>5.5</v>
      </c>
      <c r="C64" s="5">
        <v>8</v>
      </c>
      <c r="D64" s="5">
        <v>5</v>
      </c>
      <c r="E64" s="5">
        <v>5</v>
      </c>
      <c r="F64" s="5">
        <v>3</v>
      </c>
      <c r="I64" s="5">
        <v>1</v>
      </c>
      <c r="J64" s="5">
        <v>3</v>
      </c>
      <c r="K64" s="5">
        <v>4</v>
      </c>
      <c r="L64" s="5">
        <v>6</v>
      </c>
      <c r="O64" s="5">
        <v>7</v>
      </c>
      <c r="P64" s="5">
        <v>5</v>
      </c>
      <c r="R64" s="5">
        <f>LOG((C64/0.01)*10^($B$64))</f>
        <v>8.4030899869919438</v>
      </c>
      <c r="S64" s="5">
        <f>LOG((D64/0.01)*10^($B$64))</f>
        <v>8.1989700043360187</v>
      </c>
      <c r="T64" s="5">
        <f>LOG((E64/0.01)*10^($B$64))</f>
        <v>8.1989700043360187</v>
      </c>
      <c r="U64" s="5">
        <f>LOG((F64/0.01)*10^($B$64))</f>
        <v>7.9771212547196626</v>
      </c>
      <c r="V64" s="5">
        <f>LOG((I64/0.01)*10^($B$64))</f>
        <v>7.5</v>
      </c>
      <c r="W64" s="5">
        <f>LOG((J64/0.01)*10^($B$64))</f>
        <v>7.9771212547196626</v>
      </c>
      <c r="X64" s="5">
        <f>LOG((K64/0.01)*10^($B$64))</f>
        <v>8.1020599913279625</v>
      </c>
      <c r="Y64" s="5">
        <f>LOG((L64/0.01)*10^($B$64))</f>
        <v>8.2781512503836439</v>
      </c>
      <c r="Z64" s="5">
        <f>LOG((O64/0.01)*10^($B$64))</f>
        <v>8.3450980400142569</v>
      </c>
      <c r="AA64" s="5">
        <f>LOG((P64/0.01)*10^($B$64))</f>
        <v>8.1989700043360187</v>
      </c>
      <c r="AB64" s="5">
        <f t="shared" si="51"/>
        <v>8.1179551791165174</v>
      </c>
      <c r="AC64" s="5" t="s">
        <v>98</v>
      </c>
      <c r="AD64" s="5">
        <f>(C64/0.01)*10^($B$64)</f>
        <v>252982212.81347057</v>
      </c>
      <c r="AE64" s="5">
        <f>(D64/0.01)*10^($B$64)</f>
        <v>158113883.0084191</v>
      </c>
      <c r="AF64" s="5">
        <f>(E64/0.01)*10^($B$64)</f>
        <v>158113883.0084191</v>
      </c>
      <c r="AG64" s="5">
        <f>(F64/0.01)*10^($B$64)</f>
        <v>94868329.805051461</v>
      </c>
      <c r="AH64" s="5">
        <f>(I64/0.01)*10^($B$64)</f>
        <v>31622776.601683822</v>
      </c>
      <c r="AI64" s="5">
        <f>(J64/0.01)*10^($B$64)</f>
        <v>94868329.805051461</v>
      </c>
      <c r="AJ64" s="5">
        <f>(K64/0.01)*10^($B$64)</f>
        <v>126491106.40673529</v>
      </c>
      <c r="AK64" s="5">
        <f>(L64/0.01)*10^($B$64)</f>
        <v>189736659.61010292</v>
      </c>
      <c r="AL64" s="5">
        <f>(O64/0.01)*10^($B$64)</f>
        <v>221359436.21178675</v>
      </c>
      <c r="AM64" s="5">
        <f>(P64/0.01)*10^($B$64)</f>
        <v>158113883.0084191</v>
      </c>
      <c r="AN64" s="5">
        <f t="shared" si="52"/>
        <v>148627050.02791396</v>
      </c>
      <c r="AO64" s="5" t="s">
        <v>98</v>
      </c>
    </row>
    <row r="65" spans="1:41" x14ac:dyDescent="0.25">
      <c r="A65" s="302"/>
      <c r="B65" s="302">
        <v>5</v>
      </c>
      <c r="C65" s="302">
        <v>10</v>
      </c>
      <c r="D65" s="302">
        <v>10</v>
      </c>
      <c r="E65" s="302">
        <v>16</v>
      </c>
      <c r="F65" s="302">
        <v>16</v>
      </c>
      <c r="G65" s="302"/>
      <c r="H65" s="302"/>
      <c r="I65" s="302">
        <v>12</v>
      </c>
      <c r="J65" s="302">
        <v>14</v>
      </c>
      <c r="K65" s="302">
        <v>13</v>
      </c>
      <c r="L65" s="302">
        <v>11</v>
      </c>
      <c r="M65" s="302"/>
      <c r="N65" s="302"/>
      <c r="O65" s="302">
        <v>12</v>
      </c>
      <c r="P65" s="302">
        <v>11</v>
      </c>
      <c r="Q65" s="302"/>
      <c r="R65" s="302">
        <f>LOG((C65/0.01)*10^($B$65))</f>
        <v>8</v>
      </c>
      <c r="S65" s="302">
        <f>LOG((D65/0.01)*10^($B$65))</f>
        <v>8</v>
      </c>
      <c r="T65" s="302">
        <f>LOG((E65/0.01)*10^($B$65))</f>
        <v>8.204119982655925</v>
      </c>
      <c r="U65" s="302">
        <f>LOG((F65/0.01)*10^($B$65))</f>
        <v>8.204119982655925</v>
      </c>
      <c r="V65" s="302">
        <f>LOG((I65/0.01)*10^($B$65))</f>
        <v>8.0791812460476251</v>
      </c>
      <c r="W65" s="302">
        <f>LOG((J65/0.01)*10^($B$65))</f>
        <v>8.1461280356782382</v>
      </c>
      <c r="X65" s="302">
        <f>LOG((K65/0.01)*10^($B$65))</f>
        <v>8.1139433523068369</v>
      </c>
      <c r="Y65" s="302">
        <f>LOG((L65/0.01)*10^($B$65))</f>
        <v>8.0413926851582254</v>
      </c>
      <c r="Z65" s="302">
        <f>LOG((O65/0.01)*10^($B$65))</f>
        <v>8.0791812460476251</v>
      </c>
      <c r="AA65" s="302">
        <f>LOG((P65/0.01)*10^($B$65))</f>
        <v>8.0413926851582254</v>
      </c>
      <c r="AB65" s="302">
        <f t="shared" si="51"/>
        <v>8.0909459215708637</v>
      </c>
      <c r="AC65" s="302"/>
      <c r="AD65" s="5">
        <f>(C65/0.01)*10^($B$65)</f>
        <v>100000000</v>
      </c>
      <c r="AE65" s="5">
        <f>(D65/0.01)*10^($B$65)</f>
        <v>100000000</v>
      </c>
      <c r="AF65" s="5">
        <f>(E65/0.01)*10^($B$65)</f>
        <v>160000000</v>
      </c>
      <c r="AG65" s="5">
        <f>(F65/0.01)*10^($B$65)</f>
        <v>160000000</v>
      </c>
      <c r="AH65" s="5">
        <f>(I65/0.01)*10^($B$65)</f>
        <v>120000000</v>
      </c>
      <c r="AI65" s="5">
        <f>(J65/0.01)*10^($B$65)</f>
        <v>140000000</v>
      </c>
      <c r="AJ65" s="5">
        <f>(K65/0.01)*10^($B$65)</f>
        <v>130000000</v>
      </c>
      <c r="AK65" s="5">
        <f>(L65/0.01)*10^($B$65)</f>
        <v>110000000</v>
      </c>
      <c r="AL65" s="5">
        <f>(O65/0.01)*10^($B$65)</f>
        <v>120000000</v>
      </c>
      <c r="AM65" s="5">
        <f>(P65/0.01)*10^($B$65)</f>
        <v>110000000</v>
      </c>
      <c r="AN65" s="5">
        <f t="shared" si="52"/>
        <v>125000000</v>
      </c>
      <c r="AO65" s="302" t="s">
        <v>98</v>
      </c>
    </row>
    <row r="66" spans="1:41" x14ac:dyDescent="0.25">
      <c r="A66" s="302" t="s">
        <v>99</v>
      </c>
      <c r="B66" s="302">
        <v>5.5</v>
      </c>
      <c r="C66" s="302">
        <v>7</v>
      </c>
      <c r="D66" s="302">
        <v>9</v>
      </c>
      <c r="E66" s="302">
        <v>9</v>
      </c>
      <c r="F66" s="302">
        <v>9</v>
      </c>
      <c r="G66" s="302"/>
      <c r="H66" s="302"/>
      <c r="I66" s="302">
        <v>11</v>
      </c>
      <c r="J66" s="302">
        <v>10</v>
      </c>
      <c r="K66" s="302">
        <v>5</v>
      </c>
      <c r="L66" s="302">
        <v>7</v>
      </c>
      <c r="M66" s="302"/>
      <c r="N66" s="302"/>
      <c r="O66" s="302">
        <v>8</v>
      </c>
      <c r="P66" s="302">
        <v>8</v>
      </c>
      <c r="Q66" s="302"/>
      <c r="R66" s="302">
        <f>LOG((C66/0.01)*10^($B$66))</f>
        <v>8.3450980400142569</v>
      </c>
      <c r="S66" s="302">
        <f>LOG((D66/0.01)*10^($B$66))</f>
        <v>8.4542425094393252</v>
      </c>
      <c r="T66" s="302">
        <f>LOG((E66/0.01)*10^($B$66))</f>
        <v>8.4542425094393252</v>
      </c>
      <c r="U66" s="302">
        <f>LOG((F66/0.01)*10^($B$66))</f>
        <v>8.4542425094393252</v>
      </c>
      <c r="V66" s="302">
        <f>LOG((I66/0.01)*10^($B$66))</f>
        <v>8.5413926851582254</v>
      </c>
      <c r="W66" s="302">
        <f>LOG((J66/0.01)*10^($B$66))</f>
        <v>8.5</v>
      </c>
      <c r="X66" s="302">
        <f>LOG((K66/0.01)*10^($B$66))</f>
        <v>8.1989700043360187</v>
      </c>
      <c r="Y66" s="302">
        <f>LOG((L66/0.01)*10^($B$66))</f>
        <v>8.3450980400142569</v>
      </c>
      <c r="Z66" s="302">
        <f>LOG((O66/0.01)*10^($B$66))</f>
        <v>8.4030899869919438</v>
      </c>
      <c r="AA66" s="302">
        <f>LOG((P66/0.01)*10^($B$66))</f>
        <v>8.4030899869919438</v>
      </c>
      <c r="AB66" s="302">
        <f t="shared" si="51"/>
        <v>8.4099466271824603</v>
      </c>
      <c r="AC66" s="302" t="s">
        <v>99</v>
      </c>
      <c r="AD66" s="5">
        <f>(C66/0.01)*10^($B$66)</f>
        <v>221359436.21178675</v>
      </c>
      <c r="AE66" s="5">
        <f>(D66/0.01)*10^($B$66)</f>
        <v>284604989.4151544</v>
      </c>
      <c r="AF66" s="5">
        <f>(E66/0.01)*10^($B$66)</f>
        <v>284604989.4151544</v>
      </c>
      <c r="AG66" s="5">
        <f>(F66/0.01)*10^($B$66)</f>
        <v>284604989.4151544</v>
      </c>
      <c r="AH66" s="5">
        <f>(I66/0.01)*10^($B$66)</f>
        <v>347850542.61852205</v>
      </c>
      <c r="AI66" s="5">
        <f>(J66/0.01)*10^($B$66)</f>
        <v>316227766.01683819</v>
      </c>
      <c r="AJ66" s="5">
        <f>(K66/0.01)*10^($B$66)</f>
        <v>158113883.0084191</v>
      </c>
      <c r="AK66" s="5">
        <f>(L66/0.01)*10^($B$66)</f>
        <v>221359436.21178675</v>
      </c>
      <c r="AL66" s="5">
        <f>(O66/0.01)*10^($B$66)</f>
        <v>252982212.81347057</v>
      </c>
      <c r="AM66" s="5">
        <f>(P66/0.01)*10^($B$66)</f>
        <v>252982212.81347057</v>
      </c>
      <c r="AN66" s="5">
        <f t="shared" si="52"/>
        <v>262469045.79397565</v>
      </c>
      <c r="AO66" s="302" t="s">
        <v>99</v>
      </c>
    </row>
    <row r="67" spans="1:41" x14ac:dyDescent="0.25">
      <c r="B67" s="5">
        <v>5</v>
      </c>
      <c r="C67" s="5">
        <v>19</v>
      </c>
      <c r="D67" s="5">
        <v>22</v>
      </c>
      <c r="E67" s="5">
        <v>20</v>
      </c>
      <c r="F67" s="5">
        <v>18</v>
      </c>
      <c r="I67" s="5">
        <v>21</v>
      </c>
      <c r="J67" s="5">
        <v>24</v>
      </c>
      <c r="K67" s="5">
        <v>22</v>
      </c>
      <c r="L67" s="5">
        <v>14</v>
      </c>
      <c r="O67" s="5">
        <v>20</v>
      </c>
      <c r="P67" s="5">
        <v>21</v>
      </c>
      <c r="R67" s="5">
        <f>LOG((C67/0.01)*10^($B$67))</f>
        <v>8.2787536009528289</v>
      </c>
      <c r="S67" s="5">
        <f>LOG((D67/0.01)*10^($B$67))</f>
        <v>8.3424226808222066</v>
      </c>
      <c r="T67" s="5">
        <f>LOG((E67/0.01)*10^($B$67))</f>
        <v>8.3010299956639813</v>
      </c>
      <c r="U67" s="5">
        <f>LOG((F67/0.01)*10^($B$67))</f>
        <v>8.2552725051033065</v>
      </c>
      <c r="V67" s="5">
        <f>LOG((I67/0.01)*10^($B$67))</f>
        <v>8.3222192947339195</v>
      </c>
      <c r="W67" s="5">
        <f>LOG((J67/0.01)*10^($B$67))</f>
        <v>8.3802112417116064</v>
      </c>
      <c r="X67" s="5">
        <f>LOG((K67/0.01)*10^($B$67))</f>
        <v>8.3424226808222066</v>
      </c>
      <c r="Y67" s="5">
        <f>LOG((L67/0.01)*10^($B$67))</f>
        <v>8.1461280356782382</v>
      </c>
      <c r="Z67" s="5">
        <f>LOG((O67/0.01)*10^($B$67))</f>
        <v>8.3010299956639813</v>
      </c>
      <c r="AA67" s="5">
        <f>LOG((P67/0.01)*10^($B$67))</f>
        <v>8.3222192947339195</v>
      </c>
      <c r="AB67" s="5">
        <f t="shared" si="51"/>
        <v>8.299170932588618</v>
      </c>
      <c r="AD67" s="5">
        <f>(C67/0.01)*10^($B$67)</f>
        <v>190000000</v>
      </c>
      <c r="AE67" s="5">
        <f>(D67/0.01)*10^($B$67)</f>
        <v>220000000</v>
      </c>
      <c r="AF67" s="5">
        <f>(E67/0.01)*10^($B$67)</f>
        <v>200000000</v>
      </c>
      <c r="AG67" s="5">
        <f>(F67/0.01)*10^($B$67)</f>
        <v>180000000</v>
      </c>
      <c r="AH67" s="5">
        <f>(I67/0.01)*10^($B$67)</f>
        <v>210000000</v>
      </c>
      <c r="AI67" s="5">
        <f>(J67/0.01)*10^($B$67)</f>
        <v>240000000</v>
      </c>
      <c r="AJ67" s="5">
        <f>(K67/0.01)*10^($B$67)</f>
        <v>220000000</v>
      </c>
      <c r="AK67" s="5">
        <f>(L67/0.01)*10^($B$67)</f>
        <v>140000000</v>
      </c>
      <c r="AL67" s="5">
        <f>(O67/0.01)*10^($B$67)</f>
        <v>200000000</v>
      </c>
      <c r="AM67" s="5">
        <f>(P67/0.01)*10^($B$67)</f>
        <v>210000000</v>
      </c>
      <c r="AN67" s="5">
        <f t="shared" si="52"/>
        <v>201000000</v>
      </c>
      <c r="AO67" s="302" t="s">
        <v>99</v>
      </c>
    </row>
    <row r="68" spans="1:41" x14ac:dyDescent="0.25">
      <c r="A68" s="5" t="s">
        <v>100</v>
      </c>
      <c r="B68" s="5">
        <v>5.5</v>
      </c>
      <c r="C68" s="5">
        <v>2</v>
      </c>
      <c r="D68" s="5">
        <v>2</v>
      </c>
      <c r="E68" s="5">
        <v>4</v>
      </c>
      <c r="F68" s="5">
        <v>2</v>
      </c>
      <c r="I68" s="5">
        <v>1</v>
      </c>
      <c r="J68" s="5">
        <v>4</v>
      </c>
      <c r="K68" s="5">
        <v>2</v>
      </c>
      <c r="L68" s="5">
        <v>4</v>
      </c>
      <c r="O68" s="5">
        <v>3</v>
      </c>
      <c r="P68" s="5">
        <v>1</v>
      </c>
      <c r="R68" s="5">
        <f>LOG((C68/0.01)*10^($B$68))</f>
        <v>7.8010299956639813</v>
      </c>
      <c r="S68" s="5">
        <f>LOG((D68/0.01)*10^($B$68))</f>
        <v>7.8010299956639813</v>
      </c>
      <c r="T68" s="5">
        <f>LOG((E68/0.01)*10^($B$68))</f>
        <v>8.1020599913279625</v>
      </c>
      <c r="U68" s="5">
        <f>LOG((F68/0.01)*10^($B$68))</f>
        <v>7.8010299956639813</v>
      </c>
      <c r="V68" s="5">
        <f>LOG((I68/0.01)*10^($B$68))</f>
        <v>7.5</v>
      </c>
      <c r="W68" s="5">
        <f>LOG((J68/0.01)*10^($B$68))</f>
        <v>8.1020599913279625</v>
      </c>
      <c r="X68" s="5">
        <f>LOG((K68/0.01)*10^($B$68))</f>
        <v>7.8010299956639813</v>
      </c>
      <c r="Y68" s="5">
        <f>LOG((L68/0.01)*10^($B$68))</f>
        <v>8.1020599913279625</v>
      </c>
      <c r="Z68" s="5">
        <f>LOG((O68/0.01)*10^($B$68))</f>
        <v>7.9771212547196626</v>
      </c>
      <c r="AA68" s="5">
        <f>LOG((P68/0.01)*10^($B$68))</f>
        <v>7.5</v>
      </c>
      <c r="AB68" s="5">
        <f t="shared" si="51"/>
        <v>7.8487421211359472</v>
      </c>
      <c r="AC68" s="5" t="s">
        <v>100</v>
      </c>
      <c r="AD68" s="5">
        <f>(C68/0.01)*10^($B$68)</f>
        <v>63245553.203367643</v>
      </c>
      <c r="AE68" s="5">
        <f>(D68/0.01)*10^($B$68)</f>
        <v>63245553.203367643</v>
      </c>
      <c r="AF68" s="5">
        <f>(E68/0.01)*10^($B$68)</f>
        <v>126491106.40673529</v>
      </c>
      <c r="AG68" s="5">
        <f>(F68/0.01)*10^($B$68)</f>
        <v>63245553.203367643</v>
      </c>
      <c r="AH68" s="5">
        <f>(I68/0.01)*10^($B$68)</f>
        <v>31622776.601683822</v>
      </c>
      <c r="AI68" s="5">
        <f>(J68/0.01)*10^($B$68)</f>
        <v>126491106.40673529</v>
      </c>
      <c r="AJ68" s="5">
        <f>(K68/0.01)*10^($B$68)</f>
        <v>63245553.203367643</v>
      </c>
      <c r="AK68" s="5">
        <f>(L68/0.01)*10^($B$68)</f>
        <v>126491106.40673529</v>
      </c>
      <c r="AL68" s="5">
        <f>(O68/0.01)*10^($B$68)</f>
        <v>94868329.805051461</v>
      </c>
      <c r="AM68" s="5">
        <f>(P68/0.01)*10^($B$68)</f>
        <v>31622776.601683822</v>
      </c>
      <c r="AN68" s="5">
        <f t="shared" si="52"/>
        <v>79056941.504209548</v>
      </c>
      <c r="AO68" s="5" t="s">
        <v>100</v>
      </c>
    </row>
    <row r="69" spans="1:41" x14ac:dyDescent="0.25">
      <c r="A69" s="302"/>
      <c r="B69" s="302">
        <v>5</v>
      </c>
      <c r="C69" s="302">
        <v>9</v>
      </c>
      <c r="D69" s="302">
        <v>6</v>
      </c>
      <c r="E69" s="302">
        <v>9</v>
      </c>
      <c r="F69" s="302">
        <v>5</v>
      </c>
      <c r="G69" s="302"/>
      <c r="H69" s="302"/>
      <c r="I69" s="302">
        <v>9</v>
      </c>
      <c r="J69" s="302">
        <v>4</v>
      </c>
      <c r="K69" s="302">
        <v>13</v>
      </c>
      <c r="L69" s="302">
        <v>5</v>
      </c>
      <c r="M69" s="302"/>
      <c r="N69" s="302"/>
      <c r="O69" s="302">
        <v>9</v>
      </c>
      <c r="P69" s="302">
        <v>5</v>
      </c>
      <c r="Q69" s="302"/>
      <c r="R69" s="302">
        <f>LOG((C69/0.01)*10^($B$69))</f>
        <v>7.9542425094393252</v>
      </c>
      <c r="S69" s="302">
        <f>LOG((D69/0.01)*10^($B$69))</f>
        <v>7.7781512503836439</v>
      </c>
      <c r="T69" s="302">
        <f>LOG((E69/0.01)*10^($B$69))</f>
        <v>7.9542425094393252</v>
      </c>
      <c r="U69" s="302">
        <f>LOG((F69/0.01)*10^($B$69))</f>
        <v>7.6989700043360187</v>
      </c>
      <c r="V69" s="302">
        <f>LOG((I69/0.01)*10^($B$69))</f>
        <v>7.9542425094393252</v>
      </c>
      <c r="W69" s="302">
        <f>LOG((J69/0.01)*10^($B$69))</f>
        <v>7.6020599913279625</v>
      </c>
      <c r="X69" s="302">
        <f>LOG((K69/0.01)*10^($B$69))</f>
        <v>8.1139433523068369</v>
      </c>
      <c r="Y69" s="302">
        <f>LOG((L69/0.01)*10^($B$69))</f>
        <v>7.6989700043360187</v>
      </c>
      <c r="Z69" s="302">
        <f>LOG((O69/0.01)*10^($B$69))</f>
        <v>7.9542425094393252</v>
      </c>
      <c r="AA69" s="302">
        <f>LOG((P69/0.01)*10^($B$69))</f>
        <v>7.6989700043360187</v>
      </c>
      <c r="AB69" s="302">
        <f t="shared" si="51"/>
        <v>7.8408034644783795</v>
      </c>
      <c r="AC69" s="302"/>
      <c r="AD69" s="5">
        <f>(C69/0.01)*10^($B$69)</f>
        <v>90000000</v>
      </c>
      <c r="AE69" s="5">
        <f>(D69/0.01)*10^($B$69)</f>
        <v>60000000</v>
      </c>
      <c r="AF69" s="5">
        <f>(E69/0.01)*10^($B$69)</f>
        <v>90000000</v>
      </c>
      <c r="AG69" s="5">
        <f>(F69/0.01)*10^($B$69)</f>
        <v>50000000</v>
      </c>
      <c r="AH69" s="5">
        <f>(I69/0.01)*10^($B$69)</f>
        <v>90000000</v>
      </c>
      <c r="AI69" s="5">
        <f>(J69/0.01)*10^($B$69)</f>
        <v>40000000</v>
      </c>
      <c r="AJ69" s="5">
        <f>(K69/0.01)*10^($B$69)</f>
        <v>130000000</v>
      </c>
      <c r="AK69" s="5">
        <f>(L69/0.01)*10^($B$69)</f>
        <v>50000000</v>
      </c>
      <c r="AL69" s="5">
        <f>(O69/0.01)*10^($B$69)</f>
        <v>90000000</v>
      </c>
      <c r="AM69" s="5">
        <f>(P69/0.01)*10^($B$69)</f>
        <v>50000000</v>
      </c>
      <c r="AN69" s="5">
        <f t="shared" si="52"/>
        <v>74000000</v>
      </c>
      <c r="AO69" s="302" t="s">
        <v>100</v>
      </c>
    </row>
    <row r="70" spans="1:41" x14ac:dyDescent="0.25">
      <c r="A70" s="5" t="s">
        <v>101</v>
      </c>
      <c r="B70" s="6">
        <v>6</v>
      </c>
      <c r="C70" s="6">
        <v>2</v>
      </c>
      <c r="D70" s="6">
        <v>1</v>
      </c>
      <c r="E70" s="6">
        <v>3</v>
      </c>
      <c r="F70" s="6">
        <v>3</v>
      </c>
      <c r="G70" s="6"/>
      <c r="H70" s="6"/>
      <c r="I70" s="6">
        <v>3</v>
      </c>
      <c r="J70" s="6">
        <v>3</v>
      </c>
      <c r="K70" s="6">
        <v>2</v>
      </c>
      <c r="L70" s="6">
        <v>1</v>
      </c>
      <c r="M70" s="6"/>
      <c r="N70" s="6"/>
      <c r="O70" s="6">
        <v>3</v>
      </c>
      <c r="P70" s="6">
        <v>1</v>
      </c>
      <c r="R70" s="6">
        <f>LOG((C70/0.01)*10^($B$70))</f>
        <v>8.3010299956639813</v>
      </c>
      <c r="S70" s="6">
        <f>LOG((D70/0.01)*10^($B$70))</f>
        <v>8</v>
      </c>
      <c r="T70" s="6">
        <f>LOG((E70/0.01)*10^($B$70))</f>
        <v>8.4771212547196626</v>
      </c>
      <c r="U70" s="6">
        <f>LOG((F70/0.01)*10^($B$70))</f>
        <v>8.4771212547196626</v>
      </c>
      <c r="V70" s="6">
        <f>LOG((I70/0.01)*10^($B$70))</f>
        <v>8.4771212547196626</v>
      </c>
      <c r="W70" s="6">
        <f>LOG((J70/0.01)*10^($B$70))</f>
        <v>8.4771212547196626</v>
      </c>
      <c r="X70" s="6">
        <f>LOG((K70/0.01)*10^($B$70))</f>
        <v>8.3010299956639813</v>
      </c>
      <c r="Y70" s="6">
        <f>LOG((L70/0.01)*10^($B$70))</f>
        <v>8</v>
      </c>
      <c r="Z70" s="6">
        <f>LOG((O70/0.01)*10^($B$70))</f>
        <v>8.4771212547196626</v>
      </c>
      <c r="AA70" s="6">
        <f>LOG((P70/0.01)*10^($B$70))</f>
        <v>8</v>
      </c>
      <c r="AB70" s="6">
        <f>AVERAGE(R70:AA70)</f>
        <v>8.2987666264926272</v>
      </c>
      <c r="AC70" s="5" t="s">
        <v>101</v>
      </c>
      <c r="AD70" s="5">
        <f>(C70/0.01)*10^($B$70)</f>
        <v>200000000</v>
      </c>
      <c r="AE70" s="5">
        <f>(D70/0.01)*10^($B$70)</f>
        <v>100000000</v>
      </c>
      <c r="AF70" s="5">
        <f>(E70/0.01)*10^($B$70)</f>
        <v>300000000</v>
      </c>
      <c r="AG70" s="5">
        <f>(F70/0.01)*10^($B$70)</f>
        <v>300000000</v>
      </c>
      <c r="AH70" s="5">
        <f>(I70/0.01)*10^($B$70)</f>
        <v>300000000</v>
      </c>
      <c r="AI70" s="5">
        <f>(J70/0.01)*10^($B$70)</f>
        <v>300000000</v>
      </c>
      <c r="AJ70" s="5">
        <f>(K70/0.01)*10^($B$70)</f>
        <v>200000000</v>
      </c>
      <c r="AK70" s="5">
        <f>(L70/0.01)*10^($B$70)</f>
        <v>100000000</v>
      </c>
      <c r="AL70" s="5">
        <f>(O70/0.01)*10^($B$70)</f>
        <v>300000000</v>
      </c>
      <c r="AM70" s="5">
        <f>(P70/0.01)*10^($B$70)</f>
        <v>100000000</v>
      </c>
      <c r="AN70" s="5">
        <f t="shared" si="52"/>
        <v>220000000</v>
      </c>
      <c r="AO70" s="5" t="s">
        <v>101</v>
      </c>
    </row>
    <row r="71" spans="1:41" x14ac:dyDescent="0.25">
      <c r="A71" s="302"/>
      <c r="B71" s="302">
        <v>5.5</v>
      </c>
      <c r="C71" s="302">
        <v>9</v>
      </c>
      <c r="D71" s="302">
        <v>5</v>
      </c>
      <c r="E71" s="302">
        <v>6</v>
      </c>
      <c r="F71" s="302">
        <v>9</v>
      </c>
      <c r="G71" s="302"/>
      <c r="H71" s="302"/>
      <c r="I71" s="302">
        <v>6</v>
      </c>
      <c r="J71" s="302">
        <v>11</v>
      </c>
      <c r="K71" s="302">
        <v>6</v>
      </c>
      <c r="L71" s="302">
        <v>12</v>
      </c>
      <c r="M71" s="302"/>
      <c r="N71" s="302"/>
      <c r="O71" s="302">
        <v>6</v>
      </c>
      <c r="P71" s="302">
        <v>9</v>
      </c>
      <c r="Q71" s="302"/>
      <c r="R71" s="302">
        <f>LOG((C71/0.01)*10^($B$71))</f>
        <v>8.4542425094393252</v>
      </c>
      <c r="S71" s="302">
        <f>LOG((D71/0.01)*10^($B$71))</f>
        <v>8.1989700043360187</v>
      </c>
      <c r="T71" s="302">
        <f>LOG((E71/0.01)*10^($B$71))</f>
        <v>8.2781512503836439</v>
      </c>
      <c r="U71" s="302">
        <f>LOG((F71/0.01)*10^($B$71))</f>
        <v>8.4542425094393252</v>
      </c>
      <c r="V71" s="302">
        <f>LOG((I71/0.01)*10^($B$71))</f>
        <v>8.2781512503836439</v>
      </c>
      <c r="W71" s="302">
        <f>LOG((J71/0.01)*10^($B$71))</f>
        <v>8.5413926851582254</v>
      </c>
      <c r="X71" s="302">
        <f>LOG((K71/0.01)*10^($B$71))</f>
        <v>8.2781512503836439</v>
      </c>
      <c r="Y71" s="302">
        <f>LOG((L71/0.01)*10^($B$71))</f>
        <v>8.5791812460476251</v>
      </c>
      <c r="Z71" s="302">
        <f>LOG((O71/0.01)*10^($B$71))</f>
        <v>8.2781512503836439</v>
      </c>
      <c r="AA71" s="302">
        <f>LOG((P71/0.01)*10^($B$71))</f>
        <v>8.4542425094393252</v>
      </c>
      <c r="AB71" s="302">
        <f t="shared" si="51"/>
        <v>8.3794876465394417</v>
      </c>
      <c r="AC71" s="302"/>
      <c r="AD71" s="5">
        <f>(C71/0.01)*10^($B$71)</f>
        <v>284604989.4151544</v>
      </c>
      <c r="AE71" s="5">
        <f>(D71/0.01)*10^($B$71)</f>
        <v>158113883.0084191</v>
      </c>
      <c r="AF71" s="5">
        <f>(E71/0.01)*10^($B$71)</f>
        <v>189736659.61010292</v>
      </c>
      <c r="AG71" s="5">
        <f>(F71/0.01)*10^($B$71)</f>
        <v>284604989.4151544</v>
      </c>
      <c r="AH71" s="5">
        <f>(I71/0.01)*10^($B$71)</f>
        <v>189736659.61010292</v>
      </c>
      <c r="AI71" s="5">
        <f>(J71/0.01)*10^($B$71)</f>
        <v>347850542.61852205</v>
      </c>
      <c r="AJ71" s="5">
        <f>(K71/0.01)*10^($B$71)</f>
        <v>189736659.61010292</v>
      </c>
      <c r="AK71" s="5">
        <f>(L71/0.01)*10^($B$71)</f>
        <v>379473319.22020584</v>
      </c>
      <c r="AL71" s="5">
        <f>(O71/0.01)*10^($B$71)</f>
        <v>189736659.61010292</v>
      </c>
      <c r="AM71" s="5">
        <f>(P71/0.01)*10^($B$71)</f>
        <v>284604989.4151544</v>
      </c>
      <c r="AN71" s="5">
        <f t="shared" si="52"/>
        <v>249819935.15330219</v>
      </c>
      <c r="AO71" s="302" t="s">
        <v>101</v>
      </c>
    </row>
    <row r="72" spans="1:41" x14ac:dyDescent="0.25">
      <c r="B72" s="6">
        <v>5</v>
      </c>
      <c r="C72" s="6">
        <v>16</v>
      </c>
      <c r="D72" s="6">
        <v>27</v>
      </c>
      <c r="E72" s="6">
        <v>23</v>
      </c>
      <c r="F72" s="6">
        <v>22</v>
      </c>
      <c r="G72" s="6"/>
      <c r="H72" s="6"/>
      <c r="I72" s="6">
        <v>18</v>
      </c>
      <c r="J72" s="6">
        <v>23</v>
      </c>
      <c r="K72" s="6">
        <v>18</v>
      </c>
      <c r="L72" s="6">
        <v>24</v>
      </c>
      <c r="M72" s="6"/>
      <c r="N72" s="6"/>
      <c r="O72" s="6">
        <v>21</v>
      </c>
      <c r="P72" s="6">
        <v>20</v>
      </c>
      <c r="R72" s="6">
        <f>LOG((C72/0.01)*10^($B$72))</f>
        <v>8.204119982655925</v>
      </c>
      <c r="S72" s="6">
        <f>LOG((D72/0.01)*10^($B$72))</f>
        <v>8.4313637641589878</v>
      </c>
      <c r="T72" s="6">
        <f>LOG((E72/0.01)*10^($B$72))</f>
        <v>8.3617278360175931</v>
      </c>
      <c r="U72" s="6">
        <f>LOG((F72/0.01)*10^($B$72))</f>
        <v>8.3424226808222066</v>
      </c>
      <c r="V72" s="6">
        <f>LOG((I72/0.01)*10^($B$72))</f>
        <v>8.2552725051033065</v>
      </c>
      <c r="W72" s="6">
        <f>LOG((J72/0.01)*10^($B$72))</f>
        <v>8.3617278360175931</v>
      </c>
      <c r="X72" s="6">
        <f>LOG((K72/0.01)*10^($B$72))</f>
        <v>8.2552725051033065</v>
      </c>
      <c r="Y72" s="6">
        <f>LOG((L72/0.01)*10^($B$72))</f>
        <v>8.3802112417116064</v>
      </c>
      <c r="Z72" s="6">
        <f>LOG((O72/0.01)*10^($B$72))</f>
        <v>8.3222192947339195</v>
      </c>
      <c r="AA72" s="6">
        <f>LOG((P72/0.01)*10^($B$72))</f>
        <v>8.3010299956639813</v>
      </c>
      <c r="AB72" s="6">
        <f t="shared" si="51"/>
        <v>8.3215367641988429</v>
      </c>
      <c r="AD72" s="5">
        <f>(C72/0.01)*10^($B$72)</f>
        <v>160000000</v>
      </c>
      <c r="AE72" s="5">
        <f>(D72/0.01)*10^($B$72)</f>
        <v>270000000</v>
      </c>
      <c r="AF72" s="5">
        <f>(E72/0.01)*10^($B$72)</f>
        <v>230000000</v>
      </c>
      <c r="AG72" s="5">
        <f>(F72/0.01)*10^($B$72)</f>
        <v>220000000</v>
      </c>
      <c r="AH72" s="5">
        <f>(I72/0.01)*10^($B$72)</f>
        <v>180000000</v>
      </c>
      <c r="AI72" s="5">
        <f>(J72/0.01)*10^($B$72)</f>
        <v>230000000</v>
      </c>
      <c r="AJ72" s="5">
        <f>(K72/0.01)*10^($B$72)</f>
        <v>180000000</v>
      </c>
      <c r="AK72" s="5">
        <f>(L72/0.01)*10^($B$72)</f>
        <v>240000000</v>
      </c>
      <c r="AL72" s="5">
        <f>(O72/0.01)*10^($B$72)</f>
        <v>210000000</v>
      </c>
      <c r="AM72" s="5">
        <f>(P72/0.01)*10^($B$72)</f>
        <v>200000000</v>
      </c>
      <c r="AN72" s="5">
        <f t="shared" si="52"/>
        <v>212000000</v>
      </c>
      <c r="AO72" s="5" t="s">
        <v>101</v>
      </c>
    </row>
    <row r="73" spans="1:41" x14ac:dyDescent="0.25">
      <c r="A73" s="5" t="s">
        <v>102</v>
      </c>
      <c r="B73" s="6">
        <v>6</v>
      </c>
      <c r="C73" s="6">
        <v>7</v>
      </c>
      <c r="D73" s="6">
        <v>5</v>
      </c>
      <c r="E73" s="6">
        <v>6</v>
      </c>
      <c r="F73" s="6">
        <v>4</v>
      </c>
      <c r="G73" s="6"/>
      <c r="H73" s="6"/>
      <c r="I73" s="6">
        <v>5</v>
      </c>
      <c r="J73" s="6">
        <v>3</v>
      </c>
      <c r="K73" s="6">
        <v>3</v>
      </c>
      <c r="L73" s="6">
        <v>3</v>
      </c>
      <c r="M73" s="6"/>
      <c r="N73" s="6"/>
      <c r="O73" s="6">
        <v>6</v>
      </c>
      <c r="P73" s="6">
        <v>5</v>
      </c>
      <c r="R73" s="6">
        <f>LOG((C73/0.01)*10^($B$73))</f>
        <v>8.8450980400142569</v>
      </c>
      <c r="S73" s="6">
        <f>LOG((D73/0.01)*10^($B$73))</f>
        <v>8.6989700043360187</v>
      </c>
      <c r="T73" s="6">
        <f>LOG((E73/0.01)*10^($B$73))</f>
        <v>8.7781512503836439</v>
      </c>
      <c r="U73" s="6">
        <f>LOG((F73/0.01)*10^($B$73))</f>
        <v>8.6020599913279625</v>
      </c>
      <c r="V73" s="6">
        <f>LOG((I73/0.01)*10^($B$73))</f>
        <v>8.6989700043360187</v>
      </c>
      <c r="W73" s="6">
        <f>LOG((J73/0.01)*10^($B$73))</f>
        <v>8.4771212547196626</v>
      </c>
      <c r="X73" s="6">
        <f>LOG((K73/0.01)*10^($B$73))</f>
        <v>8.4771212547196626</v>
      </c>
      <c r="Y73" s="6">
        <f>LOG((L73/0.01)*10^($B$73))</f>
        <v>8.4771212547196626</v>
      </c>
      <c r="Z73" s="6">
        <f>LOG((O73/0.01)*10^($B$73))</f>
        <v>8.7781512503836439</v>
      </c>
      <c r="AA73" s="6">
        <f>LOG((P73/0.01)*10^($B$73))</f>
        <v>8.6989700043360187</v>
      </c>
      <c r="AB73" s="6">
        <f t="shared" si="51"/>
        <v>8.6531734309276551</v>
      </c>
      <c r="AC73" s="5" t="s">
        <v>102</v>
      </c>
      <c r="AD73" s="5">
        <f>(C73/0.01)*10^($B$73)</f>
        <v>700000000</v>
      </c>
      <c r="AE73" s="5">
        <f>(D73/0.01)*10^($B$73)</f>
        <v>500000000</v>
      </c>
      <c r="AF73" s="5">
        <f>(E73/0.01)*10^($B$73)</f>
        <v>600000000</v>
      </c>
      <c r="AG73" s="5">
        <f>(F73/0.01)*10^($B$73)</f>
        <v>400000000</v>
      </c>
      <c r="AH73" s="5">
        <f>(I73/0.01)*10^($B$73)</f>
        <v>500000000</v>
      </c>
      <c r="AI73" s="5">
        <f>(J73/0.01)*10^($B$73)</f>
        <v>300000000</v>
      </c>
      <c r="AJ73" s="5">
        <f>(K73/0.01)*10^($B$73)</f>
        <v>300000000</v>
      </c>
      <c r="AK73" s="5">
        <f>(L73/0.01)*10^($B$73)</f>
        <v>300000000</v>
      </c>
      <c r="AL73" s="5">
        <f>(O73/0.01)*10^($B$73)</f>
        <v>600000000</v>
      </c>
      <c r="AM73" s="5">
        <f>(P73/0.01)*10^($B$73)</f>
        <v>500000000</v>
      </c>
      <c r="AN73" s="5">
        <f t="shared" si="52"/>
        <v>470000000</v>
      </c>
      <c r="AO73" s="5" t="s">
        <v>102</v>
      </c>
    </row>
    <row r="74" spans="1:41" x14ac:dyDescent="0.25">
      <c r="A74" s="302"/>
      <c r="B74" s="302">
        <v>5.5</v>
      </c>
      <c r="C74" s="302">
        <v>6</v>
      </c>
      <c r="D74" s="302">
        <v>10</v>
      </c>
      <c r="E74" s="302">
        <v>12</v>
      </c>
      <c r="F74" s="302">
        <v>21</v>
      </c>
      <c r="G74" s="302"/>
      <c r="H74" s="302"/>
      <c r="I74" s="302">
        <v>19</v>
      </c>
      <c r="J74" s="302">
        <v>16</v>
      </c>
      <c r="K74" s="302">
        <v>14</v>
      </c>
      <c r="L74" s="302">
        <v>15</v>
      </c>
      <c r="M74" s="302"/>
      <c r="N74" s="302"/>
      <c r="O74" s="302">
        <v>15</v>
      </c>
      <c r="P74" s="302">
        <v>13</v>
      </c>
      <c r="Q74" s="302"/>
      <c r="R74" s="302">
        <f>LOG((C74/0.01)*10^($B$74))</f>
        <v>8.2781512503836439</v>
      </c>
      <c r="S74" s="302">
        <f>LOG((D74/0.01)*10^($B$74))</f>
        <v>8.5</v>
      </c>
      <c r="T74" s="302">
        <f>LOG((E74/0.01)*10^($B$74))</f>
        <v>8.5791812460476251</v>
      </c>
      <c r="U74" s="302">
        <f>LOG((F74/0.01)*10^($B$74))</f>
        <v>8.8222192947339195</v>
      </c>
      <c r="V74" s="302">
        <f>LOG((I74/0.01)*10^($B$74))</f>
        <v>8.7787536009528289</v>
      </c>
      <c r="W74" s="302">
        <f>LOG((J74/0.01)*10^($B$74))</f>
        <v>8.704119982655925</v>
      </c>
      <c r="X74" s="302">
        <f>LOG((K74/0.01)*10^($B$74))</f>
        <v>8.6461280356782382</v>
      </c>
      <c r="Y74" s="302">
        <f>LOG((L74/0.01)*10^($B$74))</f>
        <v>8.6760912590556813</v>
      </c>
      <c r="Z74" s="302">
        <f>LOG((O74/0.01)*10^($B$74))</f>
        <v>8.6760912590556813</v>
      </c>
      <c r="AA74" s="302">
        <f>LOG((P74/0.01)*10^($B$74))</f>
        <v>8.6139433523068369</v>
      </c>
      <c r="AB74" s="302">
        <f t="shared" si="51"/>
        <v>8.6274679280870394</v>
      </c>
      <c r="AC74" s="302"/>
      <c r="AD74" s="5">
        <f>(C74/0.01)*10^($B$74)</f>
        <v>189736659.61010292</v>
      </c>
      <c r="AE74" s="5">
        <f>(D74/0.01)*10^($B$74)</f>
        <v>316227766.01683819</v>
      </c>
      <c r="AF74" s="5">
        <f>(E74/0.01)*10^($B$74)</f>
        <v>379473319.22020584</v>
      </c>
      <c r="AG74" s="5">
        <f>(F74/0.01)*10^($B$74)</f>
        <v>664078308.63536024</v>
      </c>
      <c r="AH74" s="5">
        <f>(I74/0.01)*10^($B$74)</f>
        <v>600832755.43199253</v>
      </c>
      <c r="AI74" s="5">
        <f>(J74/0.01)*10^($B$74)</f>
        <v>505964425.62694114</v>
      </c>
      <c r="AJ74" s="5">
        <f>(K74/0.01)*10^($B$74)</f>
        <v>442718872.42357349</v>
      </c>
      <c r="AK74" s="5">
        <f>(L74/0.01)*10^($B$74)</f>
        <v>474341649.02525729</v>
      </c>
      <c r="AL74" s="5">
        <f>(O74/0.01)*10^($B$74)</f>
        <v>474341649.02525729</v>
      </c>
      <c r="AM74" s="5">
        <f>(P74/0.01)*10^($B$74)</f>
        <v>411096095.82188964</v>
      </c>
      <c r="AN74" s="5">
        <f t="shared" si="52"/>
        <v>445881150.08374184</v>
      </c>
      <c r="AO74" s="302" t="s">
        <v>102</v>
      </c>
    </row>
    <row r="75" spans="1:41" x14ac:dyDescent="0.25">
      <c r="B75" s="6">
        <v>5</v>
      </c>
      <c r="C75" s="6">
        <v>25</v>
      </c>
      <c r="D75" s="6">
        <v>33</v>
      </c>
      <c r="E75" s="6">
        <v>29</v>
      </c>
      <c r="F75" s="6">
        <v>34</v>
      </c>
      <c r="G75" s="6"/>
      <c r="H75" s="6"/>
      <c r="I75" s="6">
        <v>41</v>
      </c>
      <c r="J75" s="6">
        <v>23</v>
      </c>
      <c r="K75" s="6">
        <v>25</v>
      </c>
      <c r="L75" s="6">
        <v>24</v>
      </c>
      <c r="M75" s="6"/>
      <c r="N75" s="6"/>
      <c r="O75" s="6">
        <v>29</v>
      </c>
      <c r="P75" s="6">
        <v>29</v>
      </c>
      <c r="R75" s="6">
        <f>LOG((C75/0.01)*10^($B$75))</f>
        <v>8.3979400086720375</v>
      </c>
      <c r="S75" s="6">
        <f>LOG((D75/0.01)*10^($B$75))</f>
        <v>8.518513939877888</v>
      </c>
      <c r="T75" s="6">
        <f>LOG((E75/0.01)*10^($B$75))</f>
        <v>8.4623979978989556</v>
      </c>
      <c r="U75" s="6">
        <f>LOG((F75/0.01)*10^($B$75))</f>
        <v>8.5314789170422554</v>
      </c>
      <c r="V75" s="6">
        <f>LOG((I75/0.01)*10^($B$75))</f>
        <v>8.6127838567197355</v>
      </c>
      <c r="W75" s="6">
        <f>LOG((J75/0.01)*10^($B$75))</f>
        <v>8.3617278360175931</v>
      </c>
      <c r="X75" s="6">
        <f>LOG((K75/0.01)*10^($B$75))</f>
        <v>8.3979400086720375</v>
      </c>
      <c r="Y75" s="6">
        <f>LOG((L75/0.01)*10^($B$75))</f>
        <v>8.3802112417116064</v>
      </c>
      <c r="Z75" s="6">
        <f>LOG((O75/0.01)*10^($B$75))</f>
        <v>8.4623979978989556</v>
      </c>
      <c r="AA75" s="6">
        <f>LOG((P75/0.01)*10^($B$75))</f>
        <v>8.4623979978989556</v>
      </c>
      <c r="AB75" s="6">
        <f t="shared" si="51"/>
        <v>8.4587789802410036</v>
      </c>
      <c r="AD75" s="5">
        <f>(C75/0.01)*10^($B$75)</f>
        <v>250000000</v>
      </c>
      <c r="AE75" s="5">
        <f>(D75/0.01)*10^($B$75)</f>
        <v>330000000</v>
      </c>
      <c r="AF75" s="5">
        <f>(E75/0.01)*10^($B$75)</f>
        <v>290000000</v>
      </c>
      <c r="AG75" s="5">
        <f>(F75/0.01)*10^($B$75)</f>
        <v>340000000</v>
      </c>
      <c r="AH75" s="5">
        <f>(I75/0.01)*10^($B$75)</f>
        <v>410000000</v>
      </c>
      <c r="AI75" s="5">
        <f>(J75/0.01)*10^($B$75)</f>
        <v>230000000</v>
      </c>
      <c r="AJ75" s="5">
        <f>(K75/0.01)*10^($B$75)</f>
        <v>250000000</v>
      </c>
      <c r="AK75" s="5">
        <f>(L75/0.01)*10^($B$75)</f>
        <v>240000000</v>
      </c>
      <c r="AL75" s="5">
        <f>(O75/0.01)*10^($B$75)</f>
        <v>290000000</v>
      </c>
      <c r="AM75" s="5">
        <f>(P75/0.01)*10^($B$75)</f>
        <v>290000000</v>
      </c>
      <c r="AN75" s="5">
        <f t="shared" si="52"/>
        <v>292000000</v>
      </c>
      <c r="AO75" s="5" t="s">
        <v>102</v>
      </c>
    </row>
    <row r="76" spans="1:41" x14ac:dyDescent="0.25">
      <c r="A76" s="5" t="s">
        <v>103</v>
      </c>
      <c r="B76" s="6">
        <v>5.5</v>
      </c>
      <c r="C76" s="6">
        <v>4</v>
      </c>
      <c r="D76" s="6">
        <v>7</v>
      </c>
      <c r="E76" s="6">
        <v>4</v>
      </c>
      <c r="F76" s="6">
        <v>6</v>
      </c>
      <c r="G76" s="6"/>
      <c r="H76" s="6"/>
      <c r="I76" s="6">
        <v>4</v>
      </c>
      <c r="J76" s="6">
        <v>3</v>
      </c>
      <c r="K76" s="6">
        <v>9</v>
      </c>
      <c r="L76" s="6">
        <v>6</v>
      </c>
      <c r="M76" s="6"/>
      <c r="N76" s="6"/>
      <c r="O76" s="6">
        <v>10</v>
      </c>
      <c r="P76" s="6">
        <v>5</v>
      </c>
      <c r="R76" s="6">
        <f>LOG((C76/0.01)*10^($B$76))</f>
        <v>8.1020599913279625</v>
      </c>
      <c r="S76" s="6">
        <f>LOG((D76/0.01)*10^($B$76))</f>
        <v>8.3450980400142569</v>
      </c>
      <c r="T76" s="6">
        <f>LOG((E76/0.01)*10^($B$76))</f>
        <v>8.1020599913279625</v>
      </c>
      <c r="U76" s="6">
        <f>LOG((F76/0.01)*10^($B$76))</f>
        <v>8.2781512503836439</v>
      </c>
      <c r="V76" s="6">
        <f>LOG((I76/0.01)*10^($B$76))</f>
        <v>8.1020599913279625</v>
      </c>
      <c r="W76" s="6">
        <f>LOG((J76/0.01)*10^($B$76))</f>
        <v>7.9771212547196626</v>
      </c>
      <c r="X76" s="6">
        <f>LOG((K76/0.01)*10^($B$76))</f>
        <v>8.4542425094393252</v>
      </c>
      <c r="Y76" s="6">
        <f>LOG((L76/0.01)*10^($B$76))</f>
        <v>8.2781512503836439</v>
      </c>
      <c r="Z76" s="6">
        <f>LOG((O76/0.01)*10^($B$76))</f>
        <v>8.5</v>
      </c>
      <c r="AA76" s="6">
        <f>LOG((P76/0.01)*10^($B$76))</f>
        <v>8.1989700043360187</v>
      </c>
      <c r="AB76" s="6">
        <f t="shared" si="51"/>
        <v>8.2337914283260432</v>
      </c>
      <c r="AC76" s="5" t="s">
        <v>103</v>
      </c>
      <c r="AD76" s="5">
        <f>(C76/0.01)*10^($B$76)</f>
        <v>126491106.40673529</v>
      </c>
      <c r="AE76" s="5">
        <f>(D76/0.01)*10^($B$76)</f>
        <v>221359436.21178675</v>
      </c>
      <c r="AF76" s="5">
        <f>(E76/0.01)*10^($B$76)</f>
        <v>126491106.40673529</v>
      </c>
      <c r="AG76" s="5">
        <f>(F76/0.01)*10^($B$76)</f>
        <v>189736659.61010292</v>
      </c>
      <c r="AH76" s="5">
        <f>(I76/0.01)*10^($B$76)</f>
        <v>126491106.40673529</v>
      </c>
      <c r="AI76" s="5">
        <f>(J76/0.01)*10^($B$76)</f>
        <v>94868329.805051461</v>
      </c>
      <c r="AJ76" s="5">
        <f>(K76/0.01)*10^($B$76)</f>
        <v>284604989.4151544</v>
      </c>
      <c r="AK76" s="5">
        <f>(L76/0.01)*10^($B$76)</f>
        <v>189736659.61010292</v>
      </c>
      <c r="AL76" s="5">
        <f>(O76/0.01)*10^($B$76)</f>
        <v>316227766.01683819</v>
      </c>
      <c r="AM76" s="5">
        <f>(P76/0.01)*10^($B$76)</f>
        <v>158113883.0084191</v>
      </c>
      <c r="AN76" s="5">
        <f t="shared" si="52"/>
        <v>183412104.28976616</v>
      </c>
      <c r="AO76" s="5" t="s">
        <v>103</v>
      </c>
    </row>
    <row r="77" spans="1:41" x14ac:dyDescent="0.25">
      <c r="A77" s="302"/>
      <c r="B77" s="302">
        <v>5</v>
      </c>
      <c r="C77" s="302">
        <v>7</v>
      </c>
      <c r="D77" s="302">
        <v>13</v>
      </c>
      <c r="E77" s="302">
        <v>9</v>
      </c>
      <c r="F77" s="302">
        <v>13</v>
      </c>
      <c r="G77" s="302"/>
      <c r="H77" s="302"/>
      <c r="I77" s="302">
        <v>11</v>
      </c>
      <c r="J77" s="302">
        <v>10</v>
      </c>
      <c r="K77" s="302">
        <v>8</v>
      </c>
      <c r="L77" s="302">
        <v>5</v>
      </c>
      <c r="M77" s="302"/>
      <c r="N77" s="302"/>
      <c r="O77" s="302">
        <v>9</v>
      </c>
      <c r="P77" s="302">
        <v>13</v>
      </c>
      <c r="Q77" s="302"/>
      <c r="R77" s="302">
        <f>LOG((C77/0.01)*10^($B$77))</f>
        <v>7.8450980400142569</v>
      </c>
      <c r="S77" s="302">
        <f>LOG((D77/0.01)*10^($B$77))</f>
        <v>8.1139433523068369</v>
      </c>
      <c r="T77" s="302">
        <f>LOG((E77/0.01)*10^($B$77))</f>
        <v>7.9542425094393252</v>
      </c>
      <c r="U77" s="302">
        <f>LOG((F77/0.01)*10^($B$77))</f>
        <v>8.1139433523068369</v>
      </c>
      <c r="V77" s="302">
        <f>LOG((I77/0.01)*10^($B$77))</f>
        <v>8.0413926851582254</v>
      </c>
      <c r="W77" s="302">
        <f>LOG((J77/0.01)*10^($B$77))</f>
        <v>8</v>
      </c>
      <c r="X77" s="302">
        <f>LOG((K77/0.01)*10^($B$77))</f>
        <v>7.9030899869919438</v>
      </c>
      <c r="Y77" s="302">
        <f>LOG((L77/0.01)*10^($B$77))</f>
        <v>7.6989700043360187</v>
      </c>
      <c r="Z77" s="302">
        <f>LOG((O77/0.01)*10^($B$77))</f>
        <v>7.9542425094393252</v>
      </c>
      <c r="AA77" s="302">
        <f>LOG((P77/0.01)*10^($B$77))</f>
        <v>8.1139433523068369</v>
      </c>
      <c r="AB77" s="302">
        <f t="shared" si="51"/>
        <v>7.9738865792299602</v>
      </c>
      <c r="AC77" s="302"/>
      <c r="AD77" s="5">
        <f>(C77/0.01)*10^($B$77)</f>
        <v>70000000</v>
      </c>
      <c r="AE77" s="5">
        <f>(D77/0.01)*10^($B$77)</f>
        <v>130000000</v>
      </c>
      <c r="AF77" s="5">
        <f>(E77/0.01)*10^($B$77)</f>
        <v>90000000</v>
      </c>
      <c r="AG77" s="5">
        <f>(F77/0.01)*10^($B$77)</f>
        <v>130000000</v>
      </c>
      <c r="AH77" s="5">
        <f>(I77/0.01)*10^($B$77)</f>
        <v>110000000</v>
      </c>
      <c r="AI77" s="5">
        <f>(J77/0.01)*10^($B$77)</f>
        <v>100000000</v>
      </c>
      <c r="AJ77" s="5">
        <f>(K77/0.01)*10^($B$77)</f>
        <v>80000000</v>
      </c>
      <c r="AK77" s="5">
        <f>(L77/0.01)*10^($B$77)</f>
        <v>50000000</v>
      </c>
      <c r="AL77" s="5">
        <f>(O77/0.01)*10^($B$77)</f>
        <v>90000000</v>
      </c>
      <c r="AM77" s="5">
        <f>(P77/0.01)*10^($B$77)</f>
        <v>130000000</v>
      </c>
      <c r="AN77" s="5">
        <f t="shared" si="52"/>
        <v>98000000</v>
      </c>
      <c r="AO77" s="302" t="s">
        <v>103</v>
      </c>
    </row>
    <row r="78" spans="1:41" x14ac:dyDescent="0.25">
      <c r="B78" s="6">
        <v>6</v>
      </c>
      <c r="C78" s="6">
        <v>0</v>
      </c>
      <c r="D78" s="6">
        <v>4</v>
      </c>
      <c r="E78" s="6">
        <v>3</v>
      </c>
      <c r="F78" s="6">
        <v>3</v>
      </c>
      <c r="G78" s="6"/>
      <c r="H78" s="6"/>
      <c r="I78" s="6">
        <v>3</v>
      </c>
      <c r="J78" s="6">
        <v>4</v>
      </c>
      <c r="K78" s="6">
        <v>1</v>
      </c>
      <c r="L78" s="6">
        <v>1</v>
      </c>
      <c r="M78" s="6"/>
      <c r="N78" s="6"/>
      <c r="O78" s="6">
        <v>4</v>
      </c>
      <c r="P78" s="6">
        <v>2</v>
      </c>
      <c r="R78" s="6">
        <v>0</v>
      </c>
      <c r="S78" s="6">
        <f>LOG((D78/0.01)*10^($B$78))</f>
        <v>8.6020599913279625</v>
      </c>
      <c r="T78" s="6">
        <f>LOG((E78/0.01)*10^($B$78))</f>
        <v>8.4771212547196626</v>
      </c>
      <c r="U78" s="6">
        <f>LOG((F78/0.01)*10^($B$78))</f>
        <v>8.4771212547196626</v>
      </c>
      <c r="V78" s="6">
        <f>LOG((I78/0.01)*10^($B$78))</f>
        <v>8.4771212547196626</v>
      </c>
      <c r="W78" s="6">
        <f>LOG((J78/0.01)*10^($B$78))</f>
        <v>8.6020599913279625</v>
      </c>
      <c r="X78" s="6">
        <f>LOG((K78/0.01)*10^($B$78))</f>
        <v>8</v>
      </c>
      <c r="Y78" s="6">
        <f>LOG((L78/0.01)*10^($B$78))</f>
        <v>8</v>
      </c>
      <c r="Z78" s="6">
        <f>LOG((O78/0.01)*10^($B$78))</f>
        <v>8.6020599913279625</v>
      </c>
      <c r="AA78" s="6">
        <f>LOG((P78/0.01)*10^($B$78))</f>
        <v>8.3010299956639813</v>
      </c>
      <c r="AB78" s="6">
        <f t="shared" si="51"/>
        <v>7.5538573733806853</v>
      </c>
      <c r="AD78" s="5">
        <f>(C78/0.01)*10^($B$78)</f>
        <v>0</v>
      </c>
      <c r="AE78" s="5">
        <f>(D78/0.01)*10^($B$78)</f>
        <v>400000000</v>
      </c>
      <c r="AF78" s="5">
        <f>(E78/0.01)*10^($B$78)</f>
        <v>300000000</v>
      </c>
      <c r="AG78" s="5">
        <f>(F78/0.01)*10^($B$78)</f>
        <v>300000000</v>
      </c>
      <c r="AH78" s="5">
        <f>(I78/0.01)*10^($B$78)</f>
        <v>300000000</v>
      </c>
      <c r="AI78" s="5">
        <f>(J78/0.01)*10^($B$78)</f>
        <v>400000000</v>
      </c>
      <c r="AJ78" s="5">
        <f>(K78/0.01)*10^($B$78)</f>
        <v>100000000</v>
      </c>
      <c r="AK78" s="5">
        <f>(L78/0.01)*10^($B$78)</f>
        <v>100000000</v>
      </c>
      <c r="AL78" s="5">
        <f>(O78/0.01)*10^($B$78)</f>
        <v>400000000</v>
      </c>
      <c r="AM78" s="5">
        <f>(P78/0.01)*10^($B$78)</f>
        <v>200000000</v>
      </c>
      <c r="AN78" s="5">
        <f t="shared" si="52"/>
        <v>250000000</v>
      </c>
      <c r="AO78" s="5" t="s">
        <v>103</v>
      </c>
    </row>
    <row r="79" spans="1:41" x14ac:dyDescent="0.25">
      <c r="A79" s="5" t="s">
        <v>104</v>
      </c>
      <c r="B79" s="6">
        <v>6</v>
      </c>
      <c r="C79" s="6">
        <v>3</v>
      </c>
      <c r="D79" s="6">
        <v>2</v>
      </c>
      <c r="E79" s="6">
        <v>2</v>
      </c>
      <c r="F79" s="6">
        <v>5</v>
      </c>
      <c r="G79" s="6"/>
      <c r="H79" s="6"/>
      <c r="I79" s="6">
        <v>3</v>
      </c>
      <c r="J79" s="6">
        <v>2</v>
      </c>
      <c r="K79" s="6">
        <v>4</v>
      </c>
      <c r="L79" s="6">
        <v>2</v>
      </c>
      <c r="M79" s="6"/>
      <c r="N79" s="6"/>
      <c r="O79" s="6">
        <v>5</v>
      </c>
      <c r="P79" s="6">
        <v>3</v>
      </c>
      <c r="R79" s="6">
        <f>LOG((C79/0.01)*10^($B$79))</f>
        <v>8.4771212547196626</v>
      </c>
      <c r="S79" s="6">
        <f>LOG((D79/0.01)*10^($B$79))</f>
        <v>8.3010299956639813</v>
      </c>
      <c r="T79" s="6">
        <f>LOG((E79/0.01)*10^($B$79))</f>
        <v>8.3010299956639813</v>
      </c>
      <c r="U79" s="6">
        <f>LOG((F79/0.01)*10^($B$79))</f>
        <v>8.6989700043360187</v>
      </c>
      <c r="V79" s="6">
        <f>LOG((I79/0.01)*10^($B$79))</f>
        <v>8.4771212547196626</v>
      </c>
      <c r="W79" s="6">
        <f>LOG((J79/0.01)*10^($B$79))</f>
        <v>8.3010299956639813</v>
      </c>
      <c r="X79" s="6">
        <f>LOG((K79/0.01)*10^($B$79))</f>
        <v>8.6020599913279625</v>
      </c>
      <c r="Y79" s="6">
        <f>LOG((L79/0.01)*10^($B$79))</f>
        <v>8.3010299956639813</v>
      </c>
      <c r="Z79" s="6">
        <f>LOG((O79/0.01)*10^($B$79))</f>
        <v>8.6989700043360187</v>
      </c>
      <c r="AA79" s="6">
        <f>LOG((P79/0.01)*10^($B$79))</f>
        <v>8.4771212547196626</v>
      </c>
      <c r="AB79" s="6">
        <f t="shared" si="51"/>
        <v>8.4635483746814906</v>
      </c>
      <c r="AC79" s="5" t="s">
        <v>104</v>
      </c>
      <c r="AD79" s="5">
        <f>(C79/0.01)*10^($B$79)</f>
        <v>300000000</v>
      </c>
      <c r="AE79" s="5">
        <f>(D79/0.01)*10^($B$79)</f>
        <v>200000000</v>
      </c>
      <c r="AF79" s="5">
        <f>(E79/0.01)*10^($B$79)</f>
        <v>200000000</v>
      </c>
      <c r="AG79" s="5">
        <f>(F79/0.01)*10^($B$79)</f>
        <v>500000000</v>
      </c>
      <c r="AH79" s="5">
        <f>(I79/0.01)*10^($B$79)</f>
        <v>300000000</v>
      </c>
      <c r="AI79" s="5">
        <f>(J79/0.01)*10^($B$79)</f>
        <v>200000000</v>
      </c>
      <c r="AJ79" s="5">
        <f>(K79/0.01)*10^($B$79)</f>
        <v>400000000</v>
      </c>
      <c r="AK79" s="5">
        <f>(L79/0.01)*10^($B$79)</f>
        <v>200000000</v>
      </c>
      <c r="AL79" s="5">
        <f>(O79/0.01)*10^($B$79)</f>
        <v>500000000</v>
      </c>
      <c r="AM79" s="5">
        <f>(P79/0.01)*10^($B$79)</f>
        <v>300000000</v>
      </c>
      <c r="AN79" s="5">
        <f t="shared" si="52"/>
        <v>310000000</v>
      </c>
      <c r="AO79" s="5" t="s">
        <v>104</v>
      </c>
    </row>
    <row r="80" spans="1:41" x14ac:dyDescent="0.25">
      <c r="A80" s="302"/>
      <c r="B80" s="302">
        <v>5.5</v>
      </c>
      <c r="C80" s="302">
        <v>23</v>
      </c>
      <c r="D80" s="302">
        <v>20</v>
      </c>
      <c r="E80" s="302">
        <v>20</v>
      </c>
      <c r="F80" s="302">
        <v>16</v>
      </c>
      <c r="G80" s="302"/>
      <c r="H80" s="302"/>
      <c r="I80" s="302">
        <v>19</v>
      </c>
      <c r="J80" s="302">
        <v>20</v>
      </c>
      <c r="K80" s="302">
        <v>28</v>
      </c>
      <c r="L80" s="302">
        <v>13</v>
      </c>
      <c r="M80" s="302"/>
      <c r="N80" s="302"/>
      <c r="O80" s="302">
        <v>18</v>
      </c>
      <c r="P80" s="302">
        <v>20</v>
      </c>
      <c r="Q80" s="302"/>
      <c r="R80" s="302">
        <f>LOG((C80/0.01)*10^($B$80))</f>
        <v>8.8617278360175931</v>
      </c>
      <c r="S80" s="302">
        <f>LOG((D80/0.01)*10^($B$80))</f>
        <v>8.8010299956639813</v>
      </c>
      <c r="T80" s="302">
        <f>LOG((E80/0.01)*10^($B$80))</f>
        <v>8.8010299956639813</v>
      </c>
      <c r="U80" s="302">
        <f>LOG((F80/0.01)*10^($B$80))</f>
        <v>8.704119982655925</v>
      </c>
      <c r="V80" s="302">
        <f>LOG((I80/0.01)*10^($B$80))</f>
        <v>8.7787536009528289</v>
      </c>
      <c r="W80" s="302">
        <f>LOG((J80/0.01)*10^($B$80))</f>
        <v>8.8010299956639813</v>
      </c>
      <c r="X80" s="302">
        <f>LOG((K80/0.01)*10^($B$80))</f>
        <v>8.9471580313422194</v>
      </c>
      <c r="Y80" s="302">
        <f>LOG((L80/0.01)*10^($B$80))</f>
        <v>8.6139433523068369</v>
      </c>
      <c r="Z80" s="302">
        <f>LOG((O80/0.01)*10^($B$80))</f>
        <v>8.7552725051033065</v>
      </c>
      <c r="AA80" s="302">
        <f>LOG((P80/0.01)*10^($B$80))</f>
        <v>8.8010299956639813</v>
      </c>
      <c r="AB80" s="302">
        <f t="shared" si="51"/>
        <v>8.7865095291034638</v>
      </c>
      <c r="AC80" s="302"/>
      <c r="AD80" s="5">
        <f>(C80/0.01)*10^($B$80)</f>
        <v>727323861.83872783</v>
      </c>
      <c r="AE80" s="5">
        <f>(D80/0.01)*10^($B$80)</f>
        <v>632455532.03367639</v>
      </c>
      <c r="AF80" s="5">
        <f>(E80/0.01)*10^($B$80)</f>
        <v>632455532.03367639</v>
      </c>
      <c r="AG80" s="5">
        <f>(F80/0.01)*10^($B$80)</f>
        <v>505964425.62694114</v>
      </c>
      <c r="AH80" s="5">
        <f>(I80/0.01)*10^($B$80)</f>
        <v>600832755.43199253</v>
      </c>
      <c r="AI80" s="5">
        <f>(J80/0.01)*10^($B$80)</f>
        <v>632455532.03367639</v>
      </c>
      <c r="AJ80" s="5">
        <f>(K80/0.01)*10^($B$80)</f>
        <v>885437744.84714699</v>
      </c>
      <c r="AK80" s="5">
        <f>(L80/0.01)*10^($B$80)</f>
        <v>411096095.82188964</v>
      </c>
      <c r="AL80" s="5">
        <f>(O80/0.01)*10^($B$80)</f>
        <v>569209978.83030879</v>
      </c>
      <c r="AM80" s="5">
        <f>(P80/0.01)*10^($B$80)</f>
        <v>632455532.03367639</v>
      </c>
      <c r="AN80" s="5">
        <f t="shared" si="52"/>
        <v>622968699.05317128</v>
      </c>
      <c r="AO80" s="302" t="s">
        <v>104</v>
      </c>
    </row>
    <row r="81" spans="1:66" x14ac:dyDescent="0.25">
      <c r="A81" s="5" t="s">
        <v>105</v>
      </c>
      <c r="B81" s="6">
        <v>6</v>
      </c>
      <c r="C81" s="6">
        <v>2</v>
      </c>
      <c r="D81" s="6">
        <v>0</v>
      </c>
      <c r="E81" s="6">
        <v>0</v>
      </c>
      <c r="F81" s="6">
        <v>3</v>
      </c>
      <c r="G81" s="6"/>
      <c r="H81" s="6"/>
      <c r="I81" s="6">
        <v>1</v>
      </c>
      <c r="J81" s="6">
        <v>3</v>
      </c>
      <c r="K81" s="6">
        <v>2</v>
      </c>
      <c r="L81" s="6">
        <v>2</v>
      </c>
      <c r="M81" s="6"/>
      <c r="N81" s="6"/>
      <c r="O81" s="6">
        <v>4</v>
      </c>
      <c r="P81" s="6">
        <v>3</v>
      </c>
      <c r="R81" s="6">
        <f>LOG((C81/0.01)*10^($B$81))</f>
        <v>8.3010299956639813</v>
      </c>
      <c r="S81" s="6">
        <v>0</v>
      </c>
      <c r="T81" s="6">
        <v>0</v>
      </c>
      <c r="U81" s="6">
        <f>LOG((F81/0.01)*10^($B$81))</f>
        <v>8.4771212547196626</v>
      </c>
      <c r="V81" s="6">
        <f>LOG((I81/0.01)*10^($B$81))</f>
        <v>8</v>
      </c>
      <c r="W81" s="6">
        <f>LOG((J81/0.01)*10^($B$81))</f>
        <v>8.4771212547196626</v>
      </c>
      <c r="X81" s="6">
        <f>LOG((K81/0.01)*10^($B$81))</f>
        <v>8.3010299956639813</v>
      </c>
      <c r="Y81" s="6">
        <f>LOG((L81/0.01)*10^($B$81))</f>
        <v>8.3010299956639813</v>
      </c>
      <c r="Z81" s="6">
        <f>LOG((O81/0.01)*10^($B$81))</f>
        <v>8.6020599913279625</v>
      </c>
      <c r="AA81" s="6">
        <f>LOG((P81/0.01)*10^($B$81))</f>
        <v>8.4771212547196626</v>
      </c>
      <c r="AB81" s="6">
        <f t="shared" si="51"/>
        <v>6.6936513742478896</v>
      </c>
      <c r="AC81" s="5" t="s">
        <v>105</v>
      </c>
      <c r="AD81" s="5">
        <f>(C81/0.01)*10^($B$81)</f>
        <v>200000000</v>
      </c>
      <c r="AE81" s="5">
        <f>(D81/0.01)*10^($B$81)</f>
        <v>0</v>
      </c>
      <c r="AF81" s="5">
        <f>(E81/0.01)*10^($B$81)</f>
        <v>0</v>
      </c>
      <c r="AG81" s="5">
        <f>(F81/0.01)*10^($B$81)</f>
        <v>300000000</v>
      </c>
      <c r="AH81" s="5">
        <f>(I81/0.01)*10^($B$81)</f>
        <v>100000000</v>
      </c>
      <c r="AI81" s="5">
        <f>(J81/0.01)*10^($B$81)</f>
        <v>300000000</v>
      </c>
      <c r="AJ81" s="5">
        <f>(K81/0.01)*10^($B$81)</f>
        <v>200000000</v>
      </c>
      <c r="AK81" s="5">
        <f>(L81/0.01)*10^($B$81)</f>
        <v>200000000</v>
      </c>
      <c r="AL81" s="5">
        <f>(O81/0.01)*10^($B$81)</f>
        <v>400000000</v>
      </c>
      <c r="AM81" s="5">
        <f>(P81/0.01)*10^($B$81)</f>
        <v>300000000</v>
      </c>
      <c r="AN81" s="5">
        <f t="shared" si="52"/>
        <v>200000000</v>
      </c>
      <c r="AO81" s="5" t="s">
        <v>105</v>
      </c>
    </row>
    <row r="82" spans="1:66" x14ac:dyDescent="0.25">
      <c r="A82" s="302"/>
      <c r="B82" s="302">
        <v>5.5</v>
      </c>
      <c r="C82" s="302">
        <v>22</v>
      </c>
      <c r="D82" s="302">
        <v>22</v>
      </c>
      <c r="E82" s="302">
        <v>20</v>
      </c>
      <c r="F82" s="302">
        <v>21</v>
      </c>
      <c r="G82" s="302"/>
      <c r="H82" s="302"/>
      <c r="I82" s="302">
        <v>26</v>
      </c>
      <c r="J82" s="302">
        <v>12</v>
      </c>
      <c r="K82" s="302">
        <v>9</v>
      </c>
      <c r="L82" s="302">
        <v>19</v>
      </c>
      <c r="M82" s="302"/>
      <c r="N82" s="302"/>
      <c r="O82" s="302">
        <v>15</v>
      </c>
      <c r="P82" s="302">
        <v>19</v>
      </c>
      <c r="Q82" s="302"/>
      <c r="R82" s="302">
        <f>LOG((C82/0.01)*10^($B$82))</f>
        <v>8.8424226808222066</v>
      </c>
      <c r="S82" s="302">
        <f>LOG((D82/0.01)*10^($B$82))</f>
        <v>8.8424226808222066</v>
      </c>
      <c r="T82" s="302">
        <f>LOG((E82/0.01)*10^($B$82))</f>
        <v>8.8010299956639813</v>
      </c>
      <c r="U82" s="302">
        <f>LOG((F82/0.01)*10^($B$82))</f>
        <v>8.8222192947339195</v>
      </c>
      <c r="V82" s="302">
        <f>LOG((I82/0.01)*10^($B$82))</f>
        <v>8.9149733479708182</v>
      </c>
      <c r="W82" s="302">
        <f>LOG((J82/0.01)*10^($B$82))</f>
        <v>8.5791812460476251</v>
      </c>
      <c r="X82" s="302">
        <f>LOG((K82/0.01)*10^($B$82))</f>
        <v>8.4542425094393252</v>
      </c>
      <c r="Y82" s="302">
        <f>LOG((L82/0.01)*10^($B$82))</f>
        <v>8.7787536009528289</v>
      </c>
      <c r="Z82" s="302">
        <f>LOG((O82/0.01)*10^($B$82))</f>
        <v>8.6760912590556813</v>
      </c>
      <c r="AA82" s="302">
        <f>LOG((P82/0.01)*10^($B$82))</f>
        <v>8.7787536009528289</v>
      </c>
      <c r="AB82" s="302">
        <f t="shared" si="51"/>
        <v>8.7490090216461418</v>
      </c>
      <c r="AC82" s="302"/>
      <c r="AD82" s="5">
        <f>(C82/0.01)*10^($B$82)</f>
        <v>695701085.2370441</v>
      </c>
      <c r="AE82" s="5">
        <f>(D82/0.01)*10^($B$82)</f>
        <v>695701085.2370441</v>
      </c>
      <c r="AF82" s="5">
        <f>(E82/0.01)*10^($B$82)</f>
        <v>632455532.03367639</v>
      </c>
      <c r="AG82" s="5">
        <f>(F82/0.01)*10^($B$82)</f>
        <v>664078308.63536024</v>
      </c>
      <c r="AH82" s="5">
        <f>(I82/0.01)*10^($B$82)</f>
        <v>822192191.64377928</v>
      </c>
      <c r="AI82" s="5">
        <f>(J82/0.01)*10^($B$82)</f>
        <v>379473319.22020584</v>
      </c>
      <c r="AJ82" s="5">
        <f>(K82/0.01)*10^($B$82)</f>
        <v>284604989.4151544</v>
      </c>
      <c r="AK82" s="5">
        <f>(L82/0.01)*10^($B$82)</f>
        <v>600832755.43199253</v>
      </c>
      <c r="AL82" s="5">
        <f>(O82/0.01)*10^($B$82)</f>
        <v>474341649.02525729</v>
      </c>
      <c r="AM82" s="5">
        <f>(P82/0.01)*10^($B$82)</f>
        <v>600832755.43199253</v>
      </c>
      <c r="AN82" s="5">
        <f t="shared" si="52"/>
        <v>585021367.1311506</v>
      </c>
      <c r="AO82" s="302" t="s">
        <v>105</v>
      </c>
    </row>
    <row r="83" spans="1:66" x14ac:dyDescent="0.25">
      <c r="A83" s="5" t="s">
        <v>106</v>
      </c>
      <c r="B83" s="6">
        <v>5.5</v>
      </c>
      <c r="C83" s="6">
        <v>7</v>
      </c>
      <c r="D83" s="6">
        <v>3</v>
      </c>
      <c r="E83" s="6">
        <v>2</v>
      </c>
      <c r="F83" s="6">
        <v>5</v>
      </c>
      <c r="G83" s="6"/>
      <c r="H83" s="6"/>
      <c r="I83" s="6">
        <v>8</v>
      </c>
      <c r="J83" s="6">
        <v>5</v>
      </c>
      <c r="K83" s="6">
        <v>3</v>
      </c>
      <c r="L83" s="6">
        <v>7</v>
      </c>
      <c r="M83" s="6"/>
      <c r="N83" s="6"/>
      <c r="O83" s="6">
        <v>5</v>
      </c>
      <c r="P83" s="6">
        <v>5</v>
      </c>
      <c r="R83" s="6">
        <f>LOG((C83/0.01)*10^($B$83))</f>
        <v>8.3450980400142569</v>
      </c>
      <c r="S83" s="6">
        <f>LOG((D83/0.01)*10^($B$83))</f>
        <v>7.9771212547196626</v>
      </c>
      <c r="T83" s="6">
        <f>LOG((E83/0.01)*10^($B$83))</f>
        <v>7.8010299956639813</v>
      </c>
      <c r="U83" s="6">
        <f>LOG((F83/0.01)*10^($B$83))</f>
        <v>8.1989700043360187</v>
      </c>
      <c r="V83" s="6">
        <f>LOG((I83/0.01)*10^($B$83))</f>
        <v>8.4030899869919438</v>
      </c>
      <c r="W83" s="6">
        <f>LOG((J83/0.01)*10^($B$83))</f>
        <v>8.1989700043360187</v>
      </c>
      <c r="X83" s="6">
        <f>LOG((K83/0.01)*10^($B$83))</f>
        <v>7.9771212547196626</v>
      </c>
      <c r="Y83" s="6">
        <f>LOG((L83/0.01)*10^($B$83))</f>
        <v>8.3450980400142569</v>
      </c>
      <c r="Z83" s="6">
        <f>LOG((O83/0.01)*10^($B$83))</f>
        <v>8.1989700043360187</v>
      </c>
      <c r="AA83" s="6">
        <f>LOG((P83/0.01)*10^($B$83))</f>
        <v>8.1989700043360187</v>
      </c>
      <c r="AB83" s="6">
        <f t="shared" si="51"/>
        <v>8.1644438589467843</v>
      </c>
      <c r="AC83" s="5" t="s">
        <v>106</v>
      </c>
      <c r="AD83" s="5">
        <f>(C83/0.01)*10^($B$83)</f>
        <v>221359436.21178675</v>
      </c>
      <c r="AE83" s="5">
        <f>(D83/0.01)*10^($B$83)</f>
        <v>94868329.805051461</v>
      </c>
      <c r="AF83" s="5">
        <f>(E83/0.01)*10^($B$83)</f>
        <v>63245553.203367643</v>
      </c>
      <c r="AG83" s="5">
        <f>(F83/0.01)*10^($B$83)</f>
        <v>158113883.0084191</v>
      </c>
      <c r="AH83" s="5">
        <f>(I83/0.01)*10^($B$83)</f>
        <v>252982212.81347057</v>
      </c>
      <c r="AI83" s="5">
        <f>(J83/0.01)*10^($B$83)</f>
        <v>158113883.0084191</v>
      </c>
      <c r="AJ83" s="5">
        <f>(K83/0.01)*10^($B$83)</f>
        <v>94868329.805051461</v>
      </c>
      <c r="AK83" s="5">
        <f>(L83/0.01)*10^($B$83)</f>
        <v>221359436.21178675</v>
      </c>
      <c r="AL83" s="5">
        <f>(O83/0.01)*10^($B$83)</f>
        <v>158113883.0084191</v>
      </c>
      <c r="AM83" s="5">
        <f>(P83/0.01)*10^($B$83)</f>
        <v>158113883.0084191</v>
      </c>
      <c r="AN83" s="5">
        <f t="shared" si="52"/>
        <v>158113883.0084191</v>
      </c>
      <c r="AO83" s="5" t="s">
        <v>106</v>
      </c>
    </row>
    <row r="84" spans="1:66" x14ac:dyDescent="0.25">
      <c r="A84" s="302"/>
      <c r="B84" s="302">
        <v>5</v>
      </c>
      <c r="C84" s="302">
        <v>10</v>
      </c>
      <c r="D84" s="302">
        <v>14</v>
      </c>
      <c r="E84" s="302">
        <v>18</v>
      </c>
      <c r="F84" s="302">
        <v>18</v>
      </c>
      <c r="G84" s="302"/>
      <c r="H84" s="302"/>
      <c r="I84" s="302">
        <v>12</v>
      </c>
      <c r="J84" s="302">
        <v>11</v>
      </c>
      <c r="K84" s="302">
        <v>12</v>
      </c>
      <c r="L84" s="302">
        <v>15</v>
      </c>
      <c r="M84" s="302"/>
      <c r="N84" s="302"/>
      <c r="O84" s="302">
        <v>15</v>
      </c>
      <c r="P84" s="302">
        <v>14</v>
      </c>
      <c r="Q84" s="302"/>
      <c r="R84" s="302">
        <f>LOG((C84/0.01)*10^($B$84))</f>
        <v>8</v>
      </c>
      <c r="S84" s="302">
        <f>LOG((D84/0.01)*10^($B$84))</f>
        <v>8.1461280356782382</v>
      </c>
      <c r="T84" s="302">
        <f>LOG((E84/0.01)*10^($B$84))</f>
        <v>8.2552725051033065</v>
      </c>
      <c r="U84" s="302">
        <f>LOG((F84/0.01)*10^($B$84))</f>
        <v>8.2552725051033065</v>
      </c>
      <c r="V84" s="302">
        <f>LOG((I84/0.01)*10^($B$84))</f>
        <v>8.0791812460476251</v>
      </c>
      <c r="W84" s="302">
        <f>LOG((J84/0.01)*10^($B$84))</f>
        <v>8.0413926851582254</v>
      </c>
      <c r="X84" s="302">
        <f>LOG((K84/0.01)*10^($B$84))</f>
        <v>8.0791812460476251</v>
      </c>
      <c r="Y84" s="302">
        <f>LOG((L84/0.01)*10^($B$84))</f>
        <v>8.1760912590556813</v>
      </c>
      <c r="Z84" s="302">
        <f>LOG((O84/0.01)*10^($B$84))</f>
        <v>8.1760912590556813</v>
      </c>
      <c r="AA84" s="302">
        <f>LOG((P84/0.01)*10^($B$84))</f>
        <v>8.1461280356782382</v>
      </c>
      <c r="AB84" s="302">
        <f t="shared" si="51"/>
        <v>8.1354738776927924</v>
      </c>
      <c r="AC84" s="302"/>
      <c r="AD84" s="5">
        <f>(C84/0.01)*10^($B$84)</f>
        <v>100000000</v>
      </c>
      <c r="AE84" s="5">
        <f>(D84/0.01)*10^($B$84)</f>
        <v>140000000</v>
      </c>
      <c r="AF84" s="5">
        <f>(E84/0.01)*10^($B$84)</f>
        <v>180000000</v>
      </c>
      <c r="AG84" s="5">
        <f>(F84/0.01)*10^($B$84)</f>
        <v>180000000</v>
      </c>
      <c r="AH84" s="5">
        <f>(I84/0.01)*10^($B$84)</f>
        <v>120000000</v>
      </c>
      <c r="AI84" s="5">
        <f>(J84/0.01)*10^($B$84)</f>
        <v>110000000</v>
      </c>
      <c r="AJ84" s="5">
        <f>(K84/0.01)*10^($B$84)</f>
        <v>120000000</v>
      </c>
      <c r="AK84" s="5">
        <f>(L84/0.01)*10^($B$84)</f>
        <v>150000000</v>
      </c>
      <c r="AL84" s="5">
        <f>(O84/0.01)*10^($B$84)</f>
        <v>150000000</v>
      </c>
      <c r="AM84" s="5">
        <f>(P84/0.01)*10^($B$84)</f>
        <v>140000000</v>
      </c>
      <c r="AN84" s="5">
        <f t="shared" si="52"/>
        <v>139000000</v>
      </c>
      <c r="AO84" s="302" t="s">
        <v>106</v>
      </c>
    </row>
    <row r="85" spans="1:66" x14ac:dyDescent="0.25">
      <c r="A85" s="302" t="s">
        <v>107</v>
      </c>
      <c r="B85" s="302">
        <v>6</v>
      </c>
      <c r="C85" s="302">
        <v>8</v>
      </c>
      <c r="D85" s="302">
        <v>10</v>
      </c>
      <c r="E85" s="302">
        <v>11</v>
      </c>
      <c r="F85" s="302">
        <v>6</v>
      </c>
      <c r="G85" s="302"/>
      <c r="H85" s="302"/>
      <c r="I85" s="302">
        <v>12</v>
      </c>
      <c r="J85" s="302">
        <v>9</v>
      </c>
      <c r="K85" s="302">
        <v>5</v>
      </c>
      <c r="L85" s="302">
        <v>12</v>
      </c>
      <c r="M85" s="302"/>
      <c r="N85" s="302"/>
      <c r="O85" s="302">
        <v>10</v>
      </c>
      <c r="P85" s="302">
        <v>11</v>
      </c>
      <c r="Q85" s="302"/>
      <c r="R85" s="302">
        <f>LOG((C85/0.01)*10^($B$85))</f>
        <v>8.9030899869919438</v>
      </c>
      <c r="S85" s="302">
        <f>LOG((D85/0.01)*10^($B$85))</f>
        <v>9</v>
      </c>
      <c r="T85" s="302">
        <f>LOG((E85/0.01)*10^($B$85))</f>
        <v>9.0413926851582254</v>
      </c>
      <c r="U85" s="302">
        <f>LOG((F85/0.01)*10^($B$85))</f>
        <v>8.7781512503836439</v>
      </c>
      <c r="V85" s="302">
        <f>LOG((I85/0.01)*10^($B$85))</f>
        <v>9.0791812460476251</v>
      </c>
      <c r="W85" s="302">
        <f>LOG((J85/0.01)*10^($B$85))</f>
        <v>8.9542425094393252</v>
      </c>
      <c r="X85" s="302">
        <f>LOG((K85/0.01)*10^($B$85))</f>
        <v>8.6989700043360187</v>
      </c>
      <c r="Y85" s="302">
        <f>LOG((L85/0.01)*10^($B$85))</f>
        <v>9.0791812460476251</v>
      </c>
      <c r="Z85" s="302">
        <f>LOG((O85/0.01)*10^($B$85))</f>
        <v>9</v>
      </c>
      <c r="AA85" s="302">
        <f>LOG((P85/0.01)*10^($B$85))</f>
        <v>9.0413926851582254</v>
      </c>
      <c r="AB85" s="302">
        <f t="shared" si="51"/>
        <v>8.9575601613562643</v>
      </c>
      <c r="AC85" s="302" t="s">
        <v>107</v>
      </c>
      <c r="AD85" s="5">
        <f>(C85/0.01)*10^($B$85)</f>
        <v>800000000</v>
      </c>
      <c r="AE85" s="5">
        <f>(D85/0.01)*10^($B$85)</f>
        <v>1000000000</v>
      </c>
      <c r="AF85" s="5">
        <f>(E85/0.01)*10^($B$85)</f>
        <v>1100000000</v>
      </c>
      <c r="AG85" s="5">
        <f>(F85/0.01)*10^($B$85)</f>
        <v>600000000</v>
      </c>
      <c r="AH85" s="5">
        <f>(I85/0.01)*10^($B$85)</f>
        <v>1200000000</v>
      </c>
      <c r="AI85" s="5">
        <f>(J85/0.01)*10^($B$85)</f>
        <v>900000000</v>
      </c>
      <c r="AJ85" s="5">
        <f>(K85/0.01)*10^($B$85)</f>
        <v>500000000</v>
      </c>
      <c r="AK85" s="5">
        <f>(L85/0.01)*10^($B$85)</f>
        <v>1200000000</v>
      </c>
      <c r="AL85" s="5">
        <f>(O85/0.01)*10^($B$85)</f>
        <v>1000000000</v>
      </c>
      <c r="AM85" s="5">
        <f>(P85/0.01)*10^($B$85)</f>
        <v>1100000000</v>
      </c>
      <c r="AN85" s="5">
        <f t="shared" si="52"/>
        <v>940000000</v>
      </c>
      <c r="AO85" s="302" t="s">
        <v>107</v>
      </c>
    </row>
    <row r="86" spans="1:66" x14ac:dyDescent="0.25">
      <c r="A86" s="302" t="s">
        <v>108</v>
      </c>
      <c r="B86" s="302">
        <v>6</v>
      </c>
      <c r="C86" s="302">
        <v>21</v>
      </c>
      <c r="D86" s="302">
        <v>21</v>
      </c>
      <c r="E86" s="302">
        <v>15</v>
      </c>
      <c r="F86" s="302">
        <v>16</v>
      </c>
      <c r="G86" s="302"/>
      <c r="H86" s="302"/>
      <c r="I86" s="302">
        <v>21</v>
      </c>
      <c r="J86" s="302">
        <v>18</v>
      </c>
      <c r="K86" s="302">
        <v>11</v>
      </c>
      <c r="L86" s="302">
        <v>13</v>
      </c>
      <c r="M86" s="302"/>
      <c r="N86" s="302"/>
      <c r="O86" s="302">
        <v>17</v>
      </c>
      <c r="P86" s="302">
        <v>14</v>
      </c>
      <c r="Q86" s="302"/>
      <c r="R86" s="302">
        <f>LOG((C86/0.01)*10^($B$86))</f>
        <v>9.3222192947339195</v>
      </c>
      <c r="S86" s="302">
        <f>LOG((D86/0.01)*10^($B$86))</f>
        <v>9.3222192947339195</v>
      </c>
      <c r="T86" s="302">
        <f>LOG((E86/0.01)*10^($B$86))</f>
        <v>9.1760912590556813</v>
      </c>
      <c r="U86" s="302">
        <f>LOG((F86/0.01)*10^($B$86))</f>
        <v>9.204119982655925</v>
      </c>
      <c r="V86" s="302">
        <f>LOG((I86/0.01)*10^($B$86))</f>
        <v>9.3222192947339195</v>
      </c>
      <c r="W86" s="302">
        <f>LOG((J86/0.01)*10^($B$86))</f>
        <v>9.2552725051033065</v>
      </c>
      <c r="X86" s="302">
        <f>LOG((K86/0.01)*10^($B$86))</f>
        <v>9.0413926851582254</v>
      </c>
      <c r="Y86" s="302">
        <f>LOG((L86/0.01)*10^($B$86))</f>
        <v>9.1139433523068369</v>
      </c>
      <c r="Z86" s="302">
        <f>LOG((O86/0.01)*10^($B$86))</f>
        <v>9.2304489213782741</v>
      </c>
      <c r="AA86" s="302">
        <f>LOG((P86/0.01)*10^($B$86))</f>
        <v>9.1461280356782382</v>
      </c>
      <c r="AB86" s="302">
        <f t="shared" si="51"/>
        <v>9.2134054625538226</v>
      </c>
      <c r="AC86" s="302" t="s">
        <v>108</v>
      </c>
      <c r="AD86" s="5">
        <f>(C86/0.01)*10^($B$86)</f>
        <v>2100000000</v>
      </c>
      <c r="AE86" s="5">
        <f>(D86/0.01)*10^($B$86)</f>
        <v>2100000000</v>
      </c>
      <c r="AF86" s="5">
        <f>(E86/0.01)*10^($B$86)</f>
        <v>1500000000</v>
      </c>
      <c r="AG86" s="5">
        <f>(F86/0.01)*10^($B$86)</f>
        <v>1600000000</v>
      </c>
      <c r="AH86" s="5">
        <f>(I86/0.01)*10^($B$86)</f>
        <v>2100000000</v>
      </c>
      <c r="AI86" s="5">
        <f>(J86/0.01)*10^($B$86)</f>
        <v>1800000000</v>
      </c>
      <c r="AJ86" s="5">
        <f>(K86/0.01)*10^($B$86)</f>
        <v>1100000000</v>
      </c>
      <c r="AK86" s="5">
        <f>(L86/0.01)*10^($B$86)</f>
        <v>1300000000</v>
      </c>
      <c r="AL86" s="5">
        <f>(O86/0.01)*10^($B$86)</f>
        <v>1700000000</v>
      </c>
      <c r="AM86" s="5">
        <f>(P86/0.01)*10^($B$86)</f>
        <v>1400000000</v>
      </c>
      <c r="AN86" s="5">
        <f t="shared" si="52"/>
        <v>1670000000</v>
      </c>
      <c r="AO86" s="302" t="s">
        <v>108</v>
      </c>
    </row>
    <row r="87" spans="1:66" x14ac:dyDescent="0.25">
      <c r="A87" s="5" t="s">
        <v>109</v>
      </c>
      <c r="B87" s="6">
        <v>6</v>
      </c>
      <c r="C87" s="6">
        <v>5</v>
      </c>
      <c r="D87" s="6">
        <v>2</v>
      </c>
      <c r="E87" s="6">
        <v>1</v>
      </c>
      <c r="F87" s="6">
        <v>2</v>
      </c>
      <c r="G87" s="6"/>
      <c r="H87" s="6"/>
      <c r="I87" s="6">
        <v>4</v>
      </c>
      <c r="J87" s="6">
        <v>1</v>
      </c>
      <c r="K87" s="6">
        <v>2</v>
      </c>
      <c r="L87" s="6">
        <v>2</v>
      </c>
      <c r="M87" s="6"/>
      <c r="N87" s="6"/>
      <c r="O87" s="6">
        <v>1</v>
      </c>
      <c r="P87" s="6">
        <v>1</v>
      </c>
      <c r="R87" s="6">
        <f>LOG((C87/0.01)*10^($B$87))</f>
        <v>8.6989700043360187</v>
      </c>
      <c r="S87" s="6">
        <f>LOG((D87/0.01)*10^($B$87))</f>
        <v>8.3010299956639813</v>
      </c>
      <c r="T87" s="6">
        <f>LOG((E87/0.01)*10^($B$87))</f>
        <v>8</v>
      </c>
      <c r="U87" s="6">
        <f>LOG((F87/0.01)*10^($B$87))</f>
        <v>8.3010299956639813</v>
      </c>
      <c r="V87" s="6">
        <f>LOG((I87/0.01)*10^($B$87))</f>
        <v>8.6020599913279625</v>
      </c>
      <c r="W87" s="6">
        <f>LOG((J87/0.01)*10^($B$87))</f>
        <v>8</v>
      </c>
      <c r="X87" s="6">
        <f>LOG((K87/0.01)*10^($B$87))</f>
        <v>8.3010299956639813</v>
      </c>
      <c r="Y87" s="6">
        <f>LOG((L87/0.01)*10^($B$87))</f>
        <v>8.3010299956639813</v>
      </c>
      <c r="Z87" s="6">
        <f>LOG((O87/0.01)*10^($B$87))</f>
        <v>8</v>
      </c>
      <c r="AA87" s="6">
        <f>LOG((P87/0.01)*10^($B$87))</f>
        <v>8</v>
      </c>
      <c r="AB87" s="6">
        <f t="shared" si="51"/>
        <v>8.2505149978319903</v>
      </c>
      <c r="AC87" s="5" t="s">
        <v>109</v>
      </c>
      <c r="AD87" s="5">
        <f>(C87/0.01)*10^($B$87)</f>
        <v>500000000</v>
      </c>
      <c r="AE87" s="5">
        <f>(D87/0.01)*10^($B$87)</f>
        <v>200000000</v>
      </c>
      <c r="AF87" s="5">
        <f>(E87/0.01)*10^($B$87)</f>
        <v>100000000</v>
      </c>
      <c r="AG87" s="5">
        <f>(F87/0.01)*10^($B$87)</f>
        <v>200000000</v>
      </c>
      <c r="AH87" s="5">
        <f>(I87/0.01)*10^($B$87)</f>
        <v>400000000</v>
      </c>
      <c r="AI87" s="5">
        <f>(J87/0.01)*10^($B$87)</f>
        <v>100000000</v>
      </c>
      <c r="AJ87" s="5">
        <f>(K87/0.01)*10^($B$87)</f>
        <v>200000000</v>
      </c>
      <c r="AK87" s="5">
        <f>(L87/0.01)*10^($B$87)</f>
        <v>200000000</v>
      </c>
      <c r="AL87" s="5">
        <f>(O87/0.01)*10^($B$87)</f>
        <v>100000000</v>
      </c>
      <c r="AM87" s="5">
        <f>(P87/0.01)*10^($B$87)</f>
        <v>100000000</v>
      </c>
      <c r="AN87" s="5">
        <f t="shared" si="52"/>
        <v>210000000</v>
      </c>
      <c r="AO87" s="5" t="s">
        <v>109</v>
      </c>
    </row>
    <row r="88" spans="1:66" x14ac:dyDescent="0.25">
      <c r="B88" s="6">
        <v>5.5</v>
      </c>
      <c r="C88" s="6">
        <v>7</v>
      </c>
      <c r="D88" s="6">
        <v>12</v>
      </c>
      <c r="E88" s="6">
        <v>6</v>
      </c>
      <c r="F88" s="6">
        <v>5</v>
      </c>
      <c r="G88" s="6"/>
      <c r="H88" s="6"/>
      <c r="I88" s="6">
        <v>6</v>
      </c>
      <c r="J88" s="6">
        <v>4</v>
      </c>
      <c r="K88" s="6">
        <v>5</v>
      </c>
      <c r="L88" s="6">
        <v>2</v>
      </c>
      <c r="M88" s="6"/>
      <c r="N88" s="6"/>
      <c r="O88" s="6">
        <v>4</v>
      </c>
      <c r="P88" s="6">
        <v>2</v>
      </c>
      <c r="R88" s="6">
        <f>LOG((C88/0.01)*10^($B$88))</f>
        <v>8.3450980400142569</v>
      </c>
      <c r="S88" s="6">
        <f>LOG((D88/0.01)*10^($B$88))</f>
        <v>8.5791812460476251</v>
      </c>
      <c r="T88" s="6">
        <f>LOG((E88/0.01)*10^($B$88))</f>
        <v>8.2781512503836439</v>
      </c>
      <c r="U88" s="6">
        <f>LOG((F88/0.01)*10^($B$88))</f>
        <v>8.1989700043360187</v>
      </c>
      <c r="V88" s="6">
        <f>LOG((I88/0.01)*10^($B$88))</f>
        <v>8.2781512503836439</v>
      </c>
      <c r="W88" s="6">
        <f>LOG((J88/0.01)*10^($B$88))</f>
        <v>8.1020599913279625</v>
      </c>
      <c r="X88" s="6">
        <f>LOG((K88/0.01)*10^($B$88))</f>
        <v>8.1989700043360187</v>
      </c>
      <c r="Y88" s="6">
        <f>LOG((L88/0.01)*10^($B$88))</f>
        <v>7.8010299956639813</v>
      </c>
      <c r="Z88" s="6">
        <f>LOG((O88/0.01)*10^($B$88))</f>
        <v>8.1020599913279625</v>
      </c>
      <c r="AA88" s="6">
        <f>LOG((P88/0.01)*10^($B$88))</f>
        <v>7.8010299956639813</v>
      </c>
      <c r="AB88" s="6">
        <f t="shared" si="51"/>
        <v>8.1684701769485084</v>
      </c>
      <c r="AD88" s="5">
        <f>(C88/0.01)*10^($B$88)</f>
        <v>221359436.21178675</v>
      </c>
      <c r="AE88" s="5">
        <f>(D88/0.01)*10^($B$88)</f>
        <v>379473319.22020584</v>
      </c>
      <c r="AF88" s="5">
        <f>(E88/0.01)*10^($B$88)</f>
        <v>189736659.61010292</v>
      </c>
      <c r="AG88" s="5">
        <f>(F88/0.01)*10^($B$88)</f>
        <v>158113883.0084191</v>
      </c>
      <c r="AH88" s="5">
        <f>(I88/0.01)*10^($B$88)</f>
        <v>189736659.61010292</v>
      </c>
      <c r="AI88" s="5">
        <f>(J88/0.01)*10^($B$88)</f>
        <v>126491106.40673529</v>
      </c>
      <c r="AJ88" s="5">
        <f>(K88/0.01)*10^($B$88)</f>
        <v>158113883.0084191</v>
      </c>
      <c r="AK88" s="5">
        <f>(L88/0.01)*10^($B$88)</f>
        <v>63245553.203367643</v>
      </c>
      <c r="AL88" s="5">
        <f>(O88/0.01)*10^($B$88)</f>
        <v>126491106.40673529</v>
      </c>
      <c r="AM88" s="5">
        <f>(P88/0.01)*10^($B$88)</f>
        <v>63245553.203367643</v>
      </c>
      <c r="AN88" s="5">
        <f t="shared" si="52"/>
        <v>167600715.98892421</v>
      </c>
      <c r="AO88" s="302" t="s">
        <v>109</v>
      </c>
    </row>
    <row r="89" spans="1:66" x14ac:dyDescent="0.25">
      <c r="A89" s="302"/>
      <c r="B89" s="302">
        <v>5</v>
      </c>
      <c r="C89" s="302">
        <v>13</v>
      </c>
      <c r="D89" s="302">
        <v>21</v>
      </c>
      <c r="E89" s="302">
        <v>19</v>
      </c>
      <c r="F89" s="302">
        <v>21</v>
      </c>
      <c r="G89" s="302"/>
      <c r="H89" s="302"/>
      <c r="I89" s="302">
        <v>22</v>
      </c>
      <c r="J89" s="302">
        <v>15</v>
      </c>
      <c r="K89" s="302">
        <v>24</v>
      </c>
      <c r="L89" s="302">
        <v>18</v>
      </c>
      <c r="M89" s="302"/>
      <c r="N89" s="302"/>
      <c r="O89" s="302">
        <v>22</v>
      </c>
      <c r="P89" s="302">
        <v>24</v>
      </c>
      <c r="Q89" s="302"/>
      <c r="R89" s="302">
        <f>LOG((C89/0.01)*10^($B$89))</f>
        <v>8.1139433523068369</v>
      </c>
      <c r="S89" s="302">
        <f>LOG((D89/0.01)*10^($B$89))</f>
        <v>8.3222192947339195</v>
      </c>
      <c r="T89" s="302">
        <f>LOG((E89/0.01)*10^($B$89))</f>
        <v>8.2787536009528289</v>
      </c>
      <c r="U89" s="302">
        <f>LOG((F89/0.01)*10^($B$89))</f>
        <v>8.3222192947339195</v>
      </c>
      <c r="V89" s="302">
        <f>LOG((I89/0.01)*10^($B$89))</f>
        <v>8.3424226808222066</v>
      </c>
      <c r="W89" s="302">
        <f>LOG((J89/0.01)*10^($B$89))</f>
        <v>8.1760912590556813</v>
      </c>
      <c r="X89" s="302">
        <f>LOG((K89/0.01)*10^($B$89))</f>
        <v>8.3802112417116064</v>
      </c>
      <c r="Y89" s="302">
        <f>LOG((L89/0.01)*10^($B$89))</f>
        <v>8.2552725051033065</v>
      </c>
      <c r="Z89" s="302">
        <f>LOG((O89/0.01)*10^($B$89))</f>
        <v>8.3424226808222066</v>
      </c>
      <c r="AA89" s="302">
        <f>LOG((P89/0.01)*10^($B$89))</f>
        <v>8.3802112417116064</v>
      </c>
      <c r="AB89" s="302">
        <f t="shared" si="51"/>
        <v>8.2913767151954119</v>
      </c>
      <c r="AC89" s="302"/>
      <c r="AD89" s="5">
        <f>(C89/0.01)*10^($B$89)</f>
        <v>130000000</v>
      </c>
      <c r="AE89" s="5">
        <f>(D89/0.01)*10^($B$89)</f>
        <v>210000000</v>
      </c>
      <c r="AF89" s="5">
        <f>(E89/0.01)*10^($B$89)</f>
        <v>190000000</v>
      </c>
      <c r="AG89" s="5">
        <f>(F89/0.01)*10^($B$89)</f>
        <v>210000000</v>
      </c>
      <c r="AH89" s="5">
        <f>(I89/0.01)*10^($B$89)</f>
        <v>220000000</v>
      </c>
      <c r="AI89" s="5">
        <f>(J89/0.01)*10^($B$89)</f>
        <v>150000000</v>
      </c>
      <c r="AJ89" s="5">
        <f>(K89/0.01)*10^($B$89)</f>
        <v>240000000</v>
      </c>
      <c r="AK89" s="5">
        <f>(L89/0.01)*10^($B$89)</f>
        <v>180000000</v>
      </c>
      <c r="AL89" s="5">
        <f>(O89/0.01)*10^($B$89)</f>
        <v>220000000</v>
      </c>
      <c r="AM89" s="5">
        <f>(P89/0.01)*10^($B$89)</f>
        <v>240000000</v>
      </c>
      <c r="AN89" s="5">
        <f t="shared" si="52"/>
        <v>199000000</v>
      </c>
      <c r="AO89" s="302" t="s">
        <v>109</v>
      </c>
    </row>
    <row r="90" spans="1:66" x14ac:dyDescent="0.25">
      <c r="A90" s="302" t="s">
        <v>110</v>
      </c>
      <c r="B90" s="302">
        <v>6</v>
      </c>
      <c r="C90" s="302">
        <v>7</v>
      </c>
      <c r="D90" s="302">
        <v>7</v>
      </c>
      <c r="E90" s="302">
        <v>19</v>
      </c>
      <c r="F90" s="302">
        <v>11</v>
      </c>
      <c r="G90" s="302"/>
      <c r="H90" s="302"/>
      <c r="I90" s="302">
        <v>7</v>
      </c>
      <c r="J90" s="302">
        <v>18</v>
      </c>
      <c r="K90" s="302">
        <v>12</v>
      </c>
      <c r="L90" s="302">
        <v>14</v>
      </c>
      <c r="M90" s="302"/>
      <c r="N90" s="302"/>
      <c r="O90" s="302">
        <v>12</v>
      </c>
      <c r="P90" s="302">
        <v>12</v>
      </c>
      <c r="Q90" s="302"/>
      <c r="R90" s="302">
        <f>LOG((C90/0.01)*10^($B$90))</f>
        <v>8.8450980400142569</v>
      </c>
      <c r="S90" s="302">
        <f>LOG((D90/0.01)*10^($B$90))</f>
        <v>8.8450980400142569</v>
      </c>
      <c r="T90" s="302">
        <f>LOG((E90/0.01)*10^($B$90))</f>
        <v>9.2787536009528289</v>
      </c>
      <c r="U90" s="302">
        <f>LOG((F90/0.01)*10^($B$90))</f>
        <v>9.0413926851582254</v>
      </c>
      <c r="V90" s="302">
        <f>LOG((I90/0.01)*10^($B$90))</f>
        <v>8.8450980400142569</v>
      </c>
      <c r="W90" s="302">
        <f>LOG((J90/0.01)*10^($B$90))</f>
        <v>9.2552725051033065</v>
      </c>
      <c r="X90" s="302">
        <f>LOG((K90/0.01)*10^($B$90))</f>
        <v>9.0791812460476251</v>
      </c>
      <c r="Y90" s="302">
        <f>LOG((L90/0.01)*10^($B$90))</f>
        <v>9.1461280356782382</v>
      </c>
      <c r="Z90" s="302">
        <f>LOG((O90/0.01)*10^($B$90))</f>
        <v>9.0791812460476251</v>
      </c>
      <c r="AA90" s="302">
        <f>LOG((P90/0.01)*10^($B$90))</f>
        <v>9.0791812460476251</v>
      </c>
      <c r="AB90" s="302">
        <f t="shared" si="51"/>
        <v>9.0494384685078249</v>
      </c>
      <c r="AC90" s="302" t="s">
        <v>110</v>
      </c>
      <c r="AD90" s="5">
        <f>(C90/0.01)*10^($B$90)</f>
        <v>700000000</v>
      </c>
      <c r="AE90" s="5">
        <f>(D90/0.01)*10^($B$90)</f>
        <v>700000000</v>
      </c>
      <c r="AF90" s="5">
        <f>(E90/0.01)*10^($B$90)</f>
        <v>1900000000</v>
      </c>
      <c r="AG90" s="5">
        <f>(F90/0.01)*10^($B$90)</f>
        <v>1100000000</v>
      </c>
      <c r="AH90" s="5">
        <f>(I90/0.01)*10^($B$90)</f>
        <v>700000000</v>
      </c>
      <c r="AI90" s="5">
        <f>(J90/0.01)*10^($B$90)</f>
        <v>1800000000</v>
      </c>
      <c r="AJ90" s="5">
        <f>(K90/0.01)*10^($B$90)</f>
        <v>1200000000</v>
      </c>
      <c r="AK90" s="5">
        <f>(L90/0.01)*10^($B$90)</f>
        <v>1400000000</v>
      </c>
      <c r="AL90" s="5">
        <f>(O90/0.01)*10^($B$90)</f>
        <v>1200000000</v>
      </c>
      <c r="AM90" s="5">
        <f>(P90/0.01)*10^($B$90)</f>
        <v>1200000000</v>
      </c>
      <c r="AN90" s="5">
        <f t="shared" si="52"/>
        <v>1190000000</v>
      </c>
      <c r="AO90" s="302" t="s">
        <v>110</v>
      </c>
    </row>
    <row r="91" spans="1:66" x14ac:dyDescent="0.25">
      <c r="A91" s="302" t="s">
        <v>111</v>
      </c>
      <c r="B91" s="302">
        <v>6</v>
      </c>
      <c r="C91" s="302">
        <v>30</v>
      </c>
      <c r="D91" s="302">
        <v>26</v>
      </c>
      <c r="E91" s="302">
        <v>28</v>
      </c>
      <c r="F91" s="302">
        <v>38</v>
      </c>
      <c r="G91" s="302"/>
      <c r="H91" s="302"/>
      <c r="I91" s="302">
        <v>36</v>
      </c>
      <c r="J91" s="302">
        <v>33</v>
      </c>
      <c r="K91" s="302">
        <v>37</v>
      </c>
      <c r="L91" s="302">
        <v>22</v>
      </c>
      <c r="M91" s="302"/>
      <c r="N91" s="302"/>
      <c r="O91" s="302">
        <v>15</v>
      </c>
      <c r="P91" s="302">
        <v>32</v>
      </c>
      <c r="Q91" s="302"/>
      <c r="R91" s="302">
        <f>LOG((C91/0.01)*10^($B$91))</f>
        <v>9.4771212547196626</v>
      </c>
      <c r="S91" s="302">
        <f>LOG((D91/0.01)*10^($B$91))</f>
        <v>9.4149733479708182</v>
      </c>
      <c r="T91" s="302">
        <f>LOG((E91/0.01)*10^($B$91))</f>
        <v>9.4471580313422194</v>
      </c>
      <c r="U91" s="302">
        <f>LOG((F91/0.01)*10^($B$91))</f>
        <v>9.5797835966168101</v>
      </c>
      <c r="V91" s="302">
        <f>LOG((I91/0.01)*10^($B$91))</f>
        <v>9.5563025007672877</v>
      </c>
      <c r="W91" s="302">
        <f>LOG((J91/0.01)*10^($B$91))</f>
        <v>9.518513939877888</v>
      </c>
      <c r="X91" s="302">
        <f>LOG((K91/0.01)*10^($B$91))</f>
        <v>9.568201724066995</v>
      </c>
      <c r="Y91" s="302">
        <f>LOG((L91/0.01)*10^($B$91))</f>
        <v>9.3424226808222066</v>
      </c>
      <c r="Z91" s="302">
        <f>LOG((O91/0.01)*10^($B$91))</f>
        <v>9.1760912590556813</v>
      </c>
      <c r="AA91" s="302">
        <f>LOG((P91/0.01)*10^($B$91))</f>
        <v>9.5051499783199063</v>
      </c>
      <c r="AB91" s="302">
        <f t="shared" si="51"/>
        <v>9.4585718313559486</v>
      </c>
      <c r="AC91" s="302" t="s">
        <v>111</v>
      </c>
      <c r="AD91" s="5">
        <f>(C91/0.01)*10^($B$91)</f>
        <v>3000000000</v>
      </c>
      <c r="AE91" s="5">
        <f>(D91/0.01)*10^($B$91)</f>
        <v>2600000000</v>
      </c>
      <c r="AF91" s="5">
        <f>(E91/0.01)*10^($B$91)</f>
        <v>2800000000</v>
      </c>
      <c r="AG91" s="5">
        <f>(F91/0.01)*10^($B$91)</f>
        <v>3800000000</v>
      </c>
      <c r="AH91" s="5">
        <f>(I91/0.01)*10^($B$91)</f>
        <v>3600000000</v>
      </c>
      <c r="AI91" s="5">
        <f>(J91/0.01)*10^($B$91)</f>
        <v>3300000000</v>
      </c>
      <c r="AJ91" s="5">
        <f>(K91/0.01)*10^($B$91)</f>
        <v>3700000000</v>
      </c>
      <c r="AK91" s="5">
        <f>(L91/0.01)*10^($B$91)</f>
        <v>2200000000</v>
      </c>
      <c r="AL91" s="5">
        <f>(O91/0.01)*10^($B$91)</f>
        <v>1500000000</v>
      </c>
      <c r="AM91" s="5">
        <f>(P91/0.01)*10^($B$91)</f>
        <v>3200000000</v>
      </c>
      <c r="AN91" s="5">
        <f t="shared" si="52"/>
        <v>2970000000</v>
      </c>
      <c r="AO91" s="302" t="s">
        <v>111</v>
      </c>
    </row>
    <row r="92" spans="1:66" x14ac:dyDescent="0.25">
      <c r="A92" s="302" t="s">
        <v>112</v>
      </c>
      <c r="B92" s="302">
        <v>6</v>
      </c>
      <c r="C92" s="302">
        <v>8</v>
      </c>
      <c r="D92" s="302">
        <v>12</v>
      </c>
      <c r="E92" s="302">
        <v>6</v>
      </c>
      <c r="F92" s="302">
        <v>6</v>
      </c>
      <c r="G92" s="302"/>
      <c r="H92" s="302"/>
      <c r="I92" s="302">
        <v>7</v>
      </c>
      <c r="J92" s="302">
        <v>8</v>
      </c>
      <c r="K92" s="302">
        <v>6</v>
      </c>
      <c r="L92" s="302">
        <v>8</v>
      </c>
      <c r="M92" s="302"/>
      <c r="N92" s="302"/>
      <c r="O92" s="302">
        <v>4</v>
      </c>
      <c r="P92" s="302">
        <v>8</v>
      </c>
      <c r="Q92" s="302"/>
      <c r="R92" s="302">
        <f>LOG((C92/0.01)*10^($B$92))</f>
        <v>8.9030899869919438</v>
      </c>
      <c r="S92" s="302">
        <f>LOG((D92/0.01)*10^($B$92))</f>
        <v>9.0791812460476251</v>
      </c>
      <c r="T92" s="302">
        <f>LOG((E92/0.01)*10^($B$92))</f>
        <v>8.7781512503836439</v>
      </c>
      <c r="U92" s="302">
        <f>LOG((F92/0.01)*10^($B$92))</f>
        <v>8.7781512503836439</v>
      </c>
      <c r="V92" s="302">
        <f>LOG((I92/0.01)*10^($B$92))</f>
        <v>8.8450980400142569</v>
      </c>
      <c r="W92" s="302">
        <f>LOG((J92/0.01)*10^($B$92))</f>
        <v>8.9030899869919438</v>
      </c>
      <c r="X92" s="302">
        <f>LOG((K92/0.01)*10^($B$92))</f>
        <v>8.7781512503836439</v>
      </c>
      <c r="Y92" s="302">
        <f>LOG((L92/0.01)*10^($B$92))</f>
        <v>8.9030899869919438</v>
      </c>
      <c r="Z92" s="302">
        <f>LOG((O92/0.01)*10^($B$92))</f>
        <v>8.6020599913279625</v>
      </c>
      <c r="AA92" s="302">
        <f>LOG((P92/0.01)*10^($B$92))</f>
        <v>8.9030899869919438</v>
      </c>
      <c r="AB92" s="302">
        <f t="shared" si="51"/>
        <v>8.8473152976508551</v>
      </c>
      <c r="AC92" s="302" t="s">
        <v>112</v>
      </c>
      <c r="AD92" s="5">
        <f>(C92/0.01)*10^($B$92)</f>
        <v>800000000</v>
      </c>
      <c r="AE92" s="5">
        <f>(D92/0.01)*10^($B$92)</f>
        <v>1200000000</v>
      </c>
      <c r="AF92" s="5">
        <f>(E92/0.01)*10^($B$92)</f>
        <v>600000000</v>
      </c>
      <c r="AG92" s="5">
        <f>(F92/0.01)*10^($B$92)</f>
        <v>600000000</v>
      </c>
      <c r="AH92" s="5">
        <f>(I92/0.01)*10^($B$92)</f>
        <v>700000000</v>
      </c>
      <c r="AI92" s="5">
        <f>(J92/0.01)*10^($B$92)</f>
        <v>800000000</v>
      </c>
      <c r="AJ92" s="5">
        <f>(K92/0.01)*10^($B$92)</f>
        <v>600000000</v>
      </c>
      <c r="AK92" s="5">
        <f>(L92/0.01)*10^($B$92)</f>
        <v>800000000</v>
      </c>
      <c r="AL92" s="5">
        <f>(O92/0.01)*10^($B$92)</f>
        <v>400000000</v>
      </c>
      <c r="AM92" s="5">
        <f>(P92/0.01)*10^($B$92)</f>
        <v>800000000</v>
      </c>
      <c r="AN92" s="5">
        <f t="shared" si="52"/>
        <v>730000000</v>
      </c>
      <c r="AO92" s="302" t="s">
        <v>112</v>
      </c>
    </row>
    <row r="93" spans="1:66" x14ac:dyDescent="0.25">
      <c r="R93" s="6"/>
    </row>
    <row r="94" spans="1:66" x14ac:dyDescent="0.25">
      <c r="A94" s="303" t="s">
        <v>113</v>
      </c>
      <c r="R94" s="6"/>
    </row>
    <row r="95" spans="1:66" x14ac:dyDescent="0.25">
      <c r="A95" s="2" t="s">
        <v>92</v>
      </c>
      <c r="B95" s="2">
        <v>5</v>
      </c>
      <c r="C95" s="2">
        <v>2</v>
      </c>
      <c r="D95" s="2">
        <v>3</v>
      </c>
      <c r="E95" s="2">
        <v>5</v>
      </c>
      <c r="F95" s="2">
        <v>3</v>
      </c>
      <c r="G95" s="2"/>
      <c r="H95" s="2"/>
      <c r="I95" s="2">
        <v>9</v>
      </c>
      <c r="J95" s="2">
        <v>1</v>
      </c>
      <c r="K95" s="2">
        <v>4</v>
      </c>
      <c r="L95" s="2">
        <v>4</v>
      </c>
      <c r="M95" s="2"/>
      <c r="N95" s="2"/>
      <c r="O95" s="2">
        <v>3</v>
      </c>
      <c r="P95" s="2">
        <v>6</v>
      </c>
      <c r="Q95" s="2"/>
      <c r="R95" s="2">
        <f>LOG((C95/0.01)*10^($B$95))</f>
        <v>7.3010299956639813</v>
      </c>
      <c r="S95" s="2">
        <f>LOG((D95/0.01)*10^($B$95))</f>
        <v>7.4771212547196626</v>
      </c>
      <c r="T95" s="2">
        <f>LOG((E95/0.01)*10^($B$95))</f>
        <v>7.6989700043360187</v>
      </c>
      <c r="U95" s="2">
        <f>LOG((F95/0.01)*10^($B$95))</f>
        <v>7.4771212547196626</v>
      </c>
      <c r="V95" s="2">
        <f>LOG((I95/0.01)*10^($B$95))</f>
        <v>7.9542425094393252</v>
      </c>
      <c r="W95" s="2">
        <f>LOG((J95/0.01)*10^($B$95))</f>
        <v>7</v>
      </c>
      <c r="X95" s="2">
        <f>LOG((K95/0.01)*10^($B$95))</f>
        <v>7.6020599913279625</v>
      </c>
      <c r="Y95" s="2">
        <f>LOG((L95/0.01)*10^($B$95))</f>
        <v>7.6020599913279625</v>
      </c>
      <c r="Z95" s="2">
        <f>LOG((O95/0.01)*10^($B$95))</f>
        <v>7.4771212547196626</v>
      </c>
      <c r="AA95" s="2">
        <f>LOG((P95/0.01)*10^($B$95))</f>
        <v>7.7781512503836439</v>
      </c>
      <c r="AB95" s="2">
        <f>AVERAGE(R95:AA95)</f>
        <v>7.5367877506637884</v>
      </c>
      <c r="AC95" s="2" t="s">
        <v>92</v>
      </c>
      <c r="AD95" s="5">
        <f>(C95/0.01)*10^($B$95)</f>
        <v>20000000</v>
      </c>
      <c r="AE95" s="5">
        <f>(D95/0.01)*10^($B$95)</f>
        <v>30000000</v>
      </c>
      <c r="AF95" s="5">
        <f>(E95/0.01)*10^($B$95)</f>
        <v>50000000</v>
      </c>
      <c r="AG95" s="5">
        <f>(F95/0.01)*10^($B$95)</f>
        <v>30000000</v>
      </c>
      <c r="AH95" s="5">
        <f>(I95/0.01)*10^($B$95)</f>
        <v>90000000</v>
      </c>
      <c r="AI95" s="5">
        <f>(J95/0.01)*10^($B$95)</f>
        <v>10000000</v>
      </c>
      <c r="AJ95" s="5">
        <f>(K95/0.01)*10^($B$95)</f>
        <v>40000000</v>
      </c>
      <c r="AK95" s="5">
        <f>(L95/0.01)*10^($B$95)</f>
        <v>40000000</v>
      </c>
      <c r="AL95" s="5">
        <f>(O95/0.01)*10^($B$95)</f>
        <v>30000000</v>
      </c>
      <c r="AM95" s="5">
        <f>(P95/0.01)*10^($B$95)</f>
        <v>60000000</v>
      </c>
      <c r="AN95" s="5">
        <f t="shared" si="52"/>
        <v>40000000</v>
      </c>
      <c r="AO95" s="2" t="s">
        <v>92</v>
      </c>
      <c r="AQ95" s="5">
        <v>5</v>
      </c>
      <c r="AR95" s="5">
        <v>4</v>
      </c>
      <c r="AS95" s="5">
        <v>3</v>
      </c>
      <c r="AT95" s="5">
        <v>7</v>
      </c>
      <c r="AU95" s="5">
        <v>4</v>
      </c>
      <c r="AV95" s="5">
        <v>10</v>
      </c>
      <c r="AW95" s="5">
        <v>2</v>
      </c>
      <c r="AX95" s="5">
        <v>8</v>
      </c>
      <c r="AY95" s="5">
        <v>6</v>
      </c>
      <c r="AZ95" s="5">
        <v>9</v>
      </c>
      <c r="BA95" s="5">
        <v>6</v>
      </c>
      <c r="BC95" s="5">
        <f t="shared" ref="BC95:BL95" si="53">(AR95/0.01)*10^($AQ$95)</f>
        <v>40000000</v>
      </c>
      <c r="BD95" s="5">
        <f t="shared" si="53"/>
        <v>30000000</v>
      </c>
      <c r="BE95" s="5">
        <f t="shared" si="53"/>
        <v>70000000</v>
      </c>
      <c r="BF95" s="5">
        <f t="shared" si="53"/>
        <v>40000000</v>
      </c>
      <c r="BG95" s="5">
        <f t="shared" si="53"/>
        <v>100000000</v>
      </c>
      <c r="BH95" s="5">
        <f t="shared" si="53"/>
        <v>20000000</v>
      </c>
      <c r="BI95" s="5">
        <f t="shared" si="53"/>
        <v>80000000</v>
      </c>
      <c r="BJ95" s="5">
        <f t="shared" si="53"/>
        <v>60000000</v>
      </c>
      <c r="BK95" s="5">
        <f t="shared" si="53"/>
        <v>90000000</v>
      </c>
      <c r="BL95" s="5">
        <f t="shared" si="53"/>
        <v>60000000</v>
      </c>
      <c r="BM95" s="2">
        <f>AVERAGE(BC95:BL95)</f>
        <v>59000000</v>
      </c>
      <c r="BN95" s="2" t="s">
        <v>92</v>
      </c>
    </row>
    <row r="96" spans="1:66" x14ac:dyDescent="0.25">
      <c r="A96" s="2" t="s">
        <v>93</v>
      </c>
      <c r="B96" s="2">
        <v>5</v>
      </c>
      <c r="C96" s="2">
        <v>6</v>
      </c>
      <c r="D96" s="2">
        <v>7</v>
      </c>
      <c r="E96" s="2">
        <v>10</v>
      </c>
      <c r="F96" s="2">
        <v>9</v>
      </c>
      <c r="G96" s="2"/>
      <c r="H96" s="2"/>
      <c r="I96" s="2">
        <v>8</v>
      </c>
      <c r="J96" s="2">
        <v>4</v>
      </c>
      <c r="K96" s="2">
        <v>8</v>
      </c>
      <c r="L96" s="2">
        <v>10</v>
      </c>
      <c r="M96" s="2"/>
      <c r="N96" s="2"/>
      <c r="O96" s="2">
        <v>8</v>
      </c>
      <c r="P96" s="2">
        <v>8</v>
      </c>
      <c r="Q96" s="2"/>
      <c r="R96" s="2">
        <f>LOG((C96/0.01)*10^($B$96))</f>
        <v>7.7781512503836439</v>
      </c>
      <c r="S96" s="2">
        <f>LOG((D96/0.01)*10^($B$96))</f>
        <v>7.8450980400142569</v>
      </c>
      <c r="T96" s="2">
        <f>LOG((E96/0.01)*10^($B$96))</f>
        <v>8</v>
      </c>
      <c r="U96" s="2">
        <f>LOG((F96/0.01)*10^($B$96))</f>
        <v>7.9542425094393252</v>
      </c>
      <c r="V96" s="2">
        <f>LOG((I96/0.01)*10^($B$96))</f>
        <v>7.9030899869919438</v>
      </c>
      <c r="W96" s="2">
        <f>LOG((J96/0.01)*10^($B$96))</f>
        <v>7.6020599913279625</v>
      </c>
      <c r="X96" s="2">
        <f>LOG((K96/0.01)*10^($B$96))</f>
        <v>7.9030899869919438</v>
      </c>
      <c r="Y96" s="2">
        <f>LOG((L96/0.01)*10^($B$96))</f>
        <v>8</v>
      </c>
      <c r="Z96" s="2">
        <f>LOG((O96/0.01)*10^($B$96))</f>
        <v>7.9030899869919438</v>
      </c>
      <c r="AA96" s="2">
        <f>LOG((P96/0.01)*10^($B$96))</f>
        <v>7.9030899869919438</v>
      </c>
      <c r="AB96" s="2">
        <f t="shared" ref="AB96:AB129" si="54">AVERAGE(R96:AA96)</f>
        <v>7.8791911739132958</v>
      </c>
      <c r="AC96" s="2" t="s">
        <v>93</v>
      </c>
      <c r="AD96" s="5">
        <f>(C96/0.01)*10^($B$96)</f>
        <v>60000000</v>
      </c>
      <c r="AE96" s="5">
        <f>(D96/0.01)*10^($B$96)</f>
        <v>70000000</v>
      </c>
      <c r="AF96" s="5">
        <f>(E96/0.01)*10^($B$96)</f>
        <v>100000000</v>
      </c>
      <c r="AG96" s="5">
        <f>(F96/0.01)*10^($B$96)</f>
        <v>90000000</v>
      </c>
      <c r="AH96" s="5">
        <f>(I96/0.01)*10^($B$96)</f>
        <v>80000000</v>
      </c>
      <c r="AI96" s="5">
        <f>(J96/0.01)*10^($B$96)</f>
        <v>40000000</v>
      </c>
      <c r="AJ96" s="5">
        <f>(K96/0.01)*10^($B$96)</f>
        <v>80000000</v>
      </c>
      <c r="AK96" s="5">
        <f>(L96/0.01)*10^($B$96)</f>
        <v>100000000</v>
      </c>
      <c r="AL96" s="5">
        <f>(O96/0.01)*10^($B$96)</f>
        <v>80000000</v>
      </c>
      <c r="AM96" s="5">
        <f>(P96/0.01)*10^($B$96)</f>
        <v>80000000</v>
      </c>
      <c r="AN96" s="5">
        <f t="shared" si="52"/>
        <v>78000000</v>
      </c>
      <c r="AO96" s="2" t="s">
        <v>93</v>
      </c>
      <c r="AQ96" s="5">
        <v>5</v>
      </c>
      <c r="AR96" s="5">
        <v>9</v>
      </c>
      <c r="AS96" s="5">
        <v>9</v>
      </c>
      <c r="AT96" s="5">
        <v>12</v>
      </c>
      <c r="AU96" s="5">
        <v>9</v>
      </c>
      <c r="AV96" s="5">
        <v>11</v>
      </c>
      <c r="AW96" s="5">
        <v>5</v>
      </c>
      <c r="AX96" s="5">
        <v>10</v>
      </c>
      <c r="AY96" s="5">
        <v>10</v>
      </c>
      <c r="AZ96" s="5">
        <v>9</v>
      </c>
      <c r="BA96" s="5">
        <v>8</v>
      </c>
      <c r="BC96" s="5">
        <f t="shared" ref="BC96:BL96" si="55">(AR96/0.01)*10^($AQ$96)</f>
        <v>90000000</v>
      </c>
      <c r="BD96" s="5">
        <f t="shared" si="55"/>
        <v>90000000</v>
      </c>
      <c r="BE96" s="5">
        <f t="shared" si="55"/>
        <v>120000000</v>
      </c>
      <c r="BF96" s="5">
        <f t="shared" si="55"/>
        <v>90000000</v>
      </c>
      <c r="BG96" s="5">
        <f t="shared" si="55"/>
        <v>110000000</v>
      </c>
      <c r="BH96" s="5">
        <f t="shared" si="55"/>
        <v>50000000</v>
      </c>
      <c r="BI96" s="5">
        <f t="shared" si="55"/>
        <v>100000000</v>
      </c>
      <c r="BJ96" s="5">
        <f t="shared" si="55"/>
        <v>100000000</v>
      </c>
      <c r="BK96" s="5">
        <f t="shared" si="55"/>
        <v>90000000</v>
      </c>
      <c r="BL96" s="5">
        <f t="shared" si="55"/>
        <v>80000000</v>
      </c>
      <c r="BM96" s="2">
        <f t="shared" ref="BM96:BM129" si="56">AVERAGE(BC96:BL96)</f>
        <v>92000000</v>
      </c>
      <c r="BN96" s="2" t="s">
        <v>93</v>
      </c>
    </row>
    <row r="97" spans="1:66" x14ac:dyDescent="0.25">
      <c r="A97" s="2" t="s">
        <v>94</v>
      </c>
      <c r="B97" s="2">
        <v>5</v>
      </c>
      <c r="C97" s="2">
        <v>2</v>
      </c>
      <c r="D97" s="2">
        <v>2</v>
      </c>
      <c r="E97" s="2">
        <v>2</v>
      </c>
      <c r="F97" s="2">
        <v>3</v>
      </c>
      <c r="G97" s="2"/>
      <c r="H97" s="2"/>
      <c r="I97" s="2">
        <v>13</v>
      </c>
      <c r="J97" s="2">
        <v>8</v>
      </c>
      <c r="K97" s="2">
        <v>7</v>
      </c>
      <c r="L97" s="2">
        <v>1</v>
      </c>
      <c r="M97" s="2"/>
      <c r="N97" s="2"/>
      <c r="O97" s="2">
        <v>3</v>
      </c>
      <c r="P97" s="2">
        <v>0</v>
      </c>
      <c r="Q97" s="2"/>
      <c r="R97" s="2">
        <f>LOG((C97/0.01)*10^($B$97))</f>
        <v>7.3010299956639813</v>
      </c>
      <c r="S97" s="2">
        <f>LOG((D97/0.01)*10^($B$97))</f>
        <v>7.3010299956639813</v>
      </c>
      <c r="T97" s="2">
        <f>LOG((E97/0.01)*10^($B$97))</f>
        <v>7.3010299956639813</v>
      </c>
      <c r="U97" s="2">
        <f>LOG((F97/0.01)*10^($B$97))</f>
        <v>7.4771212547196626</v>
      </c>
      <c r="V97" s="2">
        <f>LOG((I97/0.01)*10^($B$97))</f>
        <v>8.1139433523068369</v>
      </c>
      <c r="W97" s="2">
        <f>LOG((J97/0.01)*10^($B$97))</f>
        <v>7.9030899869919438</v>
      </c>
      <c r="X97" s="2">
        <f>LOG((K97/0.01)*10^($B$97))</f>
        <v>7.8450980400142569</v>
      </c>
      <c r="Y97" s="2">
        <f>LOG((L97/0.01)*10^($B$97))</f>
        <v>7</v>
      </c>
      <c r="Z97" s="2">
        <f>LOG((O97/0.01)*10^($B$97))</f>
        <v>7.4771212547196626</v>
      </c>
      <c r="AA97" s="2">
        <v>0</v>
      </c>
      <c r="AB97" s="2">
        <f t="shared" si="54"/>
        <v>6.771946387574431</v>
      </c>
      <c r="AC97" s="2" t="s">
        <v>94</v>
      </c>
      <c r="AD97" s="5">
        <f>(C97/0.01)*10^($B$97)</f>
        <v>20000000</v>
      </c>
      <c r="AE97" s="5">
        <f>(D97/0.01)*10^($B$97)</f>
        <v>20000000</v>
      </c>
      <c r="AF97" s="5">
        <f>(E97/0.01)*10^($B$97)</f>
        <v>20000000</v>
      </c>
      <c r="AG97" s="5">
        <f>(F97/0.01)*10^($B$97)</f>
        <v>30000000</v>
      </c>
      <c r="AH97" s="5">
        <f>(I97/0.01)*10^($B$97)</f>
        <v>130000000</v>
      </c>
      <c r="AI97" s="5">
        <f>(J97/0.01)*10^($B$97)</f>
        <v>80000000</v>
      </c>
      <c r="AJ97" s="5">
        <f>(K97/0.01)*10^($B$97)</f>
        <v>70000000</v>
      </c>
      <c r="AK97" s="5">
        <f>(L97/0.01)*10^($B$97)</f>
        <v>10000000</v>
      </c>
      <c r="AL97" s="5">
        <f>(O97/0.01)*10^($B$97)</f>
        <v>30000000</v>
      </c>
      <c r="AM97" s="5">
        <f>(P97/0.01)*10^($B$97)</f>
        <v>0</v>
      </c>
      <c r="AN97" s="5">
        <f t="shared" si="52"/>
        <v>41000000</v>
      </c>
      <c r="AO97" s="2" t="s">
        <v>94</v>
      </c>
      <c r="AQ97" s="5">
        <v>5</v>
      </c>
      <c r="AR97" s="5">
        <v>8</v>
      </c>
      <c r="AS97" s="5">
        <v>6</v>
      </c>
      <c r="AT97" s="5">
        <v>5</v>
      </c>
      <c r="AU97" s="5">
        <v>5</v>
      </c>
      <c r="AV97" s="5">
        <v>13</v>
      </c>
      <c r="AW97" s="5">
        <v>8</v>
      </c>
      <c r="AX97" s="5">
        <v>5</v>
      </c>
      <c r="AY97" s="5">
        <v>5</v>
      </c>
      <c r="AZ97" s="5">
        <v>5</v>
      </c>
      <c r="BA97" s="5">
        <v>1</v>
      </c>
      <c r="BC97" s="5">
        <f t="shared" ref="BC97:BL97" si="57">(AR97/0.01)*10^($AQ$97)</f>
        <v>80000000</v>
      </c>
      <c r="BD97" s="5">
        <f t="shared" si="57"/>
        <v>60000000</v>
      </c>
      <c r="BE97" s="5">
        <f t="shared" si="57"/>
        <v>50000000</v>
      </c>
      <c r="BF97" s="5">
        <f t="shared" si="57"/>
        <v>50000000</v>
      </c>
      <c r="BG97" s="5">
        <f t="shared" si="57"/>
        <v>130000000</v>
      </c>
      <c r="BH97" s="5">
        <f t="shared" si="57"/>
        <v>80000000</v>
      </c>
      <c r="BI97" s="5">
        <f t="shared" si="57"/>
        <v>50000000</v>
      </c>
      <c r="BJ97" s="5">
        <f t="shared" si="57"/>
        <v>50000000</v>
      </c>
      <c r="BK97" s="5">
        <f t="shared" si="57"/>
        <v>50000000</v>
      </c>
      <c r="BL97" s="5">
        <f t="shared" si="57"/>
        <v>10000000</v>
      </c>
      <c r="BM97" s="2">
        <f t="shared" si="56"/>
        <v>61000000</v>
      </c>
      <c r="BN97" s="2" t="s">
        <v>94</v>
      </c>
    </row>
    <row r="98" spans="1:66" x14ac:dyDescent="0.25">
      <c r="A98" s="6" t="s">
        <v>95</v>
      </c>
      <c r="B98" s="6">
        <v>5.5</v>
      </c>
      <c r="C98" s="6">
        <v>7</v>
      </c>
      <c r="D98" s="6">
        <v>11</v>
      </c>
      <c r="E98" s="6">
        <v>5</v>
      </c>
      <c r="F98" s="6">
        <v>8</v>
      </c>
      <c r="G98" s="6"/>
      <c r="H98" s="6"/>
      <c r="I98" s="6">
        <v>7</v>
      </c>
      <c r="J98" s="6">
        <v>8</v>
      </c>
      <c r="K98" s="6">
        <v>5</v>
      </c>
      <c r="L98" s="6">
        <v>5</v>
      </c>
      <c r="M98" s="6"/>
      <c r="N98" s="6"/>
      <c r="O98" s="6">
        <v>7</v>
      </c>
      <c r="P98" s="6">
        <v>1</v>
      </c>
      <c r="R98" s="6">
        <f>LOG((C98/0.01)*10^($B$98))</f>
        <v>8.3450980400142569</v>
      </c>
      <c r="S98" s="6">
        <f>LOG((D98/0.01)*10^($B$98))</f>
        <v>8.5413926851582254</v>
      </c>
      <c r="T98" s="6">
        <f>LOG((E98/0.01)*10^($B$98))</f>
        <v>8.1989700043360187</v>
      </c>
      <c r="U98" s="6">
        <f>LOG((F98/0.01)*10^($B$98))</f>
        <v>8.4030899869919438</v>
      </c>
      <c r="V98" s="6">
        <f>LOG((I98/0.01)*10^($B$98))</f>
        <v>8.3450980400142569</v>
      </c>
      <c r="W98" s="6">
        <f>LOG((J98/0.01)*10^($B$98))</f>
        <v>8.4030899869919438</v>
      </c>
      <c r="X98" s="6">
        <f>LOG((K98/0.01)*10^($B$98))</f>
        <v>8.1989700043360187</v>
      </c>
      <c r="Y98" s="6">
        <f>LOG((L98/0.01)*10^($B$98))</f>
        <v>8.1989700043360187</v>
      </c>
      <c r="Z98" s="6">
        <f>LOG((O98/0.01)*10^($B$98))</f>
        <v>8.3450980400142569</v>
      </c>
      <c r="AA98" s="6">
        <f>LOG((P98/0.01)*10^($B$98))</f>
        <v>7.5</v>
      </c>
      <c r="AB98" s="6">
        <f t="shared" si="54"/>
        <v>8.2479776792192929</v>
      </c>
      <c r="AC98" s="6" t="s">
        <v>95</v>
      </c>
      <c r="AD98" s="5">
        <f>(C98/0.01)*10^($B$98)</f>
        <v>221359436.21178675</v>
      </c>
      <c r="AE98" s="5">
        <f>(D98/0.01)*10^($B$98)</f>
        <v>347850542.61852205</v>
      </c>
      <c r="AF98" s="5">
        <f>(E98/0.01)*10^($B$98)</f>
        <v>158113883.0084191</v>
      </c>
      <c r="AG98" s="5">
        <f>(F98/0.01)*10^($B$98)</f>
        <v>252982212.81347057</v>
      </c>
      <c r="AH98" s="5">
        <f>(I98/0.01)*10^($B$98)</f>
        <v>221359436.21178675</v>
      </c>
      <c r="AI98" s="5">
        <f>(J98/0.01)*10^($B$98)</f>
        <v>252982212.81347057</v>
      </c>
      <c r="AJ98" s="5">
        <f>(K98/0.01)*10^($B$98)</f>
        <v>158113883.0084191</v>
      </c>
      <c r="AK98" s="5">
        <f>(L98/0.01)*10^($B$98)</f>
        <v>158113883.0084191</v>
      </c>
      <c r="AL98" s="5">
        <f>(O98/0.01)*10^($B$98)</f>
        <v>221359436.21178675</v>
      </c>
      <c r="AM98" s="5">
        <f>(P98/0.01)*10^($B$98)</f>
        <v>31622776.601683822</v>
      </c>
      <c r="AN98" s="5">
        <f t="shared" si="52"/>
        <v>202385770.25077647</v>
      </c>
      <c r="AO98" s="6" t="s">
        <v>95</v>
      </c>
      <c r="AQ98" s="5">
        <v>5.5</v>
      </c>
      <c r="AR98" s="5">
        <v>9</v>
      </c>
      <c r="AS98" s="5">
        <v>12</v>
      </c>
      <c r="AT98" s="5">
        <v>6</v>
      </c>
      <c r="AU98" s="5">
        <v>10</v>
      </c>
      <c r="AV98" s="5">
        <v>7</v>
      </c>
      <c r="AW98" s="5">
        <v>8</v>
      </c>
      <c r="AX98" s="5">
        <v>5</v>
      </c>
      <c r="AY98" s="5">
        <v>8</v>
      </c>
      <c r="AZ98" s="5">
        <v>9</v>
      </c>
      <c r="BA98" s="5">
        <v>3</v>
      </c>
      <c r="BC98" s="5">
        <f t="shared" ref="BC98:BL98" si="58">(AR98/0.01)*10^($AQ$98)</f>
        <v>284604989.4151544</v>
      </c>
      <c r="BD98" s="5">
        <f t="shared" si="58"/>
        <v>379473319.22020584</v>
      </c>
      <c r="BE98" s="5">
        <f t="shared" si="58"/>
        <v>189736659.61010292</v>
      </c>
      <c r="BF98" s="5">
        <f t="shared" si="58"/>
        <v>316227766.01683819</v>
      </c>
      <c r="BG98" s="5">
        <f t="shared" si="58"/>
        <v>221359436.21178675</v>
      </c>
      <c r="BH98" s="5">
        <f t="shared" si="58"/>
        <v>252982212.81347057</v>
      </c>
      <c r="BI98" s="5">
        <f t="shared" si="58"/>
        <v>158113883.0084191</v>
      </c>
      <c r="BJ98" s="5">
        <f t="shared" si="58"/>
        <v>252982212.81347057</v>
      </c>
      <c r="BK98" s="5">
        <f t="shared" si="58"/>
        <v>284604989.4151544</v>
      </c>
      <c r="BL98" s="5">
        <f t="shared" si="58"/>
        <v>94868329.805051461</v>
      </c>
      <c r="BM98" s="5">
        <f t="shared" si="56"/>
        <v>243495379.83296543</v>
      </c>
      <c r="BN98" s="6" t="s">
        <v>95</v>
      </c>
    </row>
    <row r="99" spans="1:66" x14ac:dyDescent="0.25">
      <c r="A99" s="2"/>
      <c r="B99" s="2">
        <v>5</v>
      </c>
      <c r="C99" s="2">
        <v>14</v>
      </c>
      <c r="D99" s="2">
        <v>11</v>
      </c>
      <c r="E99" s="2">
        <v>5</v>
      </c>
      <c r="F99" s="2">
        <v>11</v>
      </c>
      <c r="G99" s="2"/>
      <c r="H99" s="2"/>
      <c r="I99" s="2">
        <v>9</v>
      </c>
      <c r="J99" s="2">
        <v>10</v>
      </c>
      <c r="K99" s="2">
        <v>8</v>
      </c>
      <c r="L99" s="2">
        <v>9</v>
      </c>
      <c r="M99" s="2"/>
      <c r="N99" s="2"/>
      <c r="O99" s="2">
        <v>16</v>
      </c>
      <c r="P99" s="2">
        <v>16</v>
      </c>
      <c r="Q99" s="2"/>
      <c r="R99" s="2">
        <f>LOG((C99/0.01)*10^($B$99))</f>
        <v>8.1461280356782382</v>
      </c>
      <c r="S99" s="2">
        <f>LOG((D99/0.01)*10^($B$99))</f>
        <v>8.0413926851582254</v>
      </c>
      <c r="T99" s="2">
        <f>LOG((E99/0.01)*10^($B$99))</f>
        <v>7.6989700043360187</v>
      </c>
      <c r="U99" s="2">
        <f>LOG((F99/0.01)*10^($B$99))</f>
        <v>8.0413926851582254</v>
      </c>
      <c r="V99" s="2">
        <f>LOG((I99/0.01)*10^($B$99))</f>
        <v>7.9542425094393252</v>
      </c>
      <c r="W99" s="2">
        <f>LOG((J99/0.01)*10^($B$99))</f>
        <v>8</v>
      </c>
      <c r="X99" s="2">
        <f>LOG((K99/0.01)*10^($B$99))</f>
        <v>7.9030899869919438</v>
      </c>
      <c r="Y99" s="2">
        <f>LOG((L99/0.01)*10^($B$99))</f>
        <v>7.9542425094393252</v>
      </c>
      <c r="Z99" s="2">
        <f>LOG((O99/0.01)*10^($B$99))</f>
        <v>8.204119982655925</v>
      </c>
      <c r="AA99" s="2">
        <f>LOG((P99/0.01)*10^($B$99))</f>
        <v>8.204119982655925</v>
      </c>
      <c r="AB99" s="2">
        <f t="shared" si="54"/>
        <v>8.0147698381513148</v>
      </c>
      <c r="AC99" s="2" t="s">
        <v>95</v>
      </c>
      <c r="AD99" s="5">
        <f>(C99/0.01)*10^($B$99)</f>
        <v>140000000</v>
      </c>
      <c r="AE99" s="5">
        <f>(D99/0.01)*10^($B$99)</f>
        <v>110000000</v>
      </c>
      <c r="AF99" s="5">
        <f>(E99/0.01)*10^($B$99)</f>
        <v>50000000</v>
      </c>
      <c r="AG99" s="5">
        <f>(F99/0.01)*10^($B$99)</f>
        <v>110000000</v>
      </c>
      <c r="AH99" s="5">
        <f>(I99/0.01)*10^($B$99)</f>
        <v>90000000</v>
      </c>
      <c r="AI99" s="5">
        <f>(J99/0.01)*10^($B$99)</f>
        <v>100000000</v>
      </c>
      <c r="AJ99" s="5">
        <f>(K99/0.01)*10^($B$99)</f>
        <v>80000000</v>
      </c>
      <c r="AK99" s="5">
        <f>(L99/0.01)*10^($B$99)</f>
        <v>90000000</v>
      </c>
      <c r="AL99" s="5">
        <f>(O99/0.01)*10^($B$99)</f>
        <v>160000000</v>
      </c>
      <c r="AM99" s="5">
        <f>(P99/0.01)*10^($B$99)</f>
        <v>160000000</v>
      </c>
      <c r="AN99" s="5">
        <f t="shared" si="52"/>
        <v>109000000</v>
      </c>
      <c r="AO99" s="2" t="s">
        <v>95</v>
      </c>
      <c r="AQ99" s="5">
        <v>5</v>
      </c>
      <c r="AR99" s="5">
        <v>15</v>
      </c>
      <c r="AS99" s="5">
        <v>12</v>
      </c>
      <c r="AT99" s="5">
        <v>6</v>
      </c>
      <c r="AU99" s="5">
        <v>8</v>
      </c>
      <c r="AV99" s="5">
        <v>12</v>
      </c>
      <c r="AW99" s="5">
        <v>12</v>
      </c>
      <c r="AX99" s="5">
        <v>11</v>
      </c>
      <c r="AY99" s="5">
        <v>9</v>
      </c>
      <c r="AZ99" s="5">
        <v>16</v>
      </c>
      <c r="BA99" s="5">
        <v>17</v>
      </c>
      <c r="BC99" s="5">
        <f t="shared" ref="BC99:BL99" si="59">(AR99/0.01)*10^($AQ$99)</f>
        <v>150000000</v>
      </c>
      <c r="BD99" s="5">
        <f t="shared" si="59"/>
        <v>120000000</v>
      </c>
      <c r="BE99" s="5">
        <f t="shared" si="59"/>
        <v>60000000</v>
      </c>
      <c r="BF99" s="5">
        <f t="shared" si="59"/>
        <v>80000000</v>
      </c>
      <c r="BG99" s="5">
        <f t="shared" si="59"/>
        <v>120000000</v>
      </c>
      <c r="BH99" s="5">
        <f t="shared" si="59"/>
        <v>120000000</v>
      </c>
      <c r="BI99" s="5">
        <f t="shared" si="59"/>
        <v>110000000</v>
      </c>
      <c r="BJ99" s="5">
        <f t="shared" si="59"/>
        <v>90000000</v>
      </c>
      <c r="BK99" s="5">
        <f t="shared" si="59"/>
        <v>160000000</v>
      </c>
      <c r="BL99" s="5">
        <f t="shared" si="59"/>
        <v>170000000</v>
      </c>
      <c r="BM99" s="2">
        <f t="shared" si="56"/>
        <v>118000000</v>
      </c>
      <c r="BN99" s="2" t="s">
        <v>95</v>
      </c>
    </row>
    <row r="100" spans="1:66" x14ac:dyDescent="0.25">
      <c r="A100" s="2" t="s">
        <v>96</v>
      </c>
      <c r="B100" s="2">
        <v>5</v>
      </c>
      <c r="C100" s="2">
        <v>17</v>
      </c>
      <c r="D100" s="2">
        <v>11</v>
      </c>
      <c r="E100" s="2">
        <v>12</v>
      </c>
      <c r="F100" s="2">
        <v>9</v>
      </c>
      <c r="G100" s="2"/>
      <c r="H100" s="2"/>
      <c r="I100" s="2">
        <v>10</v>
      </c>
      <c r="J100" s="2">
        <v>11</v>
      </c>
      <c r="K100" s="2">
        <v>14</v>
      </c>
      <c r="L100" s="2">
        <v>12</v>
      </c>
      <c r="M100" s="2"/>
      <c r="N100" s="2"/>
      <c r="O100" s="2">
        <v>15</v>
      </c>
      <c r="P100" s="2">
        <v>9</v>
      </c>
      <c r="Q100" s="2"/>
      <c r="R100" s="2">
        <f>LOG((C100/0.01)*10^($B$100))</f>
        <v>8.2304489213782741</v>
      </c>
      <c r="S100" s="2">
        <f>LOG((D100/0.01)*10^($B$100))</f>
        <v>8.0413926851582254</v>
      </c>
      <c r="T100" s="2">
        <f>LOG((E100/0.01)*10^($B$100))</f>
        <v>8.0791812460476251</v>
      </c>
      <c r="U100" s="2">
        <f>LOG((F100/0.01)*10^($B$100))</f>
        <v>7.9542425094393252</v>
      </c>
      <c r="V100" s="2">
        <f>LOG((I100/0.01)*10^($B$100))</f>
        <v>8</v>
      </c>
      <c r="W100" s="2">
        <f>LOG((J100/0.01)*10^($B$100))</f>
        <v>8.0413926851582254</v>
      </c>
      <c r="X100" s="2">
        <f>LOG((K100/0.01)*10^($B$100))</f>
        <v>8.1461280356782382</v>
      </c>
      <c r="Y100" s="2">
        <f>LOG((L100/0.01)*10^($B$100))</f>
        <v>8.0791812460476251</v>
      </c>
      <c r="Z100" s="2">
        <f>LOG((O100/0.01)*10^($B$100))</f>
        <v>8.1760912590556813</v>
      </c>
      <c r="AA100" s="2">
        <f>LOG((P100/0.01)*10^($B$100))</f>
        <v>7.9542425094393252</v>
      </c>
      <c r="AB100" s="2">
        <f t="shared" si="54"/>
        <v>8.0702301097402547</v>
      </c>
      <c r="AC100" s="2" t="s">
        <v>96</v>
      </c>
      <c r="AD100" s="5">
        <f>(C100/0.01)*10^($B$100)</f>
        <v>170000000</v>
      </c>
      <c r="AE100" s="5">
        <f>(D100/0.01)*10^($B$100)</f>
        <v>110000000</v>
      </c>
      <c r="AF100" s="5">
        <f>(E100/0.01)*10^($B$100)</f>
        <v>120000000</v>
      </c>
      <c r="AG100" s="5">
        <f>(F100/0.01)*10^($B$100)</f>
        <v>90000000</v>
      </c>
      <c r="AH100" s="5">
        <f>(I100/0.01)*10^($B$100)</f>
        <v>100000000</v>
      </c>
      <c r="AI100" s="5">
        <f>(J100/0.01)*10^($B$100)</f>
        <v>110000000</v>
      </c>
      <c r="AJ100" s="5">
        <f>(K100/0.01)*10^($B$100)</f>
        <v>140000000</v>
      </c>
      <c r="AK100" s="5">
        <f>(L100/0.01)*10^($B$100)</f>
        <v>120000000</v>
      </c>
      <c r="AL100" s="5">
        <f>(O100/0.01)*10^($B$100)</f>
        <v>150000000</v>
      </c>
      <c r="AM100" s="5">
        <f>(P100/0.01)*10^($B$100)</f>
        <v>90000000</v>
      </c>
      <c r="AN100" s="5">
        <f t="shared" si="52"/>
        <v>120000000</v>
      </c>
      <c r="AO100" s="2" t="s">
        <v>96</v>
      </c>
      <c r="AQ100" s="5">
        <v>5</v>
      </c>
      <c r="AR100" s="5">
        <v>15</v>
      </c>
      <c r="AS100" s="5">
        <v>11</v>
      </c>
      <c r="AT100" s="5">
        <v>12</v>
      </c>
      <c r="AU100" s="5">
        <v>10</v>
      </c>
      <c r="AV100" s="5">
        <v>11</v>
      </c>
      <c r="AW100" s="5">
        <v>11</v>
      </c>
      <c r="AX100" s="5">
        <v>12</v>
      </c>
      <c r="AY100" s="5">
        <v>10</v>
      </c>
      <c r="AZ100" s="5">
        <v>15</v>
      </c>
      <c r="BA100" s="5">
        <v>9</v>
      </c>
      <c r="BC100" s="5">
        <f t="shared" ref="BC100:BL100" si="60">(AR100/0.01)*10^($AQ$100)</f>
        <v>150000000</v>
      </c>
      <c r="BD100" s="5">
        <f t="shared" si="60"/>
        <v>110000000</v>
      </c>
      <c r="BE100" s="5">
        <f t="shared" si="60"/>
        <v>120000000</v>
      </c>
      <c r="BF100" s="5">
        <f t="shared" si="60"/>
        <v>100000000</v>
      </c>
      <c r="BG100" s="5">
        <f t="shared" si="60"/>
        <v>110000000</v>
      </c>
      <c r="BH100" s="5">
        <f t="shared" si="60"/>
        <v>110000000</v>
      </c>
      <c r="BI100" s="5">
        <f t="shared" si="60"/>
        <v>120000000</v>
      </c>
      <c r="BJ100" s="5">
        <f t="shared" si="60"/>
        <v>100000000</v>
      </c>
      <c r="BK100" s="5">
        <f t="shared" si="60"/>
        <v>150000000</v>
      </c>
      <c r="BL100" s="5">
        <f t="shared" si="60"/>
        <v>90000000</v>
      </c>
      <c r="BM100" s="2">
        <f t="shared" si="56"/>
        <v>116000000</v>
      </c>
      <c r="BN100" s="2" t="s">
        <v>96</v>
      </c>
    </row>
    <row r="101" spans="1:6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Q101" s="5">
        <v>5.5</v>
      </c>
      <c r="AR101" s="5">
        <v>8</v>
      </c>
      <c r="AS101" s="5">
        <v>1</v>
      </c>
      <c r="AT101" s="5">
        <v>4</v>
      </c>
      <c r="AU101" s="5">
        <v>2</v>
      </c>
      <c r="AV101" s="5">
        <v>6</v>
      </c>
      <c r="AW101" s="5">
        <v>1</v>
      </c>
      <c r="AX101" s="5">
        <v>3</v>
      </c>
      <c r="AY101" s="5">
        <v>2</v>
      </c>
      <c r="AZ101" s="5">
        <v>1</v>
      </c>
      <c r="BA101" s="5">
        <v>2</v>
      </c>
      <c r="BC101" s="5">
        <f t="shared" ref="BC101:BL101" si="61">(AR101/0.01)*10^($AQ$101)</f>
        <v>252982212.81347057</v>
      </c>
      <c r="BD101" s="5">
        <f t="shared" si="61"/>
        <v>31622776.601683822</v>
      </c>
      <c r="BE101" s="5">
        <f t="shared" si="61"/>
        <v>126491106.40673529</v>
      </c>
      <c r="BF101" s="5">
        <f t="shared" si="61"/>
        <v>63245553.203367643</v>
      </c>
      <c r="BG101" s="5">
        <f t="shared" si="61"/>
        <v>189736659.61010292</v>
      </c>
      <c r="BH101" s="5">
        <f t="shared" si="61"/>
        <v>31622776.601683822</v>
      </c>
      <c r="BI101" s="5">
        <f t="shared" si="61"/>
        <v>94868329.805051461</v>
      </c>
      <c r="BJ101" s="5">
        <f t="shared" si="61"/>
        <v>63245553.203367643</v>
      </c>
      <c r="BK101" s="5">
        <f t="shared" si="61"/>
        <v>31622776.601683822</v>
      </c>
      <c r="BL101" s="5">
        <f t="shared" si="61"/>
        <v>63245553.203367643</v>
      </c>
      <c r="BM101" s="5">
        <f t="shared" si="56"/>
        <v>94868329.805051461</v>
      </c>
      <c r="BN101" s="6"/>
    </row>
    <row r="102" spans="1:66" x14ac:dyDescent="0.25">
      <c r="A102" s="6" t="s">
        <v>97</v>
      </c>
      <c r="B102" s="6">
        <v>5.5</v>
      </c>
      <c r="C102" s="6">
        <v>3</v>
      </c>
      <c r="D102" s="6">
        <v>1</v>
      </c>
      <c r="E102" s="6">
        <v>4</v>
      </c>
      <c r="F102" s="6">
        <v>7</v>
      </c>
      <c r="G102" s="6"/>
      <c r="H102" s="6"/>
      <c r="I102" s="6">
        <v>8</v>
      </c>
      <c r="J102" s="6">
        <v>5</v>
      </c>
      <c r="K102" s="6">
        <v>5</v>
      </c>
      <c r="L102" s="6">
        <v>5</v>
      </c>
      <c r="M102" s="6"/>
      <c r="N102" s="6"/>
      <c r="O102" s="6">
        <v>10</v>
      </c>
      <c r="P102" s="6">
        <v>2</v>
      </c>
      <c r="R102" s="6">
        <f>LOG((C102/0.01)*10^($B$102))</f>
        <v>7.9771212547196626</v>
      </c>
      <c r="S102" s="6">
        <f>LOG((D102/0.01)*10^($B$102))</f>
        <v>7.5</v>
      </c>
      <c r="T102" s="6">
        <f>LOG((E102/0.01)*10^($B$102))</f>
        <v>8.1020599913279625</v>
      </c>
      <c r="U102" s="6">
        <f>LOG((F102/0.01)*10^($B$102))</f>
        <v>8.3450980400142569</v>
      </c>
      <c r="V102" s="6">
        <f>LOG((I102/0.01)*10^($B$102))</f>
        <v>8.4030899869919438</v>
      </c>
      <c r="W102" s="6">
        <f>LOG((J102/0.01)*10^($B$102))</f>
        <v>8.1989700043360187</v>
      </c>
      <c r="X102" s="6">
        <f>LOG((K102/0.01)*10^($B$102))</f>
        <v>8.1989700043360187</v>
      </c>
      <c r="Y102" s="6">
        <f>LOG((L102/0.01)*10^($B$102))</f>
        <v>8.1989700043360187</v>
      </c>
      <c r="Z102" s="6">
        <f>LOG((O102/0.01)*10^($B$102))</f>
        <v>8.5</v>
      </c>
      <c r="AA102" s="6">
        <f>LOG((P102/0.01)*10^($B$102))</f>
        <v>7.8010299956639813</v>
      </c>
      <c r="AB102" s="6">
        <f t="shared" si="54"/>
        <v>8.1225309281725853</v>
      </c>
      <c r="AC102" s="6" t="s">
        <v>97</v>
      </c>
      <c r="AD102" s="5">
        <f>(C102/0.01)*10^($B$102)</f>
        <v>94868329.805051461</v>
      </c>
      <c r="AE102" s="5">
        <f>(D102/0.01)*10^($B$102)</f>
        <v>31622776.601683822</v>
      </c>
      <c r="AF102" s="5">
        <f>(E102/0.01)*10^($B$102)</f>
        <v>126491106.40673529</v>
      </c>
      <c r="AG102" s="5">
        <f>(F102/0.01)*10^($B$102)</f>
        <v>221359436.21178675</v>
      </c>
      <c r="AH102" s="5">
        <f>(I102/0.01)*10^($B$102)</f>
        <v>252982212.81347057</v>
      </c>
      <c r="AI102" s="5">
        <f>(J102/0.01)*10^($B$102)</f>
        <v>158113883.0084191</v>
      </c>
      <c r="AJ102" s="5">
        <f>(K102/0.01)*10^($B$102)</f>
        <v>158113883.0084191</v>
      </c>
      <c r="AK102" s="5">
        <f>(L102/0.01)*10^($B$102)</f>
        <v>158113883.0084191</v>
      </c>
      <c r="AL102" s="5">
        <f>(O102/0.01)*10^($B$102)</f>
        <v>316227766.01683819</v>
      </c>
      <c r="AM102" s="5">
        <f>(P102/0.01)*10^($B$102)</f>
        <v>63245553.203367643</v>
      </c>
      <c r="AN102" s="5">
        <f t="shared" si="52"/>
        <v>158113883.0084191</v>
      </c>
      <c r="AO102" s="6" t="s">
        <v>97</v>
      </c>
      <c r="AQ102" s="5">
        <v>5.5</v>
      </c>
      <c r="AR102" s="5">
        <v>5</v>
      </c>
      <c r="AS102" s="5">
        <v>3</v>
      </c>
      <c r="AT102" s="5">
        <v>5</v>
      </c>
      <c r="AU102" s="5">
        <v>6</v>
      </c>
      <c r="AV102" s="5">
        <v>8</v>
      </c>
      <c r="AW102" s="5">
        <v>5</v>
      </c>
      <c r="AX102" s="5">
        <v>5</v>
      </c>
      <c r="AY102" s="5">
        <v>5</v>
      </c>
      <c r="AZ102" s="5">
        <v>9</v>
      </c>
      <c r="BA102" s="5">
        <v>2</v>
      </c>
      <c r="BC102" s="5">
        <f t="shared" ref="BC102:BL102" si="62">(AR102/0.01)*10^($AQ$102)</f>
        <v>158113883.0084191</v>
      </c>
      <c r="BD102" s="5">
        <f t="shared" si="62"/>
        <v>94868329.805051461</v>
      </c>
      <c r="BE102" s="5">
        <f t="shared" si="62"/>
        <v>158113883.0084191</v>
      </c>
      <c r="BF102" s="5">
        <f t="shared" si="62"/>
        <v>189736659.61010292</v>
      </c>
      <c r="BG102" s="5">
        <f t="shared" si="62"/>
        <v>252982212.81347057</v>
      </c>
      <c r="BH102" s="5">
        <f t="shared" si="62"/>
        <v>158113883.0084191</v>
      </c>
      <c r="BI102" s="5">
        <f t="shared" si="62"/>
        <v>158113883.0084191</v>
      </c>
      <c r="BJ102" s="5">
        <f t="shared" si="62"/>
        <v>158113883.0084191</v>
      </c>
      <c r="BK102" s="5">
        <f t="shared" si="62"/>
        <v>284604989.4151544</v>
      </c>
      <c r="BL102" s="5">
        <f t="shared" si="62"/>
        <v>63245553.203367643</v>
      </c>
      <c r="BM102" s="5">
        <f t="shared" si="56"/>
        <v>167600715.98892424</v>
      </c>
      <c r="BN102" s="6" t="s">
        <v>97</v>
      </c>
    </row>
    <row r="103" spans="1:66" x14ac:dyDescent="0.25">
      <c r="A103" s="2"/>
      <c r="B103" s="2">
        <v>5</v>
      </c>
      <c r="C103" s="2">
        <v>6</v>
      </c>
      <c r="D103" s="2">
        <v>9</v>
      </c>
      <c r="E103" s="2">
        <v>13</v>
      </c>
      <c r="F103" s="2">
        <v>6</v>
      </c>
      <c r="G103" s="2"/>
      <c r="H103" s="2"/>
      <c r="I103" s="2">
        <v>10</v>
      </c>
      <c r="J103" s="2">
        <v>5</v>
      </c>
      <c r="K103" s="2">
        <v>6</v>
      </c>
      <c r="L103" s="2">
        <v>12</v>
      </c>
      <c r="M103" s="2"/>
      <c r="N103" s="2"/>
      <c r="O103" s="2">
        <v>12</v>
      </c>
      <c r="P103" s="2">
        <v>14</v>
      </c>
      <c r="Q103" s="2"/>
      <c r="R103" s="2">
        <f>LOG((C103/0.01)*10^($B$103))</f>
        <v>7.7781512503836439</v>
      </c>
      <c r="S103" s="2">
        <f>LOG((D103/0.01)*10^($B$103))</f>
        <v>7.9542425094393252</v>
      </c>
      <c r="T103" s="2">
        <f>LOG((E103/0.01)*10^($B$103))</f>
        <v>8.1139433523068369</v>
      </c>
      <c r="U103" s="2">
        <f>LOG((F103/0.01)*10^($B$103))</f>
        <v>7.7781512503836439</v>
      </c>
      <c r="V103" s="2">
        <f>LOG((I103/0.01)*10^($B$103))</f>
        <v>8</v>
      </c>
      <c r="W103" s="2">
        <f>LOG((J103/0.01)*10^($B$103))</f>
        <v>7.6989700043360187</v>
      </c>
      <c r="X103" s="2">
        <f>LOG((K103/0.01)*10^($B$103))</f>
        <v>7.7781512503836439</v>
      </c>
      <c r="Y103" s="2">
        <f>LOG((L103/0.01)*10^($B$103))</f>
        <v>8.0791812460476251</v>
      </c>
      <c r="Z103" s="2">
        <f>LOG((O103/0.01)*10^($B$103))</f>
        <v>8.0791812460476251</v>
      </c>
      <c r="AA103" s="2">
        <f>LOG((P103/0.01)*10^($B$103))</f>
        <v>8.1461280356782382</v>
      </c>
      <c r="AB103" s="2">
        <f t="shared" si="54"/>
        <v>7.9406100145006606</v>
      </c>
      <c r="AC103" s="2" t="s">
        <v>97</v>
      </c>
      <c r="AD103" s="5">
        <f>(C103/0.01)*10^($B$103)</f>
        <v>60000000</v>
      </c>
      <c r="AE103" s="5">
        <f>(D103/0.01)*10^($B$103)</f>
        <v>90000000</v>
      </c>
      <c r="AF103" s="5">
        <f>(E103/0.01)*10^($B$103)</f>
        <v>130000000</v>
      </c>
      <c r="AG103" s="5">
        <f>(F103/0.01)*10^($B$103)</f>
        <v>60000000</v>
      </c>
      <c r="AH103" s="5">
        <f>(I103/0.01)*10^($B$103)</f>
        <v>100000000</v>
      </c>
      <c r="AI103" s="5">
        <f>(J103/0.01)*10^($B$103)</f>
        <v>50000000</v>
      </c>
      <c r="AJ103" s="5">
        <f>(K103/0.01)*10^($B$103)</f>
        <v>60000000</v>
      </c>
      <c r="AK103" s="5">
        <f>(L103/0.01)*10^($B$103)</f>
        <v>120000000</v>
      </c>
      <c r="AL103" s="5">
        <f>(O103/0.01)*10^($B$103)</f>
        <v>120000000</v>
      </c>
      <c r="AM103" s="5">
        <f>(P103/0.01)*10^($B$103)</f>
        <v>140000000</v>
      </c>
      <c r="AN103" s="5">
        <f t="shared" si="52"/>
        <v>93000000</v>
      </c>
      <c r="AO103" s="2" t="s">
        <v>97</v>
      </c>
      <c r="AQ103" s="5">
        <v>5</v>
      </c>
      <c r="AR103" s="5">
        <v>6</v>
      </c>
      <c r="AS103" s="5">
        <v>8</v>
      </c>
      <c r="AT103" s="5">
        <v>11</v>
      </c>
      <c r="AU103" s="5">
        <v>6</v>
      </c>
      <c r="AV103" s="5">
        <v>9</v>
      </c>
      <c r="AW103" s="5">
        <v>5</v>
      </c>
      <c r="AX103" s="5">
        <v>4</v>
      </c>
      <c r="AY103" s="5">
        <v>10</v>
      </c>
      <c r="AZ103" s="5">
        <v>11</v>
      </c>
      <c r="BA103" s="5">
        <v>14</v>
      </c>
      <c r="BC103" s="5">
        <f t="shared" ref="BC103:BL103" si="63">(AR103/0.01)*10^($AQ$103)</f>
        <v>60000000</v>
      </c>
      <c r="BD103" s="5">
        <f t="shared" si="63"/>
        <v>80000000</v>
      </c>
      <c r="BE103" s="5">
        <f t="shared" si="63"/>
        <v>110000000</v>
      </c>
      <c r="BF103" s="5">
        <f t="shared" si="63"/>
        <v>60000000</v>
      </c>
      <c r="BG103" s="5">
        <f t="shared" si="63"/>
        <v>90000000</v>
      </c>
      <c r="BH103" s="5">
        <f t="shared" si="63"/>
        <v>50000000</v>
      </c>
      <c r="BI103" s="5">
        <f t="shared" si="63"/>
        <v>40000000</v>
      </c>
      <c r="BJ103" s="5">
        <f t="shared" si="63"/>
        <v>100000000</v>
      </c>
      <c r="BK103" s="5">
        <f t="shared" si="63"/>
        <v>110000000</v>
      </c>
      <c r="BL103" s="5">
        <f t="shared" si="63"/>
        <v>140000000</v>
      </c>
      <c r="BM103" s="2">
        <f t="shared" si="56"/>
        <v>84000000</v>
      </c>
      <c r="BN103" s="2" t="s">
        <v>97</v>
      </c>
    </row>
    <row r="104" spans="1:66" x14ac:dyDescent="0.25">
      <c r="A104" s="6" t="s">
        <v>98</v>
      </c>
      <c r="B104" s="6">
        <v>5.5</v>
      </c>
      <c r="C104" s="6">
        <v>6</v>
      </c>
      <c r="D104" s="6">
        <v>4</v>
      </c>
      <c r="E104" s="6">
        <v>5</v>
      </c>
      <c r="F104" s="6">
        <v>7</v>
      </c>
      <c r="G104" s="6"/>
      <c r="H104" s="6"/>
      <c r="I104" s="6">
        <v>8</v>
      </c>
      <c r="J104" s="6">
        <v>4</v>
      </c>
      <c r="K104" s="6">
        <v>2</v>
      </c>
      <c r="L104" s="6">
        <v>3</v>
      </c>
      <c r="M104" s="6"/>
      <c r="N104" s="6"/>
      <c r="O104" s="6">
        <v>2</v>
      </c>
      <c r="P104" s="6">
        <v>5</v>
      </c>
      <c r="R104" s="6">
        <f>LOG((C104/0.01)*10^($B$104))</f>
        <v>8.2781512503836439</v>
      </c>
      <c r="S104" s="6">
        <f>LOG((D104/0.01)*10^($B$104))</f>
        <v>8.1020599913279625</v>
      </c>
      <c r="T104" s="6">
        <f>LOG((E104/0.01)*10^($B$104))</f>
        <v>8.1989700043360187</v>
      </c>
      <c r="U104" s="6">
        <f>LOG((F104/0.01)*10^($B$104))</f>
        <v>8.3450980400142569</v>
      </c>
      <c r="V104" s="6">
        <f>LOG((I104/0.01)*10^($B$104))</f>
        <v>8.4030899869919438</v>
      </c>
      <c r="W104" s="6">
        <f>LOG((J104/0.01)*10^($B$104))</f>
        <v>8.1020599913279625</v>
      </c>
      <c r="X104" s="6">
        <f>LOG((K104/0.01)*10^($B$104))</f>
        <v>7.8010299956639813</v>
      </c>
      <c r="Y104" s="6">
        <f>LOG((L104/0.01)*10^($B$104))</f>
        <v>7.9771212547196626</v>
      </c>
      <c r="Z104" s="6">
        <f>LOG((O104/0.01)*10^($B$104))</f>
        <v>7.8010299956639813</v>
      </c>
      <c r="AA104" s="6">
        <f>LOG((P104/0.01)*10^($B$104))</f>
        <v>8.1989700043360187</v>
      </c>
      <c r="AB104" s="6">
        <f t="shared" si="54"/>
        <v>8.1207580514765425</v>
      </c>
      <c r="AC104" s="6" t="s">
        <v>98</v>
      </c>
      <c r="AD104" s="5">
        <f>(C104/0.01)*10^($B$104)</f>
        <v>189736659.61010292</v>
      </c>
      <c r="AE104" s="5">
        <f>(D104/0.01)*10^($B$104)</f>
        <v>126491106.40673529</v>
      </c>
      <c r="AF104" s="5">
        <f>(E104/0.01)*10^($B$104)</f>
        <v>158113883.0084191</v>
      </c>
      <c r="AG104" s="5">
        <f>(F104/0.01)*10^($B$104)</f>
        <v>221359436.21178675</v>
      </c>
      <c r="AH104" s="5">
        <f>(I104/0.01)*10^($B$104)</f>
        <v>252982212.81347057</v>
      </c>
      <c r="AI104" s="5">
        <f>(J104/0.01)*10^($B$104)</f>
        <v>126491106.40673529</v>
      </c>
      <c r="AJ104" s="5">
        <f>(K104/0.01)*10^($B$104)</f>
        <v>63245553.203367643</v>
      </c>
      <c r="AK104" s="5">
        <f>(L104/0.01)*10^($B$104)</f>
        <v>94868329.805051461</v>
      </c>
      <c r="AL104" s="5">
        <f>(O104/0.01)*10^($B$104)</f>
        <v>63245553.203367643</v>
      </c>
      <c r="AM104" s="5">
        <f>(P104/0.01)*10^($B$104)</f>
        <v>158113883.0084191</v>
      </c>
      <c r="AN104" s="5">
        <f t="shared" si="52"/>
        <v>145464772.36774558</v>
      </c>
      <c r="AO104" s="6" t="s">
        <v>98</v>
      </c>
      <c r="AQ104" s="5">
        <v>5.5</v>
      </c>
      <c r="AR104" s="5">
        <v>7</v>
      </c>
      <c r="AS104" s="5">
        <v>7</v>
      </c>
      <c r="AT104" s="5">
        <v>7</v>
      </c>
      <c r="AU104" s="5">
        <v>7</v>
      </c>
      <c r="AV104" s="5">
        <v>8</v>
      </c>
      <c r="AW104" s="5">
        <v>4</v>
      </c>
      <c r="AX104" s="5">
        <v>3</v>
      </c>
      <c r="AY104" s="5">
        <v>3</v>
      </c>
      <c r="AZ104" s="5">
        <v>4</v>
      </c>
      <c r="BA104" s="5">
        <v>5</v>
      </c>
      <c r="BC104" s="5">
        <f t="shared" ref="BC104:BL104" si="64">(AR104/0.01)*10^($AQ$104)</f>
        <v>221359436.21178675</v>
      </c>
      <c r="BD104" s="5">
        <f t="shared" si="64"/>
        <v>221359436.21178675</v>
      </c>
      <c r="BE104" s="5">
        <f t="shared" si="64"/>
        <v>221359436.21178675</v>
      </c>
      <c r="BF104" s="5">
        <f t="shared" si="64"/>
        <v>221359436.21178675</v>
      </c>
      <c r="BG104" s="5">
        <f t="shared" si="64"/>
        <v>252982212.81347057</v>
      </c>
      <c r="BH104" s="5">
        <f t="shared" si="64"/>
        <v>126491106.40673529</v>
      </c>
      <c r="BI104" s="5">
        <f t="shared" si="64"/>
        <v>94868329.805051461</v>
      </c>
      <c r="BJ104" s="5">
        <f t="shared" si="64"/>
        <v>94868329.805051461</v>
      </c>
      <c r="BK104" s="5">
        <f t="shared" si="64"/>
        <v>126491106.40673529</v>
      </c>
      <c r="BL104" s="5">
        <f t="shared" si="64"/>
        <v>158113883.0084191</v>
      </c>
      <c r="BM104" s="5">
        <f t="shared" si="56"/>
        <v>173925271.30926102</v>
      </c>
      <c r="BN104" s="6" t="s">
        <v>98</v>
      </c>
    </row>
    <row r="105" spans="1:66" x14ac:dyDescent="0.25">
      <c r="A105" s="2"/>
      <c r="B105" s="2">
        <v>5</v>
      </c>
      <c r="C105" s="2">
        <v>10</v>
      </c>
      <c r="D105" s="2">
        <v>14</v>
      </c>
      <c r="E105" s="2">
        <v>12</v>
      </c>
      <c r="F105" s="2">
        <v>22</v>
      </c>
      <c r="G105" s="2"/>
      <c r="H105" s="2"/>
      <c r="I105" s="2">
        <v>20</v>
      </c>
      <c r="J105" s="2">
        <v>15</v>
      </c>
      <c r="K105" s="2">
        <v>14</v>
      </c>
      <c r="L105" s="2">
        <v>14</v>
      </c>
      <c r="M105" s="2"/>
      <c r="N105" s="2"/>
      <c r="O105" s="2">
        <v>14</v>
      </c>
      <c r="P105" s="2">
        <v>11</v>
      </c>
      <c r="Q105" s="2"/>
      <c r="R105" s="2">
        <f>LOG((C105/0.01)*10^($B$105))</f>
        <v>8</v>
      </c>
      <c r="S105" s="2">
        <f>LOG((D105/0.01)*10^($B$105))</f>
        <v>8.1461280356782382</v>
      </c>
      <c r="T105" s="2">
        <f>LOG((E105/0.01)*10^($B$105))</f>
        <v>8.0791812460476251</v>
      </c>
      <c r="U105" s="2">
        <f>LOG((F105/0.01)*10^($B$105))</f>
        <v>8.3424226808222066</v>
      </c>
      <c r="V105" s="2">
        <f>LOG((I105/0.01)*10^($B$105))</f>
        <v>8.3010299956639813</v>
      </c>
      <c r="W105" s="2">
        <f>LOG((J105/0.01)*10^($B$105))</f>
        <v>8.1760912590556813</v>
      </c>
      <c r="X105" s="2">
        <f>LOG((K105/0.01)*10^($B$105))</f>
        <v>8.1461280356782382</v>
      </c>
      <c r="Y105" s="2">
        <f>LOG((L105/0.01)*10^($B$105))</f>
        <v>8.1461280356782382</v>
      </c>
      <c r="Z105" s="2">
        <f>LOG((O105/0.01)*10^($B$105))</f>
        <v>8.1461280356782382</v>
      </c>
      <c r="AA105" s="2">
        <f>LOG((P105/0.01)*10^($B$105))</f>
        <v>8.0413926851582254</v>
      </c>
      <c r="AB105" s="2">
        <f t="shared" si="54"/>
        <v>8.1524630009460672</v>
      </c>
      <c r="AC105" s="2" t="s">
        <v>98</v>
      </c>
      <c r="AD105" s="5">
        <f>(C105/0.01)*10^($B$105)</f>
        <v>100000000</v>
      </c>
      <c r="AE105" s="5">
        <f>(D105/0.01)*10^($B$105)</f>
        <v>140000000</v>
      </c>
      <c r="AF105" s="5">
        <f>(E105/0.01)*10^($B$105)</f>
        <v>120000000</v>
      </c>
      <c r="AG105" s="5">
        <f>(F105/0.01)*10^($B$105)</f>
        <v>220000000</v>
      </c>
      <c r="AH105" s="5">
        <f>(I105/0.01)*10^($B$105)</f>
        <v>200000000</v>
      </c>
      <c r="AI105" s="5">
        <f>(J105/0.01)*10^($B$105)</f>
        <v>150000000</v>
      </c>
      <c r="AJ105" s="5">
        <f>(K105/0.01)*10^($B$105)</f>
        <v>140000000</v>
      </c>
      <c r="AK105" s="5">
        <f>(L105/0.01)*10^($B$105)</f>
        <v>140000000</v>
      </c>
      <c r="AL105" s="5">
        <f>(O105/0.01)*10^($B$105)</f>
        <v>140000000</v>
      </c>
      <c r="AM105" s="5">
        <f>(P105/0.01)*10^($B$105)</f>
        <v>110000000</v>
      </c>
      <c r="AN105" s="5">
        <f t="shared" si="52"/>
        <v>146000000</v>
      </c>
      <c r="AO105" s="2" t="s">
        <v>98</v>
      </c>
      <c r="AQ105" s="5">
        <v>5</v>
      </c>
      <c r="AR105" s="5">
        <v>11</v>
      </c>
      <c r="AS105" s="5">
        <v>16</v>
      </c>
      <c r="AT105" s="5">
        <v>11</v>
      </c>
      <c r="AU105" s="5">
        <v>21</v>
      </c>
      <c r="AV105" s="5">
        <v>16</v>
      </c>
      <c r="AW105" s="5">
        <v>15</v>
      </c>
      <c r="AX105" s="5">
        <v>12</v>
      </c>
      <c r="AY105" s="5">
        <v>15</v>
      </c>
      <c r="AZ105" s="5">
        <v>11</v>
      </c>
      <c r="BA105" s="5">
        <v>11</v>
      </c>
      <c r="BC105" s="5">
        <f t="shared" ref="BC105:BL105" si="65">(AR105/0.01)*10^($AQ$105)</f>
        <v>110000000</v>
      </c>
      <c r="BD105" s="5">
        <f t="shared" si="65"/>
        <v>160000000</v>
      </c>
      <c r="BE105" s="5">
        <f t="shared" si="65"/>
        <v>110000000</v>
      </c>
      <c r="BF105" s="5">
        <f t="shared" si="65"/>
        <v>210000000</v>
      </c>
      <c r="BG105" s="5">
        <f t="shared" si="65"/>
        <v>160000000</v>
      </c>
      <c r="BH105" s="5">
        <f t="shared" si="65"/>
        <v>150000000</v>
      </c>
      <c r="BI105" s="5">
        <f t="shared" si="65"/>
        <v>120000000</v>
      </c>
      <c r="BJ105" s="5">
        <f t="shared" si="65"/>
        <v>150000000</v>
      </c>
      <c r="BK105" s="5">
        <f t="shared" si="65"/>
        <v>110000000</v>
      </c>
      <c r="BL105" s="5">
        <f t="shared" si="65"/>
        <v>110000000</v>
      </c>
      <c r="BM105" s="2">
        <f t="shared" si="56"/>
        <v>139000000</v>
      </c>
      <c r="BN105" s="2" t="s">
        <v>98</v>
      </c>
    </row>
    <row r="106" spans="1:66" x14ac:dyDescent="0.25">
      <c r="A106" s="6" t="s">
        <v>99</v>
      </c>
      <c r="B106" s="6">
        <v>5.5</v>
      </c>
      <c r="C106" s="6">
        <v>10</v>
      </c>
      <c r="D106" s="6">
        <v>7</v>
      </c>
      <c r="E106" s="6">
        <v>4</v>
      </c>
      <c r="F106" s="6">
        <v>8</v>
      </c>
      <c r="G106" s="6"/>
      <c r="H106" s="6"/>
      <c r="I106" s="6">
        <v>7</v>
      </c>
      <c r="J106" s="6">
        <v>4</v>
      </c>
      <c r="K106" s="6">
        <v>7</v>
      </c>
      <c r="L106" s="6">
        <v>9</v>
      </c>
      <c r="M106" s="6"/>
      <c r="N106" s="6"/>
      <c r="O106" s="6">
        <v>3</v>
      </c>
      <c r="P106" s="6">
        <v>7</v>
      </c>
      <c r="R106" s="6">
        <f>LOG((C106/0.01)*10^($B$106))</f>
        <v>8.5</v>
      </c>
      <c r="S106" s="6">
        <f>LOG((D106/0.01)*10^($B$106))</f>
        <v>8.3450980400142569</v>
      </c>
      <c r="T106" s="6">
        <f>LOG((E106/0.01)*10^($B$106))</f>
        <v>8.1020599913279625</v>
      </c>
      <c r="U106" s="6">
        <f>LOG((F106/0.01)*10^($B$106))</f>
        <v>8.4030899869919438</v>
      </c>
      <c r="V106" s="6">
        <f>LOG((I106/0.01)*10^($B$106))</f>
        <v>8.3450980400142569</v>
      </c>
      <c r="W106" s="6">
        <f>LOG((J106/0.01)*10^($B$106))</f>
        <v>8.1020599913279625</v>
      </c>
      <c r="X106" s="6">
        <f>LOG((K106/0.01)*10^($B$106))</f>
        <v>8.3450980400142569</v>
      </c>
      <c r="Y106" s="6">
        <f>LOG((L106/0.01)*10^($B$106))</f>
        <v>8.4542425094393252</v>
      </c>
      <c r="Z106" s="6">
        <f>LOG((O106/0.01)*10^($B$106))</f>
        <v>7.9771212547196626</v>
      </c>
      <c r="AA106" s="6">
        <f>LOG((P106/0.01)*10^($B$106))</f>
        <v>8.3450980400142569</v>
      </c>
      <c r="AB106" s="6">
        <f t="shared" si="54"/>
        <v>8.2918965893863881</v>
      </c>
      <c r="AC106" s="6" t="s">
        <v>99</v>
      </c>
      <c r="AD106" s="5">
        <f>(C106/0.01)*10^($B$106)</f>
        <v>316227766.01683819</v>
      </c>
      <c r="AE106" s="5">
        <f>(D106/0.01)*10^($B$106)</f>
        <v>221359436.21178675</v>
      </c>
      <c r="AF106" s="5">
        <f>(E106/0.01)*10^($B$106)</f>
        <v>126491106.40673529</v>
      </c>
      <c r="AG106" s="5">
        <f>(F106/0.01)*10^($B$106)</f>
        <v>252982212.81347057</v>
      </c>
      <c r="AH106" s="5">
        <f>(I106/0.01)*10^($B$106)</f>
        <v>221359436.21178675</v>
      </c>
      <c r="AI106" s="5">
        <f>(J106/0.01)*10^($B$106)</f>
        <v>126491106.40673529</v>
      </c>
      <c r="AJ106" s="5">
        <f>(K106/0.01)*10^($B$106)</f>
        <v>221359436.21178675</v>
      </c>
      <c r="AK106" s="5">
        <f>(L106/0.01)*10^($B$106)</f>
        <v>284604989.4151544</v>
      </c>
      <c r="AL106" s="5">
        <f>(O106/0.01)*10^($B$106)</f>
        <v>94868329.805051461</v>
      </c>
      <c r="AM106" s="5">
        <f>(P106/0.01)*10^($B$106)</f>
        <v>221359436.21178675</v>
      </c>
      <c r="AN106" s="5">
        <f t="shared" si="52"/>
        <v>208710325.57111323</v>
      </c>
      <c r="AO106" s="6" t="s">
        <v>99</v>
      </c>
      <c r="AQ106" s="5">
        <v>5.5</v>
      </c>
      <c r="AR106" s="5">
        <v>11</v>
      </c>
      <c r="AS106" s="5">
        <v>8</v>
      </c>
      <c r="AT106" s="5">
        <v>5</v>
      </c>
      <c r="AU106" s="5">
        <v>8</v>
      </c>
      <c r="AV106" s="5">
        <v>7</v>
      </c>
      <c r="AW106" s="5">
        <v>8</v>
      </c>
      <c r="AX106" s="5">
        <v>6</v>
      </c>
      <c r="AY106" s="5">
        <v>8</v>
      </c>
      <c r="AZ106" s="5">
        <v>4</v>
      </c>
      <c r="BA106" s="5">
        <v>8</v>
      </c>
      <c r="BC106" s="5">
        <f t="shared" ref="BC106:BL106" si="66">(AR106/0.01)*10^($AQ$106)</f>
        <v>347850542.61852205</v>
      </c>
      <c r="BD106" s="5">
        <f t="shared" si="66"/>
        <v>252982212.81347057</v>
      </c>
      <c r="BE106" s="5">
        <f t="shared" si="66"/>
        <v>158113883.0084191</v>
      </c>
      <c r="BF106" s="5">
        <f t="shared" si="66"/>
        <v>252982212.81347057</v>
      </c>
      <c r="BG106" s="5">
        <f t="shared" si="66"/>
        <v>221359436.21178675</v>
      </c>
      <c r="BH106" s="5">
        <f t="shared" si="66"/>
        <v>252982212.81347057</v>
      </c>
      <c r="BI106" s="5">
        <f t="shared" si="66"/>
        <v>189736659.61010292</v>
      </c>
      <c r="BJ106" s="5">
        <f t="shared" si="66"/>
        <v>252982212.81347057</v>
      </c>
      <c r="BK106" s="5">
        <f t="shared" si="66"/>
        <v>126491106.40673529</v>
      </c>
      <c r="BL106" s="5">
        <f t="shared" si="66"/>
        <v>252982212.81347057</v>
      </c>
      <c r="BM106" s="5">
        <f t="shared" si="56"/>
        <v>230846269.19229189</v>
      </c>
      <c r="BN106" s="6" t="s">
        <v>99</v>
      </c>
    </row>
    <row r="107" spans="1:66" x14ac:dyDescent="0.25">
      <c r="A107" s="2"/>
      <c r="B107" s="2">
        <v>5</v>
      </c>
      <c r="C107" s="2">
        <v>20</v>
      </c>
      <c r="D107" s="2">
        <v>23</v>
      </c>
      <c r="E107" s="2">
        <v>21</v>
      </c>
      <c r="F107" s="2">
        <v>25</v>
      </c>
      <c r="G107" s="2"/>
      <c r="H107" s="2"/>
      <c r="I107" s="2">
        <v>15</v>
      </c>
      <c r="J107" s="2">
        <v>14</v>
      </c>
      <c r="K107" s="2">
        <v>24</v>
      </c>
      <c r="L107" s="2">
        <v>25</v>
      </c>
      <c r="M107" s="2"/>
      <c r="N107" s="2"/>
      <c r="O107" s="2">
        <v>22</v>
      </c>
      <c r="P107" s="2">
        <v>19</v>
      </c>
      <c r="Q107" s="2"/>
      <c r="R107" s="2">
        <f>LOG((C107/0.01)*10^($B$107))</f>
        <v>8.3010299956639813</v>
      </c>
      <c r="S107" s="2">
        <f>LOG((D107/0.01)*10^($B$107))</f>
        <v>8.3617278360175931</v>
      </c>
      <c r="T107" s="2">
        <f>LOG((E107/0.01)*10^($B$107))</f>
        <v>8.3222192947339195</v>
      </c>
      <c r="U107" s="2">
        <f>LOG((F107/0.01)*10^($B$107))</f>
        <v>8.3979400086720375</v>
      </c>
      <c r="V107" s="2">
        <f>LOG((I107/0.01)*10^($B$107))</f>
        <v>8.1760912590556813</v>
      </c>
      <c r="W107" s="2">
        <f>LOG((J107/0.01)*10^($B$107))</f>
        <v>8.1461280356782382</v>
      </c>
      <c r="X107" s="2">
        <f>LOG((K107/0.01)*10^($B$107))</f>
        <v>8.3802112417116064</v>
      </c>
      <c r="Y107" s="2">
        <f>LOG((L107/0.01)*10^($B$107))</f>
        <v>8.3979400086720375</v>
      </c>
      <c r="Z107" s="2">
        <f>LOG((O107/0.01)*10^($B$107))</f>
        <v>8.3424226808222066</v>
      </c>
      <c r="AA107" s="2">
        <f>LOG((P107/0.01)*10^($B$107))</f>
        <v>8.2787536009528289</v>
      </c>
      <c r="AB107" s="2">
        <f t="shared" si="54"/>
        <v>8.3104463961980137</v>
      </c>
      <c r="AC107" s="2" t="s">
        <v>99</v>
      </c>
      <c r="AD107" s="5">
        <f>(C107/0.01)*10^($B$107)</f>
        <v>200000000</v>
      </c>
      <c r="AE107" s="5">
        <f>(D107/0.01)*10^($B$107)</f>
        <v>230000000</v>
      </c>
      <c r="AF107" s="5">
        <f>(E107/0.01)*10^($B$107)</f>
        <v>210000000</v>
      </c>
      <c r="AG107" s="5">
        <f>(F107/0.01)*10^($B$107)</f>
        <v>250000000</v>
      </c>
      <c r="AH107" s="5">
        <f>(I107/0.01)*10^($B$107)</f>
        <v>150000000</v>
      </c>
      <c r="AI107" s="5">
        <f>(J107/0.01)*10^($B$107)</f>
        <v>140000000</v>
      </c>
      <c r="AJ107" s="5">
        <f>(K107/0.01)*10^($B$107)</f>
        <v>240000000</v>
      </c>
      <c r="AK107" s="5">
        <f>(L107/0.01)*10^($B$107)</f>
        <v>250000000</v>
      </c>
      <c r="AL107" s="5">
        <f>(O107/0.01)*10^($B$107)</f>
        <v>220000000</v>
      </c>
      <c r="AM107" s="5">
        <f>(P107/0.01)*10^($B$107)</f>
        <v>190000000</v>
      </c>
      <c r="AN107" s="5">
        <f t="shared" si="52"/>
        <v>208000000</v>
      </c>
      <c r="AO107" s="2" t="s">
        <v>99</v>
      </c>
      <c r="BM107" s="2"/>
      <c r="BN107" s="2" t="s">
        <v>99</v>
      </c>
    </row>
    <row r="108" spans="1:66" x14ac:dyDescent="0.25">
      <c r="A108" s="2" t="s">
        <v>100</v>
      </c>
      <c r="B108" s="2">
        <v>5</v>
      </c>
      <c r="C108" s="2">
        <v>14</v>
      </c>
      <c r="D108" s="2">
        <v>9</v>
      </c>
      <c r="E108" s="2">
        <v>14</v>
      </c>
      <c r="F108" s="2">
        <v>11</v>
      </c>
      <c r="G108" s="2"/>
      <c r="H108" s="2"/>
      <c r="I108" s="2">
        <v>14</v>
      </c>
      <c r="J108" s="2">
        <v>15</v>
      </c>
      <c r="K108" s="2">
        <v>11</v>
      </c>
      <c r="L108" s="2">
        <v>12</v>
      </c>
      <c r="M108" s="2"/>
      <c r="N108" s="2"/>
      <c r="O108" s="2">
        <v>14</v>
      </c>
      <c r="P108" s="2">
        <v>10</v>
      </c>
      <c r="Q108" s="2"/>
      <c r="R108" s="2">
        <f>LOG((C108/0.01)*10^($B$108))</f>
        <v>8.1461280356782382</v>
      </c>
      <c r="S108" s="2">
        <f>LOG((D108/0.01)*10^($B$108))</f>
        <v>7.9542425094393252</v>
      </c>
      <c r="T108" s="2">
        <f>LOG((E108/0.01)*10^($B$108))</f>
        <v>8.1461280356782382</v>
      </c>
      <c r="U108" s="2">
        <f>LOG((F108/0.01)*10^($B$108))</f>
        <v>8.0413926851582254</v>
      </c>
      <c r="V108" s="2">
        <f>LOG((I108/0.01)*10^($B$108))</f>
        <v>8.1461280356782382</v>
      </c>
      <c r="W108" s="2">
        <f>LOG((J108/0.01)*10^($B$108))</f>
        <v>8.1760912590556813</v>
      </c>
      <c r="X108" s="2">
        <f>LOG((K108/0.01)*10^($B$108))</f>
        <v>8.0413926851582254</v>
      </c>
      <c r="Y108" s="2">
        <f>LOG((L108/0.01)*10^($B$108))</f>
        <v>8.0791812460476251</v>
      </c>
      <c r="Z108" s="2">
        <f>LOG((O108/0.01)*10^($B$108))</f>
        <v>8.1461280356782382</v>
      </c>
      <c r="AA108" s="2">
        <f>LOG((P108/0.01)*10^($B$108))</f>
        <v>8</v>
      </c>
      <c r="AB108" s="2">
        <f t="shared" si="54"/>
        <v>8.0876812527572035</v>
      </c>
      <c r="AC108" s="2" t="s">
        <v>100</v>
      </c>
      <c r="AD108" s="5">
        <f>(C108/0.01)*10^($B$108)</f>
        <v>140000000</v>
      </c>
      <c r="AE108" s="5">
        <f>(D108/0.01)*10^($B$108)</f>
        <v>90000000</v>
      </c>
      <c r="AF108" s="5">
        <f>(E108/0.01)*10^($B$108)</f>
        <v>140000000</v>
      </c>
      <c r="AG108" s="5">
        <f>(F108/0.01)*10^($B$108)</f>
        <v>110000000</v>
      </c>
      <c r="AH108" s="5">
        <f>(I108/0.01)*10^($B$108)</f>
        <v>140000000</v>
      </c>
      <c r="AI108" s="5">
        <f>(J108/0.01)*10^($B$108)</f>
        <v>150000000</v>
      </c>
      <c r="AJ108" s="5">
        <f>(K108/0.01)*10^($B$108)</f>
        <v>110000000</v>
      </c>
      <c r="AK108" s="5">
        <f>(L108/0.01)*10^($B$108)</f>
        <v>120000000</v>
      </c>
      <c r="AL108" s="5">
        <f>(O108/0.01)*10^($B$108)</f>
        <v>140000000</v>
      </c>
      <c r="AM108" s="5">
        <f>(P108/0.01)*10^($B$108)</f>
        <v>100000000</v>
      </c>
      <c r="AN108" s="5">
        <f t="shared" si="52"/>
        <v>124000000</v>
      </c>
      <c r="AO108" s="2" t="s">
        <v>100</v>
      </c>
      <c r="AQ108" s="5">
        <v>5</v>
      </c>
      <c r="AR108" s="5">
        <v>12</v>
      </c>
      <c r="AS108" s="5">
        <v>9</v>
      </c>
      <c r="AT108" s="5">
        <v>10</v>
      </c>
      <c r="AU108" s="5">
        <v>11</v>
      </c>
      <c r="AV108" s="5">
        <v>13</v>
      </c>
      <c r="AW108" s="5">
        <v>13</v>
      </c>
      <c r="AX108" s="5">
        <v>9</v>
      </c>
      <c r="AY108" s="5">
        <v>11</v>
      </c>
      <c r="AZ108" s="5">
        <v>13</v>
      </c>
      <c r="BA108" s="5">
        <v>9</v>
      </c>
      <c r="BC108" s="5">
        <f t="shared" ref="BC108:BL108" si="67">(AR108/0.01)*10^($AQ$108)</f>
        <v>120000000</v>
      </c>
      <c r="BD108" s="5">
        <f t="shared" si="67"/>
        <v>90000000</v>
      </c>
      <c r="BE108" s="5">
        <f t="shared" si="67"/>
        <v>100000000</v>
      </c>
      <c r="BF108" s="5">
        <f t="shared" si="67"/>
        <v>110000000</v>
      </c>
      <c r="BG108" s="5">
        <f t="shared" si="67"/>
        <v>130000000</v>
      </c>
      <c r="BH108" s="5">
        <f t="shared" si="67"/>
        <v>130000000</v>
      </c>
      <c r="BI108" s="5">
        <f t="shared" si="67"/>
        <v>90000000</v>
      </c>
      <c r="BJ108" s="5">
        <f t="shared" si="67"/>
        <v>110000000</v>
      </c>
      <c r="BK108" s="5">
        <f t="shared" si="67"/>
        <v>130000000</v>
      </c>
      <c r="BL108" s="5">
        <f t="shared" si="67"/>
        <v>90000000</v>
      </c>
      <c r="BM108" s="2">
        <f t="shared" si="56"/>
        <v>110000000</v>
      </c>
      <c r="BN108" s="2" t="s">
        <v>100</v>
      </c>
    </row>
    <row r="109" spans="1:6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Q109" s="5">
        <v>5.5</v>
      </c>
      <c r="AR109" s="5">
        <v>7</v>
      </c>
      <c r="AS109" s="5">
        <v>2</v>
      </c>
      <c r="AT109" s="5">
        <v>3</v>
      </c>
      <c r="AU109" s="5">
        <v>5</v>
      </c>
      <c r="AV109" s="5">
        <v>5</v>
      </c>
      <c r="AW109" s="5">
        <v>7</v>
      </c>
      <c r="AX109" s="5">
        <v>4</v>
      </c>
      <c r="AY109" s="5">
        <v>5</v>
      </c>
      <c r="AZ109" s="5">
        <v>7</v>
      </c>
      <c r="BA109" s="5">
        <v>4</v>
      </c>
      <c r="BC109" s="5">
        <f t="shared" ref="BC109:BL109" si="68">(AR109/0.01)*10^($AQ$109)</f>
        <v>221359436.21178675</v>
      </c>
      <c r="BD109" s="5">
        <f t="shared" si="68"/>
        <v>63245553.203367643</v>
      </c>
      <c r="BE109" s="5">
        <f t="shared" si="68"/>
        <v>94868329.805051461</v>
      </c>
      <c r="BF109" s="5">
        <f t="shared" si="68"/>
        <v>158113883.0084191</v>
      </c>
      <c r="BG109" s="5">
        <f t="shared" si="68"/>
        <v>158113883.0084191</v>
      </c>
      <c r="BH109" s="5">
        <f t="shared" si="68"/>
        <v>221359436.21178675</v>
      </c>
      <c r="BI109" s="5">
        <f t="shared" si="68"/>
        <v>126491106.40673529</v>
      </c>
      <c r="BJ109" s="5">
        <f t="shared" si="68"/>
        <v>158113883.0084191</v>
      </c>
      <c r="BK109" s="5">
        <f t="shared" si="68"/>
        <v>221359436.21178675</v>
      </c>
      <c r="BL109" s="5">
        <f t="shared" si="68"/>
        <v>126491106.40673529</v>
      </c>
      <c r="BM109" s="5">
        <f t="shared" si="56"/>
        <v>154951605.34825072</v>
      </c>
      <c r="BN109" s="6"/>
    </row>
    <row r="110" spans="1:66" x14ac:dyDescent="0.25">
      <c r="A110" s="2" t="s">
        <v>101</v>
      </c>
      <c r="B110" s="2">
        <v>5.5</v>
      </c>
      <c r="C110" s="2">
        <v>9</v>
      </c>
      <c r="D110" s="2">
        <v>8</v>
      </c>
      <c r="E110" s="2">
        <v>13</v>
      </c>
      <c r="F110" s="2">
        <v>11</v>
      </c>
      <c r="G110" s="2"/>
      <c r="H110" s="2"/>
      <c r="I110" s="2">
        <v>8</v>
      </c>
      <c r="J110" s="2">
        <v>13</v>
      </c>
      <c r="K110" s="2">
        <v>7</v>
      </c>
      <c r="L110" s="2">
        <v>11</v>
      </c>
      <c r="M110" s="2"/>
      <c r="N110" s="2"/>
      <c r="O110" s="2">
        <v>12</v>
      </c>
      <c r="P110" s="2">
        <v>15</v>
      </c>
      <c r="Q110" s="2"/>
      <c r="R110" s="2">
        <f>LOG((C110/0.01)*10^($B$110))</f>
        <v>8.4542425094393252</v>
      </c>
      <c r="S110" s="2">
        <f>LOG((D110/0.01)*10^($B$110))</f>
        <v>8.4030899869919438</v>
      </c>
      <c r="T110" s="2">
        <f>LOG((E110/0.01)*10^($B$110))</f>
        <v>8.6139433523068369</v>
      </c>
      <c r="U110" s="2">
        <f>LOG((F110/0.01)*10^($B$110))</f>
        <v>8.5413926851582254</v>
      </c>
      <c r="V110" s="2">
        <f>LOG((I110/0.01)*10^($B$110))</f>
        <v>8.4030899869919438</v>
      </c>
      <c r="W110" s="2">
        <f>LOG((J110/0.01)*10^($B$110))</f>
        <v>8.6139433523068369</v>
      </c>
      <c r="X110" s="2">
        <f>LOG((K110/0.01)*10^($B$110))</f>
        <v>8.3450980400142569</v>
      </c>
      <c r="Y110" s="2">
        <f>LOG((L110/0.01)*10^($B$110))</f>
        <v>8.5413926851582254</v>
      </c>
      <c r="Z110" s="2">
        <f>LOG((O110/0.01)*10^($B$110))</f>
        <v>8.5791812460476251</v>
      </c>
      <c r="AA110" s="2">
        <f>LOG((P110/0.01)*10^($B$110))</f>
        <v>8.6760912590556813</v>
      </c>
      <c r="AB110" s="2">
        <f t="shared" si="54"/>
        <v>8.5171465103470894</v>
      </c>
      <c r="AC110" s="2" t="s">
        <v>101</v>
      </c>
      <c r="AD110" s="5">
        <f>(C110/0.01)*10^($B$110)</f>
        <v>284604989.4151544</v>
      </c>
      <c r="AE110" s="5">
        <f>(D110/0.01)*10^($B$110)</f>
        <v>252982212.81347057</v>
      </c>
      <c r="AF110" s="5">
        <f>(E110/0.01)*10^($B$110)</f>
        <v>411096095.82188964</v>
      </c>
      <c r="AG110" s="5">
        <f>(F110/0.01)*10^($B$110)</f>
        <v>347850542.61852205</v>
      </c>
      <c r="AH110" s="5">
        <f>(I110/0.01)*10^($B$110)</f>
        <v>252982212.81347057</v>
      </c>
      <c r="AI110" s="5">
        <f>(J110/0.01)*10^($B$110)</f>
        <v>411096095.82188964</v>
      </c>
      <c r="AJ110" s="5">
        <f>(K110/0.01)*10^($B$110)</f>
        <v>221359436.21178675</v>
      </c>
      <c r="AK110" s="5">
        <f>(L110/0.01)*10^($B$110)</f>
        <v>347850542.61852205</v>
      </c>
      <c r="AL110" s="5">
        <f>(O110/0.01)*10^($B$110)</f>
        <v>379473319.22020584</v>
      </c>
      <c r="AM110" s="5">
        <f>(P110/0.01)*10^($B$110)</f>
        <v>474341649.02525729</v>
      </c>
      <c r="AN110" s="5">
        <f t="shared" si="52"/>
        <v>338363709.63801688</v>
      </c>
      <c r="AO110" s="2" t="s">
        <v>101</v>
      </c>
      <c r="AQ110" s="5">
        <v>5.5</v>
      </c>
      <c r="AR110" s="5">
        <v>10</v>
      </c>
      <c r="AS110" s="5">
        <v>8</v>
      </c>
      <c r="AT110" s="5">
        <v>12</v>
      </c>
      <c r="AU110" s="5">
        <v>11</v>
      </c>
      <c r="AV110" s="5">
        <v>8</v>
      </c>
      <c r="AW110" s="5">
        <v>11</v>
      </c>
      <c r="AX110" s="5">
        <v>6</v>
      </c>
      <c r="AY110" s="5">
        <v>11</v>
      </c>
      <c r="AZ110" s="5">
        <v>11</v>
      </c>
      <c r="BA110" s="5">
        <v>15</v>
      </c>
      <c r="BC110" s="5">
        <f t="shared" ref="BC110:BL110" si="69">(AR110/0.01)*10^($AQ$110)</f>
        <v>316227766.01683819</v>
      </c>
      <c r="BD110" s="5">
        <f t="shared" si="69"/>
        <v>252982212.81347057</v>
      </c>
      <c r="BE110" s="5">
        <f t="shared" si="69"/>
        <v>379473319.22020584</v>
      </c>
      <c r="BF110" s="5">
        <f t="shared" si="69"/>
        <v>347850542.61852205</v>
      </c>
      <c r="BG110" s="5">
        <f t="shared" si="69"/>
        <v>252982212.81347057</v>
      </c>
      <c r="BH110" s="5">
        <f t="shared" si="69"/>
        <v>347850542.61852205</v>
      </c>
      <c r="BI110" s="5">
        <f t="shared" si="69"/>
        <v>189736659.61010292</v>
      </c>
      <c r="BJ110" s="5">
        <f t="shared" si="69"/>
        <v>347850542.61852205</v>
      </c>
      <c r="BK110" s="5">
        <f t="shared" si="69"/>
        <v>347850542.61852205</v>
      </c>
      <c r="BL110" s="5">
        <f t="shared" si="69"/>
        <v>474341649.02525729</v>
      </c>
      <c r="BM110" s="2">
        <f t="shared" si="56"/>
        <v>325714598.99734336</v>
      </c>
      <c r="BN110" s="2" t="s">
        <v>101</v>
      </c>
    </row>
    <row r="111" spans="1:66" x14ac:dyDescent="0.25">
      <c r="A111" s="6"/>
      <c r="B111" s="6">
        <v>5</v>
      </c>
      <c r="C111" s="6">
        <v>21</v>
      </c>
      <c r="D111" s="6">
        <v>30</v>
      </c>
      <c r="E111" s="6">
        <v>32</v>
      </c>
      <c r="F111" s="6">
        <v>25</v>
      </c>
      <c r="G111" s="6"/>
      <c r="H111" s="6"/>
      <c r="I111" s="6">
        <v>32</v>
      </c>
      <c r="J111" s="6">
        <v>29</v>
      </c>
      <c r="K111" s="6">
        <v>28</v>
      </c>
      <c r="L111" s="6">
        <v>27</v>
      </c>
      <c r="M111" s="6"/>
      <c r="N111" s="6"/>
      <c r="O111" s="6">
        <v>25</v>
      </c>
      <c r="P111" s="6">
        <v>21</v>
      </c>
      <c r="R111" s="6">
        <f>LOG((C111/0.01)*10^($B$111))</f>
        <v>8.3222192947339195</v>
      </c>
      <c r="S111" s="6">
        <f>LOG((D111/0.01)*10^($B$111))</f>
        <v>8.4771212547196626</v>
      </c>
      <c r="T111" s="6">
        <f>LOG((E111/0.01)*10^($B$111))</f>
        <v>8.5051499783199063</v>
      </c>
      <c r="U111" s="6">
        <f>LOG((F111/0.01)*10^($B$111))</f>
        <v>8.3979400086720375</v>
      </c>
      <c r="V111" s="6">
        <f>LOG((I111/0.01)*10^($B$111))</f>
        <v>8.5051499783199063</v>
      </c>
      <c r="W111" s="6">
        <f>LOG((J111/0.01)*10^($B$111))</f>
        <v>8.4623979978989556</v>
      </c>
      <c r="X111" s="6">
        <f>LOG((K111/0.01)*10^($B$111))</f>
        <v>8.4471580313422194</v>
      </c>
      <c r="Y111" s="6">
        <f>LOG((L111/0.01)*10^($B$111))</f>
        <v>8.4313637641589878</v>
      </c>
      <c r="Z111" s="6">
        <f>LOG((O111/0.01)*10^($B$111))</f>
        <v>8.3979400086720375</v>
      </c>
      <c r="AA111" s="6">
        <f>LOG((P111/0.01)*10^($B$111))</f>
        <v>8.3222192947339195</v>
      </c>
      <c r="AB111" s="6">
        <f t="shared" si="54"/>
        <v>8.4268659611571533</v>
      </c>
      <c r="AC111" s="6" t="s">
        <v>101</v>
      </c>
      <c r="AD111" s="5">
        <f>(C111/0.01)*10^($B$111)</f>
        <v>210000000</v>
      </c>
      <c r="AE111" s="5">
        <f>(D111/0.01)*10^($B$111)</f>
        <v>300000000</v>
      </c>
      <c r="AF111" s="5">
        <f>(E111/0.01)*10^($B$111)</f>
        <v>320000000</v>
      </c>
      <c r="AG111" s="5">
        <f>(F111/0.01)*10^($B$111)</f>
        <v>250000000</v>
      </c>
      <c r="AH111" s="5">
        <f>(I111/0.01)*10^($B$111)</f>
        <v>320000000</v>
      </c>
      <c r="AI111" s="5">
        <f>(J111/0.01)*10^($B$111)</f>
        <v>290000000</v>
      </c>
      <c r="AJ111" s="5">
        <f>(K111/0.01)*10^($B$111)</f>
        <v>280000000</v>
      </c>
      <c r="AK111" s="5">
        <f>(L111/0.01)*10^($B$111)</f>
        <v>270000000</v>
      </c>
      <c r="AL111" s="5">
        <f>(O111/0.01)*10^($B$111)</f>
        <v>250000000</v>
      </c>
      <c r="AM111" s="5">
        <f>(P111/0.01)*10^($B$111)</f>
        <v>210000000</v>
      </c>
      <c r="AN111" s="5">
        <f t="shared" si="52"/>
        <v>270000000</v>
      </c>
      <c r="AO111" s="6" t="s">
        <v>101</v>
      </c>
      <c r="AQ111" s="5">
        <v>6</v>
      </c>
      <c r="AR111" s="5">
        <v>3</v>
      </c>
      <c r="AS111" s="5">
        <v>2</v>
      </c>
      <c r="AT111" s="5">
        <v>4</v>
      </c>
      <c r="AU111" s="5">
        <v>2</v>
      </c>
      <c r="AV111" s="5">
        <v>3</v>
      </c>
      <c r="AW111" s="5">
        <v>1</v>
      </c>
      <c r="AX111" s="5">
        <v>4</v>
      </c>
      <c r="AY111" s="5">
        <v>3</v>
      </c>
      <c r="AZ111" s="5">
        <v>5</v>
      </c>
      <c r="BA111" s="5">
        <v>6</v>
      </c>
      <c r="BC111" s="5">
        <f t="shared" ref="BC111:BL111" si="70">(AR111/0.01)*10^($AQ$111)</f>
        <v>300000000</v>
      </c>
      <c r="BD111" s="5">
        <f t="shared" si="70"/>
        <v>200000000</v>
      </c>
      <c r="BE111" s="5">
        <f t="shared" si="70"/>
        <v>400000000</v>
      </c>
      <c r="BF111" s="5">
        <f t="shared" si="70"/>
        <v>200000000</v>
      </c>
      <c r="BG111" s="5">
        <f t="shared" si="70"/>
        <v>300000000</v>
      </c>
      <c r="BH111" s="5">
        <f t="shared" si="70"/>
        <v>100000000</v>
      </c>
      <c r="BI111" s="5">
        <f t="shared" si="70"/>
        <v>400000000</v>
      </c>
      <c r="BJ111" s="5">
        <f t="shared" si="70"/>
        <v>300000000</v>
      </c>
      <c r="BK111" s="5">
        <f t="shared" si="70"/>
        <v>500000000</v>
      </c>
      <c r="BL111" s="5">
        <f t="shared" si="70"/>
        <v>600000000</v>
      </c>
      <c r="BM111" s="5">
        <f t="shared" si="56"/>
        <v>330000000</v>
      </c>
      <c r="BN111" s="6" t="s">
        <v>101</v>
      </c>
    </row>
    <row r="112" spans="1:66" x14ac:dyDescent="0.25">
      <c r="A112" s="6" t="s">
        <v>102</v>
      </c>
      <c r="B112" s="6">
        <v>6</v>
      </c>
      <c r="C112" s="6">
        <v>7</v>
      </c>
      <c r="D112" s="6">
        <v>3</v>
      </c>
      <c r="E112" s="6">
        <v>9</v>
      </c>
      <c r="F112" s="6">
        <v>7</v>
      </c>
      <c r="G112" s="6"/>
      <c r="H112" s="6"/>
      <c r="I112" s="6">
        <v>5</v>
      </c>
      <c r="J112" s="6">
        <v>6</v>
      </c>
      <c r="K112" s="6">
        <v>5</v>
      </c>
      <c r="L112" s="6">
        <v>6</v>
      </c>
      <c r="M112" s="6"/>
      <c r="N112" s="6"/>
      <c r="O112" s="6">
        <v>9</v>
      </c>
      <c r="P112" s="6">
        <v>10</v>
      </c>
      <c r="R112" s="6">
        <f>LOG((C112/0.01)*10^($B$112))</f>
        <v>8.8450980400142569</v>
      </c>
      <c r="S112" s="6">
        <f>LOG((D112/0.01)*10^($B$112))</f>
        <v>8.4771212547196626</v>
      </c>
      <c r="T112" s="6">
        <f>LOG((E112/0.01)*10^($B$112))</f>
        <v>8.9542425094393252</v>
      </c>
      <c r="U112" s="6">
        <f>LOG((F112/0.01)*10^($B$112))</f>
        <v>8.8450980400142569</v>
      </c>
      <c r="V112" s="6">
        <f>LOG((I112/0.01)*10^($B$112))</f>
        <v>8.6989700043360187</v>
      </c>
      <c r="W112" s="6">
        <f>LOG((J112/0.01)*10^($B$112))</f>
        <v>8.7781512503836439</v>
      </c>
      <c r="X112" s="6">
        <f>LOG((K112/0.01)*10^($B$112))</f>
        <v>8.6989700043360187</v>
      </c>
      <c r="Y112" s="6">
        <f>LOG((L112/0.01)*10^($B$112))</f>
        <v>8.7781512503836439</v>
      </c>
      <c r="Z112" s="6">
        <f>LOG((O112/0.01)*10^($B$112))</f>
        <v>8.9542425094393252</v>
      </c>
      <c r="AA112" s="6">
        <f>LOG((P112/0.01)*10^($B$112))</f>
        <v>9</v>
      </c>
      <c r="AB112" s="6">
        <f t="shared" si="54"/>
        <v>8.8030044863066159</v>
      </c>
      <c r="AC112" s="6" t="s">
        <v>102</v>
      </c>
      <c r="AD112" s="5">
        <f>(C112/0.01)*10^($B$112)</f>
        <v>700000000</v>
      </c>
      <c r="AE112" s="5">
        <f>(D112/0.01)*10^($B$112)</f>
        <v>300000000</v>
      </c>
      <c r="AF112" s="5">
        <f>(E112/0.01)*10^($B$112)</f>
        <v>900000000</v>
      </c>
      <c r="AG112" s="5">
        <f>(F112/0.01)*10^($B$112)</f>
        <v>700000000</v>
      </c>
      <c r="AH112" s="5">
        <f>(I112/0.01)*10^($B$112)</f>
        <v>500000000</v>
      </c>
      <c r="AI112" s="5">
        <f>(J112/0.01)*10^($B$112)</f>
        <v>600000000</v>
      </c>
      <c r="AJ112" s="5">
        <f>(K112/0.01)*10^($B$112)</f>
        <v>500000000</v>
      </c>
      <c r="AK112" s="5">
        <f>(L112/0.01)*10^($B$112)</f>
        <v>600000000</v>
      </c>
      <c r="AL112" s="5">
        <f>(O112/0.01)*10^($B$112)</f>
        <v>900000000</v>
      </c>
      <c r="AM112" s="5">
        <f>(P112/0.01)*10^($B$112)</f>
        <v>1000000000</v>
      </c>
      <c r="AN112" s="5">
        <f t="shared" si="52"/>
        <v>670000000</v>
      </c>
      <c r="AO112" s="6" t="s">
        <v>102</v>
      </c>
      <c r="AQ112" s="5">
        <v>6</v>
      </c>
      <c r="AR112" s="5">
        <v>6</v>
      </c>
      <c r="AS112" s="5">
        <v>4</v>
      </c>
      <c r="AT112" s="5">
        <v>9</v>
      </c>
      <c r="AU112" s="5">
        <v>6</v>
      </c>
      <c r="AV112" s="5">
        <v>6</v>
      </c>
      <c r="AW112" s="5">
        <v>7</v>
      </c>
      <c r="AX112" s="5">
        <v>5</v>
      </c>
      <c r="AY112" s="5">
        <v>5</v>
      </c>
      <c r="AZ112" s="5">
        <v>8</v>
      </c>
      <c r="BA112" s="5">
        <v>10</v>
      </c>
      <c r="BC112" s="5">
        <f t="shared" ref="BC112:BL112" si="71">(AR112/0.01)*10^($AQ$112)</f>
        <v>600000000</v>
      </c>
      <c r="BD112" s="5">
        <f t="shared" si="71"/>
        <v>400000000</v>
      </c>
      <c r="BE112" s="5">
        <f t="shared" si="71"/>
        <v>900000000</v>
      </c>
      <c r="BF112" s="5">
        <f t="shared" si="71"/>
        <v>600000000</v>
      </c>
      <c r="BG112" s="5">
        <f t="shared" si="71"/>
        <v>600000000</v>
      </c>
      <c r="BH112" s="5">
        <f t="shared" si="71"/>
        <v>700000000</v>
      </c>
      <c r="BI112" s="5">
        <f t="shared" si="71"/>
        <v>500000000</v>
      </c>
      <c r="BJ112" s="5">
        <f t="shared" si="71"/>
        <v>500000000</v>
      </c>
      <c r="BK112" s="5">
        <f t="shared" si="71"/>
        <v>800000000</v>
      </c>
      <c r="BL112" s="5">
        <f t="shared" si="71"/>
        <v>1000000000</v>
      </c>
      <c r="BM112" s="5">
        <f t="shared" si="56"/>
        <v>660000000</v>
      </c>
      <c r="BN112" s="6" t="s">
        <v>102</v>
      </c>
    </row>
    <row r="113" spans="1:66" x14ac:dyDescent="0.25">
      <c r="A113" s="2"/>
      <c r="B113" s="2">
        <v>5.5</v>
      </c>
      <c r="C113" s="2">
        <v>16</v>
      </c>
      <c r="D113" s="2">
        <v>9</v>
      </c>
      <c r="E113" s="2">
        <v>23</v>
      </c>
      <c r="F113" s="2">
        <v>21</v>
      </c>
      <c r="G113" s="2"/>
      <c r="H113" s="2"/>
      <c r="I113" s="2">
        <v>22</v>
      </c>
      <c r="J113" s="2">
        <v>14</v>
      </c>
      <c r="K113" s="2">
        <v>19</v>
      </c>
      <c r="L113" s="2">
        <v>22</v>
      </c>
      <c r="M113" s="2"/>
      <c r="N113" s="2"/>
      <c r="O113" s="2">
        <v>20</v>
      </c>
      <c r="P113" s="2">
        <v>19</v>
      </c>
      <c r="Q113" s="2"/>
      <c r="R113" s="2">
        <f t="shared" ref="R113:U114" si="72">LOG((C113/0.01)*10^($B$113))</f>
        <v>8.704119982655925</v>
      </c>
      <c r="S113" s="2">
        <f t="shared" si="72"/>
        <v>8.4542425094393252</v>
      </c>
      <c r="T113" s="2">
        <f t="shared" si="72"/>
        <v>8.8617278360175931</v>
      </c>
      <c r="U113" s="2">
        <f t="shared" si="72"/>
        <v>8.8222192947339195</v>
      </c>
      <c r="V113" s="2">
        <f t="shared" ref="V113:Y114" si="73">LOG((I113/0.01)*10^($B$113))</f>
        <v>8.8424226808222066</v>
      </c>
      <c r="W113" s="2">
        <f t="shared" si="73"/>
        <v>8.6461280356782382</v>
      </c>
      <c r="X113" s="2">
        <f t="shared" si="73"/>
        <v>8.7787536009528289</v>
      </c>
      <c r="Y113" s="2">
        <f t="shared" si="73"/>
        <v>8.8424226808222066</v>
      </c>
      <c r="Z113" s="2">
        <f>LOG((O113/0.01)*10^($B$113))</f>
        <v>8.8010299956639813</v>
      </c>
      <c r="AA113" s="2">
        <f>LOG((P113/0.01)*10^($B$113))</f>
        <v>8.7787536009528289</v>
      </c>
      <c r="AB113" s="2">
        <f t="shared" si="54"/>
        <v>8.753182021773906</v>
      </c>
      <c r="AC113" s="2" t="s">
        <v>102</v>
      </c>
      <c r="AD113" s="5">
        <f>(C113/0.01)*10^($B$113)</f>
        <v>505964425.62694114</v>
      </c>
      <c r="AE113" s="5">
        <f>(D113/0.01)*10^($B$113)</f>
        <v>284604989.4151544</v>
      </c>
      <c r="AF113" s="5">
        <f>(E113/0.01)*10^($B$113)</f>
        <v>727323861.83872783</v>
      </c>
      <c r="AG113" s="5">
        <f>(F113/0.01)*10^($B$113)</f>
        <v>664078308.63536024</v>
      </c>
      <c r="AH113" s="5">
        <f>(I113/0.01)*10^($B$113)</f>
        <v>695701085.2370441</v>
      </c>
      <c r="AI113" s="5">
        <f>(J113/0.01)*10^($B$113)</f>
        <v>442718872.42357349</v>
      </c>
      <c r="AJ113" s="5">
        <f>(K113/0.01)*10^($B$113)</f>
        <v>600832755.43199253</v>
      </c>
      <c r="AK113" s="5">
        <f>(L113/0.01)*10^($B$113)</f>
        <v>695701085.2370441</v>
      </c>
      <c r="AL113" s="5">
        <f>(O113/0.01)*10^($B$113)</f>
        <v>632455532.03367639</v>
      </c>
      <c r="AM113" s="5">
        <f>(P113/0.01)*10^($B$113)</f>
        <v>600832755.43199253</v>
      </c>
      <c r="AN113" s="5">
        <f t="shared" si="52"/>
        <v>585021367.13115072</v>
      </c>
      <c r="AO113" s="2" t="s">
        <v>102</v>
      </c>
      <c r="BM113" s="2"/>
      <c r="BN113" s="2" t="s">
        <v>102</v>
      </c>
    </row>
    <row r="114" spans="1:66" x14ac:dyDescent="0.25">
      <c r="A114" s="6" t="s">
        <v>103</v>
      </c>
      <c r="B114" s="6">
        <v>5.5</v>
      </c>
      <c r="C114" s="6">
        <v>9</v>
      </c>
      <c r="D114" s="6">
        <v>8</v>
      </c>
      <c r="E114" s="6">
        <v>12</v>
      </c>
      <c r="F114" s="6">
        <v>14</v>
      </c>
      <c r="G114" s="6"/>
      <c r="H114" s="6"/>
      <c r="I114" s="6">
        <v>6</v>
      </c>
      <c r="J114" s="6">
        <v>9</v>
      </c>
      <c r="K114" s="6">
        <v>10</v>
      </c>
      <c r="L114" s="6">
        <v>11</v>
      </c>
      <c r="M114" s="6"/>
      <c r="N114" s="6"/>
      <c r="O114" s="6">
        <v>4</v>
      </c>
      <c r="P114" s="6">
        <v>5</v>
      </c>
      <c r="R114" s="6">
        <f t="shared" si="72"/>
        <v>8.4542425094393252</v>
      </c>
      <c r="S114" s="6">
        <f t="shared" si="72"/>
        <v>8.4030899869919438</v>
      </c>
      <c r="T114" s="6">
        <f t="shared" si="72"/>
        <v>8.5791812460476251</v>
      </c>
      <c r="U114" s="6">
        <f t="shared" si="72"/>
        <v>8.6461280356782382</v>
      </c>
      <c r="V114" s="6">
        <f t="shared" si="73"/>
        <v>8.2781512503836439</v>
      </c>
      <c r="W114" s="6">
        <f t="shared" si="73"/>
        <v>8.4542425094393252</v>
      </c>
      <c r="X114" s="6">
        <f t="shared" si="73"/>
        <v>8.5</v>
      </c>
      <c r="Y114" s="6">
        <f t="shared" si="73"/>
        <v>8.5413926851582254</v>
      </c>
      <c r="Z114" s="6">
        <f>LOG((O114/0.01)*10^($B$113))</f>
        <v>8.1020599913279625</v>
      </c>
      <c r="AA114" s="6">
        <f>LOG((P114/0.01)*10^($B$113))</f>
        <v>8.1989700043360187</v>
      </c>
      <c r="AB114" s="6">
        <f t="shared" si="54"/>
        <v>8.4157458218802308</v>
      </c>
      <c r="AC114" s="6" t="s">
        <v>103</v>
      </c>
      <c r="AD114" s="5">
        <f>(C114/0.01)*10^($B$114)</f>
        <v>284604989.4151544</v>
      </c>
      <c r="AE114" s="5">
        <f>(D114/0.01)*10^($B$114)</f>
        <v>252982212.81347057</v>
      </c>
      <c r="AF114" s="5">
        <f>(E114/0.01)*10^($B$114)</f>
        <v>379473319.22020584</v>
      </c>
      <c r="AG114" s="5">
        <f>(F114/0.01)*10^($B$114)</f>
        <v>442718872.42357349</v>
      </c>
      <c r="AH114" s="5">
        <f>(I114/0.01)*10^($B$114)</f>
        <v>189736659.61010292</v>
      </c>
      <c r="AI114" s="5">
        <f>(J114/0.01)*10^($B$114)</f>
        <v>284604989.4151544</v>
      </c>
      <c r="AJ114" s="5">
        <f>(K114/0.01)*10^($B$114)</f>
        <v>316227766.01683819</v>
      </c>
      <c r="AK114" s="5">
        <f>(L114/0.01)*10^($B$114)</f>
        <v>347850542.61852205</v>
      </c>
      <c r="AL114" s="5">
        <f>(O114/0.01)*10^($B$114)</f>
        <v>126491106.40673529</v>
      </c>
      <c r="AM114" s="5">
        <f>(P114/0.01)*10^($B$114)</f>
        <v>158113883.0084191</v>
      </c>
      <c r="AN114" s="5">
        <f t="shared" si="52"/>
        <v>278280434.09481764</v>
      </c>
      <c r="AO114" s="6" t="s">
        <v>103</v>
      </c>
      <c r="AQ114" s="5">
        <v>5.5</v>
      </c>
      <c r="AR114" s="5">
        <v>12</v>
      </c>
      <c r="AS114" s="5">
        <v>6</v>
      </c>
      <c r="AT114" s="5">
        <v>12</v>
      </c>
      <c r="AU114" s="5">
        <v>13</v>
      </c>
      <c r="AV114" s="5">
        <v>6</v>
      </c>
      <c r="AW114" s="5">
        <v>11</v>
      </c>
      <c r="AX114" s="5">
        <v>11</v>
      </c>
      <c r="AY114" s="5">
        <v>11</v>
      </c>
      <c r="AZ114" s="5">
        <v>4</v>
      </c>
      <c r="BA114" s="5">
        <v>7</v>
      </c>
      <c r="BC114" s="5">
        <f t="shared" ref="BC114:BL114" si="74">(AR114/0.01)*10^($AQ$114)</f>
        <v>379473319.22020584</v>
      </c>
      <c r="BD114" s="5">
        <f t="shared" si="74"/>
        <v>189736659.61010292</v>
      </c>
      <c r="BE114" s="5">
        <f t="shared" si="74"/>
        <v>379473319.22020584</v>
      </c>
      <c r="BF114" s="5">
        <f t="shared" si="74"/>
        <v>411096095.82188964</v>
      </c>
      <c r="BG114" s="5">
        <f t="shared" si="74"/>
        <v>189736659.61010292</v>
      </c>
      <c r="BH114" s="5">
        <f t="shared" si="74"/>
        <v>347850542.61852205</v>
      </c>
      <c r="BI114" s="5">
        <f t="shared" si="74"/>
        <v>347850542.61852205</v>
      </c>
      <c r="BJ114" s="5">
        <f t="shared" si="74"/>
        <v>347850542.61852205</v>
      </c>
      <c r="BK114" s="5">
        <f t="shared" si="74"/>
        <v>126491106.40673529</v>
      </c>
      <c r="BL114" s="5">
        <f t="shared" si="74"/>
        <v>221359436.21178675</v>
      </c>
      <c r="BM114" s="5">
        <f t="shared" si="56"/>
        <v>294091822.39565957</v>
      </c>
      <c r="BN114" s="6" t="s">
        <v>103</v>
      </c>
    </row>
    <row r="115" spans="1:66" x14ac:dyDescent="0.25">
      <c r="A115" s="2"/>
      <c r="B115" s="2">
        <v>5</v>
      </c>
      <c r="C115" s="2">
        <v>17</v>
      </c>
      <c r="D115" s="2">
        <v>17</v>
      </c>
      <c r="E115" s="2">
        <v>19</v>
      </c>
      <c r="F115" s="2">
        <v>17</v>
      </c>
      <c r="G115" s="2"/>
      <c r="H115" s="2"/>
      <c r="I115" s="2">
        <v>21</v>
      </c>
      <c r="J115" s="2">
        <v>15</v>
      </c>
      <c r="K115" s="2">
        <v>21</v>
      </c>
      <c r="L115" s="2">
        <v>19</v>
      </c>
      <c r="M115" s="2"/>
      <c r="N115" s="2"/>
      <c r="O115" s="2">
        <v>22</v>
      </c>
      <c r="P115" s="2">
        <v>18</v>
      </c>
      <c r="Q115" s="2"/>
      <c r="R115" s="2">
        <f>LOG((C115/0.01)*10^($B$115))</f>
        <v>8.2304489213782741</v>
      </c>
      <c r="S115" s="2">
        <f>LOG((D115/0.01)*10^($B$115))</f>
        <v>8.2304489213782741</v>
      </c>
      <c r="T115" s="2">
        <f>LOG((E115/0.01)*10^($B$115))</f>
        <v>8.2787536009528289</v>
      </c>
      <c r="U115" s="2">
        <f>LOG((F115/0.01)*10^($B$115))</f>
        <v>8.2304489213782741</v>
      </c>
      <c r="V115" s="2">
        <f>LOG((I115/0.01)*10^($B$115))</f>
        <v>8.3222192947339195</v>
      </c>
      <c r="W115" s="2">
        <f>LOG((J115/0.01)*10^($B$115))</f>
        <v>8.1760912590556813</v>
      </c>
      <c r="X115" s="2">
        <f>LOG((K115/0.01)*10^($B$115))</f>
        <v>8.3222192947339195</v>
      </c>
      <c r="Y115" s="2">
        <f>LOG((L115/0.01)*10^($B$115))</f>
        <v>8.2787536009528289</v>
      </c>
      <c r="Z115" s="2">
        <f>LOG((O115/0.01)*10^($B$115))</f>
        <v>8.3424226808222066</v>
      </c>
      <c r="AA115" s="2">
        <f>LOG((P115/0.01)*10^($B$115))</f>
        <v>8.2552725051033065</v>
      </c>
      <c r="AB115" s="2">
        <f t="shared" si="54"/>
        <v>8.266707900048953</v>
      </c>
      <c r="AC115" s="2" t="s">
        <v>103</v>
      </c>
      <c r="AD115" s="5">
        <f>(C115/0.01)*10^($B$115)</f>
        <v>170000000</v>
      </c>
      <c r="AE115" s="5">
        <f>(D115/0.01)*10^($B$115)</f>
        <v>170000000</v>
      </c>
      <c r="AF115" s="5">
        <f>(E115/0.01)*10^($B$115)</f>
        <v>190000000</v>
      </c>
      <c r="AG115" s="5">
        <f>(F115/0.01)*10^($B$115)</f>
        <v>170000000</v>
      </c>
      <c r="AH115" s="5">
        <f>(I115/0.01)*10^($B$115)</f>
        <v>210000000</v>
      </c>
      <c r="AI115" s="5">
        <f>(J115/0.01)*10^($B$115)</f>
        <v>150000000</v>
      </c>
      <c r="AJ115" s="5">
        <f>(K115/0.01)*10^($B$115)</f>
        <v>210000000</v>
      </c>
      <c r="AK115" s="5">
        <f>(L115/0.01)*10^($B$115)</f>
        <v>190000000</v>
      </c>
      <c r="AL115" s="5">
        <f>(O115/0.01)*10^($B$115)</f>
        <v>220000000</v>
      </c>
      <c r="AM115" s="5">
        <f>(P115/0.01)*10^($B$115)</f>
        <v>180000000</v>
      </c>
      <c r="AN115" s="5">
        <f t="shared" si="52"/>
        <v>186000000</v>
      </c>
      <c r="AO115" s="2" t="s">
        <v>103</v>
      </c>
      <c r="AQ115" s="5">
        <v>6</v>
      </c>
      <c r="AR115" s="5">
        <v>2</v>
      </c>
      <c r="AS115" s="5">
        <v>6</v>
      </c>
      <c r="AT115" s="5">
        <v>2</v>
      </c>
      <c r="AU115" s="5">
        <v>7</v>
      </c>
      <c r="AV115" s="5">
        <v>5</v>
      </c>
      <c r="AW115" s="5">
        <v>4</v>
      </c>
      <c r="AX115" s="5">
        <v>3</v>
      </c>
      <c r="AY115" s="5">
        <v>3</v>
      </c>
      <c r="AZ115" s="5">
        <v>7</v>
      </c>
      <c r="BA115" s="5">
        <v>2</v>
      </c>
      <c r="BC115" s="5">
        <f t="shared" ref="BC115:BL115" si="75">(AR115/0.01)*10^($AQ$115)</f>
        <v>200000000</v>
      </c>
      <c r="BD115" s="5">
        <f t="shared" si="75"/>
        <v>600000000</v>
      </c>
      <c r="BE115" s="5">
        <f t="shared" si="75"/>
        <v>200000000</v>
      </c>
      <c r="BF115" s="5">
        <f t="shared" si="75"/>
        <v>700000000</v>
      </c>
      <c r="BG115" s="5">
        <f t="shared" si="75"/>
        <v>500000000</v>
      </c>
      <c r="BH115" s="5">
        <f t="shared" si="75"/>
        <v>400000000</v>
      </c>
      <c r="BI115" s="5">
        <f t="shared" si="75"/>
        <v>300000000</v>
      </c>
      <c r="BJ115" s="5">
        <f t="shared" si="75"/>
        <v>300000000</v>
      </c>
      <c r="BK115" s="5">
        <f t="shared" si="75"/>
        <v>700000000</v>
      </c>
      <c r="BL115" s="5">
        <f t="shared" si="75"/>
        <v>200000000</v>
      </c>
      <c r="BM115" s="2">
        <f t="shared" si="56"/>
        <v>410000000</v>
      </c>
      <c r="BN115" s="2" t="s">
        <v>103</v>
      </c>
    </row>
    <row r="116" spans="1:66" x14ac:dyDescent="0.25">
      <c r="A116" s="5" t="s">
        <v>104</v>
      </c>
      <c r="B116" s="6">
        <v>6</v>
      </c>
      <c r="C116" s="6">
        <v>4</v>
      </c>
      <c r="D116" s="6">
        <v>6</v>
      </c>
      <c r="E116" s="6">
        <v>4</v>
      </c>
      <c r="F116" s="6">
        <v>2</v>
      </c>
      <c r="G116" s="6"/>
      <c r="H116" s="6"/>
      <c r="I116" s="6">
        <v>4</v>
      </c>
      <c r="J116" s="6">
        <v>7</v>
      </c>
      <c r="K116" s="6">
        <v>5</v>
      </c>
      <c r="L116" s="6">
        <v>10</v>
      </c>
      <c r="M116" s="6"/>
      <c r="N116" s="6"/>
      <c r="O116" s="6">
        <v>2</v>
      </c>
      <c r="P116" s="6">
        <v>5</v>
      </c>
      <c r="R116" s="6">
        <f>LOG((C116/0.01)*10^($B$116))</f>
        <v>8.6020599913279625</v>
      </c>
      <c r="S116" s="6">
        <f>LOG((D116/0.01)*10^($B$116))</f>
        <v>8.7781512503836439</v>
      </c>
      <c r="T116" s="6">
        <f>LOG((E116/0.01)*10^($B$116))</f>
        <v>8.6020599913279625</v>
      </c>
      <c r="U116" s="6">
        <f>LOG((F116/0.01)*10^($B$116))</f>
        <v>8.3010299956639813</v>
      </c>
      <c r="V116" s="6">
        <f>LOG((I116/0.01)*10^($B$116))</f>
        <v>8.6020599913279625</v>
      </c>
      <c r="W116" s="6">
        <f>LOG((J116/0.01)*10^($B$116))</f>
        <v>8.8450980400142569</v>
      </c>
      <c r="X116" s="6">
        <f>LOG((K116/0.01)*10^($B$116))</f>
        <v>8.6989700043360187</v>
      </c>
      <c r="Y116" s="6">
        <f>LOG((L116/0.01)*10^($B$116))</f>
        <v>9</v>
      </c>
      <c r="Z116" s="6">
        <f>LOG((O116/0.01)*10^($B$116))</f>
        <v>8.3010299956639813</v>
      </c>
      <c r="AA116" s="6">
        <f>LOG((P116/0.01)*10^($B$116))</f>
        <v>8.6989700043360187</v>
      </c>
      <c r="AB116" s="6">
        <f t="shared" si="54"/>
        <v>8.6429429264381774</v>
      </c>
      <c r="AC116" s="5" t="s">
        <v>104</v>
      </c>
      <c r="AD116" s="5">
        <f>(C116/0.01)*10^($B$116)</f>
        <v>400000000</v>
      </c>
      <c r="AE116" s="5">
        <f>(D116/0.01)*10^($B$116)</f>
        <v>600000000</v>
      </c>
      <c r="AF116" s="5">
        <f>(E116/0.01)*10^($B$116)</f>
        <v>400000000</v>
      </c>
      <c r="AG116" s="5">
        <f>(F116/0.01)*10^($B$116)</f>
        <v>200000000</v>
      </c>
      <c r="AH116" s="5">
        <f>(I116/0.01)*10^($B$116)</f>
        <v>400000000</v>
      </c>
      <c r="AI116" s="5">
        <f>(J116/0.01)*10^($B$116)</f>
        <v>700000000</v>
      </c>
      <c r="AJ116" s="5">
        <f>(K116/0.01)*10^($B$116)</f>
        <v>500000000</v>
      </c>
      <c r="AK116" s="5">
        <f>(L116/0.01)*10^($B$116)</f>
        <v>1000000000</v>
      </c>
      <c r="AL116" s="5">
        <f>(O116/0.01)*10^($B$116)</f>
        <v>200000000</v>
      </c>
      <c r="AM116" s="5">
        <f>(P116/0.01)*10^($B$116)</f>
        <v>500000000</v>
      </c>
      <c r="AN116" s="5">
        <f t="shared" si="52"/>
        <v>490000000</v>
      </c>
      <c r="AO116" s="5" t="s">
        <v>104</v>
      </c>
      <c r="AQ116" s="5">
        <v>6</v>
      </c>
      <c r="AR116" s="5">
        <v>4</v>
      </c>
      <c r="AS116" s="5">
        <v>6</v>
      </c>
      <c r="AT116" s="5">
        <v>4</v>
      </c>
      <c r="AU116" s="5">
        <v>2</v>
      </c>
      <c r="AV116" s="5">
        <v>4</v>
      </c>
      <c r="AW116" s="5">
        <v>7</v>
      </c>
      <c r="AX116" s="5">
        <v>5</v>
      </c>
      <c r="AY116" s="5">
        <v>10</v>
      </c>
      <c r="AZ116" s="5">
        <v>2</v>
      </c>
      <c r="BA116" s="5">
        <v>5</v>
      </c>
      <c r="BC116" s="5">
        <f t="shared" ref="BC116:BL116" si="76">(AR116/0.01)*10^($AQ$116)</f>
        <v>400000000</v>
      </c>
      <c r="BD116" s="5">
        <f t="shared" si="76"/>
        <v>600000000</v>
      </c>
      <c r="BE116" s="5">
        <f t="shared" si="76"/>
        <v>400000000</v>
      </c>
      <c r="BF116" s="5">
        <f t="shared" si="76"/>
        <v>200000000</v>
      </c>
      <c r="BG116" s="5">
        <f t="shared" si="76"/>
        <v>400000000</v>
      </c>
      <c r="BH116" s="5">
        <f t="shared" si="76"/>
        <v>700000000</v>
      </c>
      <c r="BI116" s="5">
        <f t="shared" si="76"/>
        <v>500000000</v>
      </c>
      <c r="BJ116" s="5">
        <f t="shared" si="76"/>
        <v>1000000000</v>
      </c>
      <c r="BK116" s="5">
        <f t="shared" si="76"/>
        <v>200000000</v>
      </c>
      <c r="BL116" s="5">
        <f t="shared" si="76"/>
        <v>500000000</v>
      </c>
      <c r="BM116" s="5">
        <f t="shared" si="56"/>
        <v>490000000</v>
      </c>
      <c r="BN116" s="5" t="s">
        <v>104</v>
      </c>
    </row>
    <row r="117" spans="1:66" x14ac:dyDescent="0.25">
      <c r="A117" s="2"/>
      <c r="B117" s="2">
        <v>5.5</v>
      </c>
      <c r="C117" s="2">
        <v>20</v>
      </c>
      <c r="D117" s="2">
        <v>19</v>
      </c>
      <c r="E117" s="2">
        <v>23</v>
      </c>
      <c r="F117" s="2">
        <v>18</v>
      </c>
      <c r="G117" s="2"/>
      <c r="H117" s="2"/>
      <c r="I117" s="2">
        <v>22</v>
      </c>
      <c r="J117" s="2">
        <v>21</v>
      </c>
      <c r="K117" s="2">
        <v>19</v>
      </c>
      <c r="L117" s="2">
        <v>24</v>
      </c>
      <c r="M117" s="2"/>
      <c r="N117" s="2"/>
      <c r="O117" s="2">
        <v>13</v>
      </c>
      <c r="P117" s="2">
        <v>19</v>
      </c>
      <c r="Q117" s="2"/>
      <c r="R117" s="2">
        <f>LOG((C117/0.01)*10^($B$117))</f>
        <v>8.8010299956639813</v>
      </c>
      <c r="S117" s="2">
        <f>LOG((D117/0.01)*10^($B$117))</f>
        <v>8.7787536009528289</v>
      </c>
      <c r="T117" s="2">
        <f>LOG((E117/0.01)*10^($B$117))</f>
        <v>8.8617278360175931</v>
      </c>
      <c r="U117" s="2">
        <f>LOG((F117/0.01)*10^($B$117))</f>
        <v>8.7552725051033065</v>
      </c>
      <c r="V117" s="2">
        <f>LOG((I117/0.01)*10^($B$117))</f>
        <v>8.8424226808222066</v>
      </c>
      <c r="W117" s="2">
        <f>LOG((J117/0.01)*10^($B$117))</f>
        <v>8.8222192947339195</v>
      </c>
      <c r="X117" s="2">
        <f>LOG((K117/0.01)*10^($B$117))</f>
        <v>8.7787536009528289</v>
      </c>
      <c r="Y117" s="2">
        <f>LOG((L117/0.01)*10^($B$117))</f>
        <v>8.8802112417116064</v>
      </c>
      <c r="Z117" s="2">
        <f>LOG((O117/0.01)*10^($B$117))</f>
        <v>8.6139433523068369</v>
      </c>
      <c r="AA117" s="2">
        <f>LOG((P117/0.01)*10^($B$117))</f>
        <v>8.7787536009528289</v>
      </c>
      <c r="AB117" s="2">
        <f t="shared" si="54"/>
        <v>8.791308770921793</v>
      </c>
      <c r="AC117" s="2" t="s">
        <v>104</v>
      </c>
      <c r="AD117" s="5">
        <f>(C117/0.01)*10^($B$117)</f>
        <v>632455532.03367639</v>
      </c>
      <c r="AE117" s="5">
        <f>(D117/0.01)*10^($B$117)</f>
        <v>600832755.43199253</v>
      </c>
      <c r="AF117" s="5">
        <f>(E117/0.01)*10^($B$117)</f>
        <v>727323861.83872783</v>
      </c>
      <c r="AG117" s="5">
        <f>(F117/0.01)*10^($B$117)</f>
        <v>569209978.83030879</v>
      </c>
      <c r="AH117" s="5">
        <f>(I117/0.01)*10^($B$117)</f>
        <v>695701085.2370441</v>
      </c>
      <c r="AI117" s="5">
        <f>(J117/0.01)*10^($B$117)</f>
        <v>664078308.63536024</v>
      </c>
      <c r="AJ117" s="5">
        <f>(K117/0.01)*10^($B$117)</f>
        <v>600832755.43199253</v>
      </c>
      <c r="AK117" s="5">
        <f>(L117/0.01)*10^($B$117)</f>
        <v>758946638.44041169</v>
      </c>
      <c r="AL117" s="5">
        <f>(O117/0.01)*10^($B$117)</f>
        <v>411096095.82188964</v>
      </c>
      <c r="AM117" s="5">
        <f>(P117/0.01)*10^($B$117)</f>
        <v>600832755.43199253</v>
      </c>
      <c r="AN117" s="5">
        <f t="shared" si="52"/>
        <v>626130976.71333957</v>
      </c>
      <c r="AO117" s="2" t="s">
        <v>104</v>
      </c>
      <c r="BM117" s="2"/>
      <c r="BN117" s="2" t="s">
        <v>104</v>
      </c>
    </row>
    <row r="118" spans="1:66" x14ac:dyDescent="0.25">
      <c r="A118" s="5" t="s">
        <v>105</v>
      </c>
      <c r="B118" s="6">
        <v>6</v>
      </c>
      <c r="C118" s="6">
        <v>2</v>
      </c>
      <c r="D118" s="6">
        <v>5</v>
      </c>
      <c r="E118" s="6">
        <v>4</v>
      </c>
      <c r="F118" s="6">
        <v>6</v>
      </c>
      <c r="G118" s="6"/>
      <c r="H118" s="6"/>
      <c r="I118" s="6">
        <v>3</v>
      </c>
      <c r="J118" s="6">
        <v>4</v>
      </c>
      <c r="K118" s="6">
        <v>5</v>
      </c>
      <c r="L118" s="6">
        <v>3</v>
      </c>
      <c r="M118" s="6"/>
      <c r="N118" s="6"/>
      <c r="O118" s="6">
        <v>2</v>
      </c>
      <c r="P118" s="6">
        <v>2</v>
      </c>
      <c r="R118" s="6">
        <f>LOG((C118/0.01)*10^($B$118))</f>
        <v>8.3010299956639813</v>
      </c>
      <c r="S118" s="6">
        <f>LOG((D118/0.01)*10^($B$118))</f>
        <v>8.6989700043360187</v>
      </c>
      <c r="T118" s="6">
        <f>LOG((E118/0.01)*10^($B$118))</f>
        <v>8.6020599913279625</v>
      </c>
      <c r="U118" s="6">
        <f>LOG((F118/0.01)*10^($B$118))</f>
        <v>8.7781512503836439</v>
      </c>
      <c r="V118" s="6">
        <f>LOG((I118/0.01)*10^($B$118))</f>
        <v>8.4771212547196626</v>
      </c>
      <c r="W118" s="6">
        <f>LOG((J118/0.01)*10^($B$118))</f>
        <v>8.6020599913279625</v>
      </c>
      <c r="X118" s="6">
        <f>LOG((K118/0.01)*10^($B$118))</f>
        <v>8.6989700043360187</v>
      </c>
      <c r="Y118" s="6">
        <f>LOG((L118/0.01)*10^($B$118))</f>
        <v>8.4771212547196626</v>
      </c>
      <c r="Z118" s="6">
        <f>LOG((O118/0.01)*10^($B$118))</f>
        <v>8.3010299956639813</v>
      </c>
      <c r="AA118" s="6">
        <f>LOG((P118/0.01)*10^($B$118))</f>
        <v>8.3010299956639813</v>
      </c>
      <c r="AB118" s="6">
        <f t="shared" si="54"/>
        <v>8.5237543738142882</v>
      </c>
      <c r="AC118" s="5" t="s">
        <v>105</v>
      </c>
      <c r="AD118" s="5">
        <f>(C118/0.01)*10^($B$118)</f>
        <v>200000000</v>
      </c>
      <c r="AE118" s="5">
        <f>(D118/0.01)*10^($B$118)</f>
        <v>500000000</v>
      </c>
      <c r="AF118" s="5">
        <f>(E118/0.01)*10^($B$118)</f>
        <v>400000000</v>
      </c>
      <c r="AG118" s="5">
        <f>(F118/0.01)*10^($B$118)</f>
        <v>600000000</v>
      </c>
      <c r="AH118" s="5">
        <f>(I118/0.01)*10^($B$118)</f>
        <v>300000000</v>
      </c>
      <c r="AI118" s="5">
        <f>(J118/0.01)*10^($B$118)</f>
        <v>400000000</v>
      </c>
      <c r="AJ118" s="5">
        <f>(K118/0.01)*10^($B$118)</f>
        <v>500000000</v>
      </c>
      <c r="AK118" s="5">
        <f>(L118/0.01)*10^($B$118)</f>
        <v>300000000</v>
      </c>
      <c r="AL118" s="5">
        <f>(O118/0.01)*10^($B$118)</f>
        <v>200000000</v>
      </c>
      <c r="AM118" s="5">
        <f>(P118/0.01)*10^($B$118)</f>
        <v>200000000</v>
      </c>
      <c r="AN118" s="5">
        <f t="shared" si="52"/>
        <v>360000000</v>
      </c>
      <c r="AO118" s="5" t="s">
        <v>105</v>
      </c>
      <c r="AQ118" s="5">
        <v>6</v>
      </c>
      <c r="AR118" s="5">
        <v>2</v>
      </c>
      <c r="AS118" s="5">
        <v>5</v>
      </c>
      <c r="AT118" s="5">
        <v>4</v>
      </c>
      <c r="AU118" s="5">
        <v>6</v>
      </c>
      <c r="AV118" s="5">
        <v>3</v>
      </c>
      <c r="AW118" s="5">
        <v>4</v>
      </c>
      <c r="AX118" s="5">
        <v>5</v>
      </c>
      <c r="AY118" s="5">
        <v>3</v>
      </c>
      <c r="AZ118" s="5">
        <v>2</v>
      </c>
      <c r="BA118" s="5">
        <v>2</v>
      </c>
      <c r="BC118" s="5">
        <f t="shared" ref="BC118:BL118" si="77">(AR118/0.01)*10^($AQ$118)</f>
        <v>200000000</v>
      </c>
      <c r="BD118" s="5">
        <f t="shared" si="77"/>
        <v>500000000</v>
      </c>
      <c r="BE118" s="5">
        <f t="shared" si="77"/>
        <v>400000000</v>
      </c>
      <c r="BF118" s="5">
        <f t="shared" si="77"/>
        <v>600000000</v>
      </c>
      <c r="BG118" s="5">
        <f t="shared" si="77"/>
        <v>300000000</v>
      </c>
      <c r="BH118" s="5">
        <f t="shared" si="77"/>
        <v>400000000</v>
      </c>
      <c r="BI118" s="5">
        <f t="shared" si="77"/>
        <v>500000000</v>
      </c>
      <c r="BJ118" s="5">
        <f t="shared" si="77"/>
        <v>300000000</v>
      </c>
      <c r="BK118" s="5">
        <f t="shared" si="77"/>
        <v>200000000</v>
      </c>
      <c r="BL118" s="5">
        <f t="shared" si="77"/>
        <v>200000000</v>
      </c>
      <c r="BM118" s="5">
        <f t="shared" si="56"/>
        <v>360000000</v>
      </c>
      <c r="BN118" s="5" t="s">
        <v>105</v>
      </c>
    </row>
    <row r="119" spans="1:66" x14ac:dyDescent="0.25">
      <c r="A119" s="2"/>
      <c r="B119" s="2">
        <v>5.5</v>
      </c>
      <c r="C119" s="2">
        <v>18</v>
      </c>
      <c r="D119" s="2">
        <v>22</v>
      </c>
      <c r="E119" s="2">
        <v>30</v>
      </c>
      <c r="F119" s="2">
        <v>13</v>
      </c>
      <c r="G119" s="2"/>
      <c r="H119" s="2"/>
      <c r="I119" s="2">
        <v>23</v>
      </c>
      <c r="J119" s="2">
        <v>24</v>
      </c>
      <c r="K119" s="2">
        <v>23</v>
      </c>
      <c r="L119" s="2">
        <v>24</v>
      </c>
      <c r="M119" s="2"/>
      <c r="N119" s="2"/>
      <c r="O119" s="2">
        <v>19</v>
      </c>
      <c r="P119" s="2">
        <v>24</v>
      </c>
      <c r="Q119" s="2"/>
      <c r="R119" s="2">
        <f>LOG((C119/0.01)*10^($B$119))</f>
        <v>8.7552725051033065</v>
      </c>
      <c r="S119" s="2">
        <f>LOG((D119/0.01)*10^($B$119))</f>
        <v>8.8424226808222066</v>
      </c>
      <c r="T119" s="2">
        <f>LOG((E119/0.01)*10^($B$119))</f>
        <v>8.9771212547196626</v>
      </c>
      <c r="U119" s="2">
        <f>LOG((F119/0.01)*10^($B$119))</f>
        <v>8.6139433523068369</v>
      </c>
      <c r="V119" s="2">
        <f>LOG((I119/0.01)*10^($B$119))</f>
        <v>8.8617278360175931</v>
      </c>
      <c r="W119" s="2">
        <f>LOG((J119/0.01)*10^($B$119))</f>
        <v>8.8802112417116064</v>
      </c>
      <c r="X119" s="2">
        <f>LOG((K119/0.01)*10^($B$119))</f>
        <v>8.8617278360175931</v>
      </c>
      <c r="Y119" s="2">
        <f>LOG((L119/0.01)*10^($B$119))</f>
        <v>8.8802112417116064</v>
      </c>
      <c r="Z119" s="2">
        <f>LOG((O119/0.01)*10^($B$119))</f>
        <v>8.7787536009528289</v>
      </c>
      <c r="AA119" s="2">
        <f>LOG((P119/0.01)*10^($B$119))</f>
        <v>8.8802112417116064</v>
      </c>
      <c r="AB119" s="2">
        <f t="shared" si="54"/>
        <v>8.833160279107485</v>
      </c>
      <c r="AC119" s="2" t="s">
        <v>105</v>
      </c>
      <c r="AD119" s="5">
        <f>(C119/0.01)*10^($B$119)</f>
        <v>569209978.83030879</v>
      </c>
      <c r="AE119" s="5">
        <f>(D119/0.01)*10^($B$119)</f>
        <v>695701085.2370441</v>
      </c>
      <c r="AF119" s="5">
        <f>(E119/0.01)*10^($B$119)</f>
        <v>948683298.05051458</v>
      </c>
      <c r="AG119" s="5">
        <f>(F119/0.01)*10^($B$119)</f>
        <v>411096095.82188964</v>
      </c>
      <c r="AH119" s="5">
        <f>(I119/0.01)*10^($B$119)</f>
        <v>727323861.83872783</v>
      </c>
      <c r="AI119" s="5">
        <f>(J119/0.01)*10^($B$119)</f>
        <v>758946638.44041169</v>
      </c>
      <c r="AJ119" s="5">
        <f>(K119/0.01)*10^($B$119)</f>
        <v>727323861.83872783</v>
      </c>
      <c r="AK119" s="5">
        <f>(L119/0.01)*10^($B$119)</f>
        <v>758946638.44041169</v>
      </c>
      <c r="AL119" s="5">
        <f>(O119/0.01)*10^($B$119)</f>
        <v>600832755.43199253</v>
      </c>
      <c r="AM119" s="5">
        <f>(P119/0.01)*10^($B$119)</f>
        <v>758946638.44041169</v>
      </c>
      <c r="AN119" s="5">
        <f t="shared" si="52"/>
        <v>695701085.2370441</v>
      </c>
      <c r="AO119" s="2" t="s">
        <v>105</v>
      </c>
      <c r="BM119" s="2"/>
      <c r="BN119" s="2" t="s">
        <v>105</v>
      </c>
    </row>
    <row r="120" spans="1:66" x14ac:dyDescent="0.25">
      <c r="A120" s="2" t="s">
        <v>106</v>
      </c>
      <c r="B120" s="2">
        <v>5.5</v>
      </c>
      <c r="C120" s="2">
        <v>10</v>
      </c>
      <c r="D120" s="2">
        <v>7</v>
      </c>
      <c r="E120" s="2">
        <v>10</v>
      </c>
      <c r="F120" s="2">
        <v>7</v>
      </c>
      <c r="G120" s="2"/>
      <c r="H120" s="2"/>
      <c r="I120" s="2">
        <v>10</v>
      </c>
      <c r="J120" s="2">
        <v>5</v>
      </c>
      <c r="K120" s="2">
        <v>9</v>
      </c>
      <c r="L120" s="2">
        <v>6</v>
      </c>
      <c r="M120" s="2"/>
      <c r="N120" s="2"/>
      <c r="O120" s="2">
        <v>6</v>
      </c>
      <c r="P120" s="2">
        <v>8</v>
      </c>
      <c r="Q120" s="2"/>
      <c r="R120" s="2">
        <f>LOG((C120/0.01)*10^($B$120))</f>
        <v>8.5</v>
      </c>
      <c r="S120" s="2">
        <f>LOG((D120/0.01)*10^($B$120))</f>
        <v>8.3450980400142569</v>
      </c>
      <c r="T120" s="2">
        <f>LOG((E120/0.01)*10^($B$120))</f>
        <v>8.5</v>
      </c>
      <c r="U120" s="2">
        <f>LOG((F120/0.01)*10^($B$120))</f>
        <v>8.3450980400142569</v>
      </c>
      <c r="V120" s="2">
        <f>LOG((I120/0.01)*10^($B$120))</f>
        <v>8.5</v>
      </c>
      <c r="W120" s="2">
        <f>LOG((J120/0.01)*10^($B$120))</f>
        <v>8.1989700043360187</v>
      </c>
      <c r="X120" s="2">
        <f>LOG((K120/0.01)*10^($B$120))</f>
        <v>8.4542425094393252</v>
      </c>
      <c r="Y120" s="2">
        <f>LOG((L120/0.01)*10^($B$120))</f>
        <v>8.2781512503836439</v>
      </c>
      <c r="Z120" s="2">
        <f>LOG((O120/0.01)*10^($B$120))</f>
        <v>8.2781512503836439</v>
      </c>
      <c r="AA120" s="2">
        <f>LOG((P120/0.01)*10^($B$120))</f>
        <v>8.4030899869919438</v>
      </c>
      <c r="AB120" s="2">
        <f t="shared" si="54"/>
        <v>8.3802801081563096</v>
      </c>
      <c r="AC120" s="2" t="s">
        <v>106</v>
      </c>
      <c r="AD120" s="5">
        <f>(C120/0.01)*10^($B$120)</f>
        <v>316227766.01683819</v>
      </c>
      <c r="AE120" s="5">
        <f>(D120/0.01)*10^($B$120)</f>
        <v>221359436.21178675</v>
      </c>
      <c r="AF120" s="5">
        <f>(E120/0.01)*10^($B$120)</f>
        <v>316227766.01683819</v>
      </c>
      <c r="AG120" s="5">
        <f>(F120/0.01)*10^($B$120)</f>
        <v>221359436.21178675</v>
      </c>
      <c r="AH120" s="5">
        <f>(I120/0.01)*10^($B$120)</f>
        <v>316227766.01683819</v>
      </c>
      <c r="AI120" s="5">
        <f>(J120/0.01)*10^($B$120)</f>
        <v>158113883.0084191</v>
      </c>
      <c r="AJ120" s="5">
        <f>(K120/0.01)*10^($B$120)</f>
        <v>284604989.4151544</v>
      </c>
      <c r="AK120" s="5">
        <f>(L120/0.01)*10^($B$120)</f>
        <v>189736659.61010292</v>
      </c>
      <c r="AL120" s="5">
        <f>(O120/0.01)*10^($B$120)</f>
        <v>189736659.61010292</v>
      </c>
      <c r="AM120" s="5">
        <f>(P120/0.01)*10^($B$120)</f>
        <v>252982212.81347057</v>
      </c>
      <c r="AN120" s="5">
        <f t="shared" si="52"/>
        <v>246657657.49313378</v>
      </c>
      <c r="AO120" s="2" t="s">
        <v>106</v>
      </c>
      <c r="AQ120" s="5">
        <v>5.5</v>
      </c>
      <c r="AR120" s="5">
        <v>10</v>
      </c>
      <c r="AS120" s="5">
        <v>7</v>
      </c>
      <c r="AT120" s="5">
        <v>9</v>
      </c>
      <c r="AU120" s="5">
        <v>7</v>
      </c>
      <c r="AV120" s="5">
        <v>10</v>
      </c>
      <c r="AW120" s="5">
        <v>5</v>
      </c>
      <c r="AX120" s="5">
        <v>8</v>
      </c>
      <c r="AY120" s="5">
        <v>6</v>
      </c>
      <c r="AZ120" s="5">
        <v>6</v>
      </c>
      <c r="BA120" s="5">
        <v>7</v>
      </c>
      <c r="BC120" s="5">
        <f t="shared" ref="BC120:BL120" si="78">(AR120/0.01)*10^($AQ$120)</f>
        <v>316227766.01683819</v>
      </c>
      <c r="BD120" s="5">
        <f t="shared" si="78"/>
        <v>221359436.21178675</v>
      </c>
      <c r="BE120" s="5">
        <f t="shared" si="78"/>
        <v>284604989.4151544</v>
      </c>
      <c r="BF120" s="5">
        <f t="shared" si="78"/>
        <v>221359436.21178675</v>
      </c>
      <c r="BG120" s="5">
        <f t="shared" si="78"/>
        <v>316227766.01683819</v>
      </c>
      <c r="BH120" s="5">
        <f t="shared" si="78"/>
        <v>158113883.0084191</v>
      </c>
      <c r="BI120" s="5">
        <f t="shared" si="78"/>
        <v>252982212.81347057</v>
      </c>
      <c r="BJ120" s="5">
        <f t="shared" si="78"/>
        <v>189736659.61010292</v>
      </c>
      <c r="BK120" s="5">
        <f t="shared" si="78"/>
        <v>189736659.61010292</v>
      </c>
      <c r="BL120" s="5">
        <f t="shared" si="78"/>
        <v>221359436.21178675</v>
      </c>
      <c r="BM120" s="2">
        <f t="shared" si="56"/>
        <v>237170824.51262864</v>
      </c>
      <c r="BN120" s="2" t="s">
        <v>106</v>
      </c>
    </row>
    <row r="121" spans="1:66" x14ac:dyDescent="0.25">
      <c r="B121" s="6">
        <v>5</v>
      </c>
      <c r="C121" s="6">
        <v>23</v>
      </c>
      <c r="D121" s="6">
        <v>24</v>
      </c>
      <c r="E121" s="6">
        <v>15</v>
      </c>
      <c r="F121" s="6">
        <v>20</v>
      </c>
      <c r="G121" s="6"/>
      <c r="H121" s="6"/>
      <c r="I121" s="6">
        <v>31</v>
      </c>
      <c r="J121" s="6">
        <v>23</v>
      </c>
      <c r="K121" s="6">
        <v>27</v>
      </c>
      <c r="L121" s="6">
        <v>25</v>
      </c>
      <c r="M121" s="6"/>
      <c r="N121" s="6"/>
      <c r="O121" s="6">
        <v>19</v>
      </c>
      <c r="P121" s="6">
        <v>24</v>
      </c>
      <c r="R121" s="6">
        <f>LOG((C121/0.01)*10^($B$121))</f>
        <v>8.3617278360175931</v>
      </c>
      <c r="S121" s="6">
        <f>LOG((D121/0.01)*10^($B$121))</f>
        <v>8.3802112417116064</v>
      </c>
      <c r="T121" s="6">
        <f>LOG((E121/0.01)*10^($B$121))</f>
        <v>8.1760912590556813</v>
      </c>
      <c r="U121" s="6">
        <f>LOG((F121/0.01)*10^($B$121))</f>
        <v>8.3010299956639813</v>
      </c>
      <c r="V121" s="6">
        <f>LOG((I121/0.01)*10^($B$121))</f>
        <v>8.4913616938342731</v>
      </c>
      <c r="W121" s="6">
        <f>LOG((J121/0.01)*10^($B$121))</f>
        <v>8.3617278360175931</v>
      </c>
      <c r="X121" s="6">
        <f>LOG((K121/0.01)*10^($B$121))</f>
        <v>8.4313637641589878</v>
      </c>
      <c r="Y121" s="6">
        <f>LOG((L121/0.01)*10^($B$121))</f>
        <v>8.3979400086720375</v>
      </c>
      <c r="Z121" s="6">
        <f>LOG((O121/0.01)*10^($B$121))</f>
        <v>8.2787536009528289</v>
      </c>
      <c r="AA121" s="6">
        <f>LOG((P121/0.01)*10^($B$121))</f>
        <v>8.3802112417116064</v>
      </c>
      <c r="AB121" s="6">
        <f t="shared" si="54"/>
        <v>8.3560418477796183</v>
      </c>
      <c r="AC121" s="6" t="s">
        <v>106</v>
      </c>
      <c r="AD121" s="5">
        <f>(C121/0.01)*10^($B$121)</f>
        <v>230000000</v>
      </c>
      <c r="AE121" s="5">
        <f>(D121/0.01)*10^($B$121)</f>
        <v>240000000</v>
      </c>
      <c r="AF121" s="5">
        <f>(E121/0.01)*10^($B$121)</f>
        <v>150000000</v>
      </c>
      <c r="AG121" s="5">
        <f>(F121/0.01)*10^($B$121)</f>
        <v>200000000</v>
      </c>
      <c r="AH121" s="5">
        <f>(I121/0.01)*10^($B$121)</f>
        <v>310000000</v>
      </c>
      <c r="AI121" s="5">
        <f>(J121/0.01)*10^($B$121)</f>
        <v>230000000</v>
      </c>
      <c r="AJ121" s="5">
        <f>(K121/0.01)*10^($B$121)</f>
        <v>270000000</v>
      </c>
      <c r="AK121" s="5">
        <f>(L121/0.01)*10^($B$121)</f>
        <v>250000000</v>
      </c>
      <c r="AL121" s="5">
        <f>(O121/0.01)*10^($B$121)</f>
        <v>190000000</v>
      </c>
      <c r="AM121" s="5">
        <f>(P121/0.01)*10^($B$121)</f>
        <v>240000000</v>
      </c>
      <c r="AN121" s="5">
        <f t="shared" si="52"/>
        <v>231000000</v>
      </c>
      <c r="AO121" s="6" t="s">
        <v>106</v>
      </c>
      <c r="BN121" s="6" t="s">
        <v>106</v>
      </c>
    </row>
    <row r="122" spans="1:66" x14ac:dyDescent="0.25">
      <c r="A122" s="5" t="s">
        <v>107</v>
      </c>
      <c r="B122" s="6">
        <v>6</v>
      </c>
      <c r="C122" s="6">
        <v>7</v>
      </c>
      <c r="D122" s="6">
        <v>8</v>
      </c>
      <c r="E122" s="6">
        <v>8</v>
      </c>
      <c r="F122" s="6">
        <v>13</v>
      </c>
      <c r="G122" s="6"/>
      <c r="H122" s="6"/>
      <c r="I122" s="6">
        <v>13</v>
      </c>
      <c r="J122" s="6">
        <v>10</v>
      </c>
      <c r="K122" s="6">
        <v>7</v>
      </c>
      <c r="L122" s="6">
        <v>5</v>
      </c>
      <c r="M122" s="6"/>
      <c r="N122" s="6"/>
      <c r="O122" s="6">
        <v>1</v>
      </c>
      <c r="P122" s="6">
        <v>7</v>
      </c>
      <c r="R122" s="6">
        <f>LOG((C122/0.01)*10^($B$122))</f>
        <v>8.8450980400142569</v>
      </c>
      <c r="S122" s="6">
        <f>LOG((D122/0.01)*10^($B$122))</f>
        <v>8.9030899869919438</v>
      </c>
      <c r="T122" s="6">
        <f>LOG((E122/0.01)*10^($B$122))</f>
        <v>8.9030899869919438</v>
      </c>
      <c r="U122" s="6">
        <f>LOG((F122/0.01)*10^($B$122))</f>
        <v>9.1139433523068369</v>
      </c>
      <c r="V122" s="6">
        <f>LOG((I122/0.01)*10^($B$122))</f>
        <v>9.1139433523068369</v>
      </c>
      <c r="W122" s="6">
        <f>LOG((J122/0.01)*10^($B$122))</f>
        <v>9</v>
      </c>
      <c r="X122" s="6">
        <f>LOG((K122/0.01)*10^($B$122))</f>
        <v>8.8450980400142569</v>
      </c>
      <c r="Y122" s="6">
        <f>LOG((L122/0.01)*10^($B$122))</f>
        <v>8.6989700043360187</v>
      </c>
      <c r="Z122" s="6">
        <f>LOG((O122/0.01)*10^($B$122))</f>
        <v>8</v>
      </c>
      <c r="AA122" s="6">
        <f>LOG((P122/0.01)*10^($B$122))</f>
        <v>8.8450980400142569</v>
      </c>
      <c r="AB122" s="6">
        <f t="shared" si="54"/>
        <v>8.8268330802976358</v>
      </c>
      <c r="AC122" s="5" t="s">
        <v>107</v>
      </c>
      <c r="AD122" s="5">
        <f>(C122/0.01)*10^($B$122)</f>
        <v>700000000</v>
      </c>
      <c r="AE122" s="5">
        <f>(D122/0.01)*10^($B$122)</f>
        <v>800000000</v>
      </c>
      <c r="AF122" s="5">
        <f>(E122/0.01)*10^($B$122)</f>
        <v>800000000</v>
      </c>
      <c r="AG122" s="5">
        <f>(F122/0.01)*10^($B$122)</f>
        <v>1300000000</v>
      </c>
      <c r="AH122" s="5">
        <f>(I122/0.01)*10^($B$122)</f>
        <v>1300000000</v>
      </c>
      <c r="AI122" s="5">
        <f>(J122/0.01)*10^($B$122)</f>
        <v>1000000000</v>
      </c>
      <c r="AJ122" s="5">
        <f>(K122/0.01)*10^($B$122)</f>
        <v>700000000</v>
      </c>
      <c r="AK122" s="5">
        <f>(L122/0.01)*10^($B$122)</f>
        <v>500000000</v>
      </c>
      <c r="AL122" s="5">
        <f>(O122/0.01)*10^($B$122)</f>
        <v>100000000</v>
      </c>
      <c r="AM122" s="5">
        <f>(P122/0.01)*10^($B$122)</f>
        <v>700000000</v>
      </c>
      <c r="AN122" s="5">
        <f t="shared" ref="AN122:AN129" si="79">AVERAGE(AD122:AM122)</f>
        <v>790000000</v>
      </c>
      <c r="AO122" s="5" t="s">
        <v>107</v>
      </c>
      <c r="AQ122" s="5">
        <v>6</v>
      </c>
      <c r="AR122" s="5">
        <v>7</v>
      </c>
      <c r="AS122" s="5">
        <v>8</v>
      </c>
      <c r="AT122" s="5">
        <v>8</v>
      </c>
      <c r="AU122" s="5">
        <v>13</v>
      </c>
      <c r="AV122" s="5">
        <v>13</v>
      </c>
      <c r="AW122" s="5">
        <v>10</v>
      </c>
      <c r="AX122" s="5">
        <v>7</v>
      </c>
      <c r="AY122" s="5">
        <v>5</v>
      </c>
      <c r="AZ122" s="5">
        <v>1</v>
      </c>
      <c r="BA122" s="5">
        <v>7</v>
      </c>
      <c r="BC122" s="5">
        <f t="shared" ref="BC122:BL122" si="80">(AR122/0.01)*10^($AQ$122)</f>
        <v>700000000</v>
      </c>
      <c r="BD122" s="5">
        <f t="shared" si="80"/>
        <v>800000000</v>
      </c>
      <c r="BE122" s="5">
        <f t="shared" si="80"/>
        <v>800000000</v>
      </c>
      <c r="BF122" s="5">
        <f t="shared" si="80"/>
        <v>1300000000</v>
      </c>
      <c r="BG122" s="5">
        <f t="shared" si="80"/>
        <v>1300000000</v>
      </c>
      <c r="BH122" s="5">
        <f t="shared" si="80"/>
        <v>1000000000</v>
      </c>
      <c r="BI122" s="5">
        <f t="shared" si="80"/>
        <v>700000000</v>
      </c>
      <c r="BJ122" s="5">
        <f t="shared" si="80"/>
        <v>500000000</v>
      </c>
      <c r="BK122" s="5">
        <f t="shared" si="80"/>
        <v>100000000</v>
      </c>
      <c r="BL122" s="5">
        <f t="shared" si="80"/>
        <v>700000000</v>
      </c>
      <c r="BM122" s="5">
        <f t="shared" si="56"/>
        <v>790000000</v>
      </c>
      <c r="BN122" s="5" t="s">
        <v>107</v>
      </c>
    </row>
    <row r="123" spans="1:66" x14ac:dyDescent="0.25">
      <c r="A123" s="2"/>
      <c r="B123" s="2">
        <v>5.5</v>
      </c>
      <c r="C123" s="2">
        <v>31</v>
      </c>
      <c r="D123" s="2">
        <v>26</v>
      </c>
      <c r="E123" s="2">
        <v>29</v>
      </c>
      <c r="F123" s="2">
        <v>23</v>
      </c>
      <c r="G123" s="2"/>
      <c r="H123" s="2"/>
      <c r="I123" s="2">
        <v>34</v>
      </c>
      <c r="J123" s="2">
        <v>23</v>
      </c>
      <c r="K123" s="2">
        <v>30</v>
      </c>
      <c r="L123" s="2">
        <v>27</v>
      </c>
      <c r="M123" s="2"/>
      <c r="N123" s="2"/>
      <c r="O123" s="2">
        <v>24</v>
      </c>
      <c r="P123" s="2">
        <v>23</v>
      </c>
      <c r="Q123" s="2"/>
      <c r="R123" s="2">
        <f>LOG((C123/0.01)*10^($B$123))</f>
        <v>8.9913616938342731</v>
      </c>
      <c r="S123" s="2">
        <f>LOG((D123/0.01)*10^($B$123))</f>
        <v>8.9149733479708182</v>
      </c>
      <c r="T123" s="2">
        <f>LOG((E123/0.01)*10^($B$123))</f>
        <v>8.9623979978989556</v>
      </c>
      <c r="U123" s="2">
        <f>LOG((F123/0.01)*10^($B$123))</f>
        <v>8.8617278360175931</v>
      </c>
      <c r="V123" s="2">
        <f>LOG((I123/0.01)*10^($B$123))</f>
        <v>9.0314789170422554</v>
      </c>
      <c r="W123" s="2">
        <f>LOG((J123/0.01)*10^($B$123))</f>
        <v>8.8617278360175931</v>
      </c>
      <c r="X123" s="2">
        <f>LOG((K123/0.01)*10^($B$123))</f>
        <v>8.9771212547196626</v>
      </c>
      <c r="Y123" s="2">
        <f>LOG((L123/0.01)*10^($B$123))</f>
        <v>8.9313637641589878</v>
      </c>
      <c r="Z123" s="2">
        <f>LOG((O123/0.01)*10^($B$123))</f>
        <v>8.8802112417116064</v>
      </c>
      <c r="AA123" s="2">
        <f>LOG((P123/0.01)*10^($B$123))</f>
        <v>8.8617278360175931</v>
      </c>
      <c r="AB123" s="2">
        <f t="shared" si="54"/>
        <v>8.9274091725389333</v>
      </c>
      <c r="AC123" s="2" t="s">
        <v>107</v>
      </c>
      <c r="AD123" s="5">
        <f>(C123/0.01)*10^($B$123)</f>
        <v>980306074.65219843</v>
      </c>
      <c r="AE123" s="5">
        <f>(D123/0.01)*10^($B$123)</f>
        <v>822192191.64377928</v>
      </c>
      <c r="AF123" s="5">
        <f>(E123/0.01)*10^($B$123)</f>
        <v>917060521.44883072</v>
      </c>
      <c r="AG123" s="5">
        <f>(F123/0.01)*10^($B$123)</f>
        <v>727323861.83872783</v>
      </c>
      <c r="AH123" s="5">
        <f>(I123/0.01)*10^($B$123)</f>
        <v>1075174404.4572499</v>
      </c>
      <c r="AI123" s="5">
        <f>(J123/0.01)*10^($B$123)</f>
        <v>727323861.83872783</v>
      </c>
      <c r="AJ123" s="5">
        <f>(K123/0.01)*10^($B$123)</f>
        <v>948683298.05051458</v>
      </c>
      <c r="AK123" s="5">
        <f>(L123/0.01)*10^($B$123)</f>
        <v>853814968.24546313</v>
      </c>
      <c r="AL123" s="5">
        <f>(O123/0.01)*10^($B$123)</f>
        <v>758946638.44041169</v>
      </c>
      <c r="AM123" s="5">
        <f>(P123/0.01)*10^($B$123)</f>
        <v>727323861.83872783</v>
      </c>
      <c r="AN123" s="5">
        <f t="shared" si="79"/>
        <v>853814968.24546313</v>
      </c>
      <c r="AO123" s="2" t="s">
        <v>107</v>
      </c>
      <c r="BM123" s="2"/>
      <c r="BN123" s="2" t="s">
        <v>107</v>
      </c>
    </row>
    <row r="124" spans="1:66" x14ac:dyDescent="0.25">
      <c r="A124" s="2" t="s">
        <v>108</v>
      </c>
      <c r="B124" s="2">
        <v>6</v>
      </c>
      <c r="C124" s="2">
        <v>13</v>
      </c>
      <c r="D124" s="2">
        <v>20</v>
      </c>
      <c r="E124" s="2">
        <v>24</v>
      </c>
      <c r="F124" s="2">
        <v>16</v>
      </c>
      <c r="G124" s="2"/>
      <c r="H124" s="2"/>
      <c r="I124" s="2">
        <v>22</v>
      </c>
      <c r="J124" s="2">
        <v>21</v>
      </c>
      <c r="K124" s="2">
        <v>18</v>
      </c>
      <c r="L124" s="2">
        <v>12</v>
      </c>
      <c r="M124" s="2"/>
      <c r="N124" s="2"/>
      <c r="O124" s="2">
        <v>23</v>
      </c>
      <c r="P124" s="2">
        <v>23</v>
      </c>
      <c r="Q124" s="2"/>
      <c r="R124" s="2">
        <f>LOG((C124/0.01)*10^($B$124))</f>
        <v>9.1139433523068369</v>
      </c>
      <c r="S124" s="2">
        <f>LOG((D124/0.01)*10^($B$124))</f>
        <v>9.3010299956639813</v>
      </c>
      <c r="T124" s="2">
        <f>LOG((E124/0.01)*10^($B$124))</f>
        <v>9.3802112417116064</v>
      </c>
      <c r="U124" s="2">
        <f>LOG((F124/0.01)*10^($B$124))</f>
        <v>9.204119982655925</v>
      </c>
      <c r="V124" s="2">
        <f>LOG((I124/0.01)*10^($B$124))</f>
        <v>9.3424226808222066</v>
      </c>
      <c r="W124" s="2">
        <f>LOG((J124/0.01)*10^($B$124))</f>
        <v>9.3222192947339195</v>
      </c>
      <c r="X124" s="2">
        <f>LOG((K124/0.01)*10^($B$124))</f>
        <v>9.2552725051033065</v>
      </c>
      <c r="Y124" s="2">
        <f>LOG((L124/0.01)*10^($B$124))</f>
        <v>9.0791812460476251</v>
      </c>
      <c r="Z124" s="2">
        <f>LOG((O124/0.01)*10^($B$124))</f>
        <v>9.3617278360175931</v>
      </c>
      <c r="AA124" s="2">
        <f>LOG((P124/0.01)*10^($B$124))</f>
        <v>9.3617278360175931</v>
      </c>
      <c r="AB124" s="2">
        <f t="shared" si="54"/>
        <v>9.2721855971080593</v>
      </c>
      <c r="AC124" s="2" t="s">
        <v>108</v>
      </c>
      <c r="AD124" s="5">
        <f>(C124/0.01)*10^($B$124)</f>
        <v>1300000000</v>
      </c>
      <c r="AE124" s="5">
        <f>(D124/0.01)*10^($B$124)</f>
        <v>2000000000</v>
      </c>
      <c r="AF124" s="5">
        <f>(E124/0.01)*10^($B$124)</f>
        <v>2400000000</v>
      </c>
      <c r="AG124" s="5">
        <f>(F124/0.01)*10^($B$124)</f>
        <v>1600000000</v>
      </c>
      <c r="AH124" s="5">
        <f>(I124/0.01)*10^($B$124)</f>
        <v>2200000000</v>
      </c>
      <c r="AI124" s="5">
        <f>(J124/0.01)*10^($B$124)</f>
        <v>2100000000</v>
      </c>
      <c r="AJ124" s="5">
        <f>(K124/0.01)*10^($B$124)</f>
        <v>1800000000</v>
      </c>
      <c r="AK124" s="5">
        <f>(L124/0.01)*10^($B$124)</f>
        <v>1200000000</v>
      </c>
      <c r="AL124" s="5">
        <f>(O124/0.01)*10^($B$124)</f>
        <v>2300000000</v>
      </c>
      <c r="AM124" s="5">
        <f>(P124/0.01)*10^($B$124)</f>
        <v>2300000000</v>
      </c>
      <c r="AN124" s="5">
        <f t="shared" si="79"/>
        <v>1920000000</v>
      </c>
      <c r="AO124" s="2" t="s">
        <v>108</v>
      </c>
      <c r="AQ124" s="5">
        <v>6</v>
      </c>
      <c r="AR124" s="5">
        <v>13</v>
      </c>
      <c r="AS124" s="5">
        <v>20</v>
      </c>
      <c r="AT124" s="5">
        <v>24</v>
      </c>
      <c r="AU124" s="5">
        <v>16</v>
      </c>
      <c r="AV124" s="5">
        <v>22</v>
      </c>
      <c r="AW124" s="5">
        <v>21</v>
      </c>
      <c r="AX124" s="5">
        <v>18</v>
      </c>
      <c r="AY124" s="5">
        <v>12</v>
      </c>
      <c r="AZ124" s="5">
        <v>23</v>
      </c>
      <c r="BA124" s="5">
        <v>23</v>
      </c>
      <c r="BC124" s="5">
        <f t="shared" ref="BC124:BL124" si="81">(AR124/0.01)*10^($AQ$124)</f>
        <v>1300000000</v>
      </c>
      <c r="BD124" s="5">
        <f t="shared" si="81"/>
        <v>2000000000</v>
      </c>
      <c r="BE124" s="5">
        <f t="shared" si="81"/>
        <v>2400000000</v>
      </c>
      <c r="BF124" s="5">
        <f t="shared" si="81"/>
        <v>1600000000</v>
      </c>
      <c r="BG124" s="5">
        <f t="shared" si="81"/>
        <v>2200000000</v>
      </c>
      <c r="BH124" s="5">
        <f t="shared" si="81"/>
        <v>2100000000</v>
      </c>
      <c r="BI124" s="5">
        <f t="shared" si="81"/>
        <v>1800000000</v>
      </c>
      <c r="BJ124" s="5">
        <f t="shared" si="81"/>
        <v>1200000000</v>
      </c>
      <c r="BK124" s="5">
        <f t="shared" si="81"/>
        <v>2300000000</v>
      </c>
      <c r="BL124" s="5">
        <f t="shared" si="81"/>
        <v>2300000000</v>
      </c>
      <c r="BM124" s="2">
        <f t="shared" si="56"/>
        <v>1920000000</v>
      </c>
      <c r="BN124" s="2" t="s">
        <v>108</v>
      </c>
    </row>
    <row r="125" spans="1:66" x14ac:dyDescent="0.25">
      <c r="A125" s="5" t="s">
        <v>109</v>
      </c>
      <c r="B125" s="6">
        <v>5.5</v>
      </c>
      <c r="C125" s="6">
        <v>5</v>
      </c>
      <c r="D125" s="6">
        <v>6</v>
      </c>
      <c r="E125" s="6">
        <v>10</v>
      </c>
      <c r="F125" s="6">
        <v>3</v>
      </c>
      <c r="G125" s="6"/>
      <c r="H125" s="6"/>
      <c r="I125" s="6">
        <v>4</v>
      </c>
      <c r="J125" s="6">
        <v>4</v>
      </c>
      <c r="K125" s="6">
        <v>2</v>
      </c>
      <c r="L125" s="6">
        <v>5</v>
      </c>
      <c r="M125" s="6"/>
      <c r="N125" s="6"/>
      <c r="O125" s="6">
        <v>7</v>
      </c>
      <c r="P125" s="6">
        <v>8</v>
      </c>
      <c r="R125" s="6">
        <f>LOG((C125/0.01)*10^($B$125))</f>
        <v>8.1989700043360187</v>
      </c>
      <c r="S125" s="6">
        <f>LOG((D125/0.01)*10^($B$125))</f>
        <v>8.2781512503836439</v>
      </c>
      <c r="T125" s="6">
        <f>LOG((E125/0.01)*10^($B$125))</f>
        <v>8.5</v>
      </c>
      <c r="U125" s="6">
        <f>LOG((F125/0.01)*10^($B$125))</f>
        <v>7.9771212547196626</v>
      </c>
      <c r="V125" s="6">
        <f>LOG((I125/0.01)*10^($B$125))</f>
        <v>8.1020599913279625</v>
      </c>
      <c r="W125" s="6">
        <f>LOG((J125/0.01)*10^($B$125))</f>
        <v>8.1020599913279625</v>
      </c>
      <c r="X125" s="6">
        <f>LOG((K125/0.01)*10^($B$125))</f>
        <v>7.8010299956639813</v>
      </c>
      <c r="Y125" s="6">
        <f>LOG((L125/0.01)*10^($B$125))</f>
        <v>8.1989700043360187</v>
      </c>
      <c r="Z125" s="6">
        <f>LOG((O125/0.01)*10^($B$125))</f>
        <v>8.3450980400142569</v>
      </c>
      <c r="AA125" s="6">
        <f>LOG((P125/0.01)*10^($B$125))</f>
        <v>8.4030899869919438</v>
      </c>
      <c r="AB125" s="6">
        <f t="shared" si="54"/>
        <v>8.1906550519101451</v>
      </c>
      <c r="AC125" s="5" t="s">
        <v>109</v>
      </c>
      <c r="AD125" s="5">
        <f>(C125/0.01)*10^($B$125)</f>
        <v>158113883.0084191</v>
      </c>
      <c r="AE125" s="5">
        <f>(D125/0.01)*10^($B$125)</f>
        <v>189736659.61010292</v>
      </c>
      <c r="AF125" s="5">
        <f>(E125/0.01)*10^($B$125)</f>
        <v>316227766.01683819</v>
      </c>
      <c r="AG125" s="5">
        <f>(F125/0.01)*10^($B$125)</f>
        <v>94868329.805051461</v>
      </c>
      <c r="AH125" s="5">
        <f>(I125/0.01)*10^($B$125)</f>
        <v>126491106.40673529</v>
      </c>
      <c r="AI125" s="5">
        <f>(J125/0.01)*10^($B$125)</f>
        <v>126491106.40673529</v>
      </c>
      <c r="AJ125" s="5">
        <f>(K125/0.01)*10^($B$125)</f>
        <v>63245553.203367643</v>
      </c>
      <c r="AK125" s="5">
        <f>(L125/0.01)*10^($B$125)</f>
        <v>158113883.0084191</v>
      </c>
      <c r="AL125" s="5">
        <f>(O125/0.01)*10^($B$125)</f>
        <v>221359436.21178675</v>
      </c>
      <c r="AM125" s="5">
        <f>(P125/0.01)*10^($B$125)</f>
        <v>252982212.81347057</v>
      </c>
      <c r="AN125" s="5">
        <f t="shared" si="79"/>
        <v>170762993.64909261</v>
      </c>
      <c r="AO125" s="5" t="s">
        <v>109</v>
      </c>
      <c r="AQ125" s="5">
        <v>5.5</v>
      </c>
      <c r="AR125" s="5">
        <v>5</v>
      </c>
      <c r="AS125" s="5">
        <v>5</v>
      </c>
      <c r="AT125" s="5">
        <v>10</v>
      </c>
      <c r="AU125" s="5">
        <v>3</v>
      </c>
      <c r="AV125" s="5">
        <v>4</v>
      </c>
      <c r="AW125" s="5">
        <v>4</v>
      </c>
      <c r="AX125" s="5">
        <v>2</v>
      </c>
      <c r="AY125" s="5">
        <v>5</v>
      </c>
      <c r="AZ125" s="5">
        <v>7</v>
      </c>
      <c r="BA125" s="5">
        <v>9</v>
      </c>
      <c r="BC125" s="5">
        <f t="shared" ref="BC125:BL125" si="82">(AR125/0.01)*10^($AQ$125)</f>
        <v>158113883.0084191</v>
      </c>
      <c r="BD125" s="5">
        <f t="shared" si="82"/>
        <v>158113883.0084191</v>
      </c>
      <c r="BE125" s="5">
        <f t="shared" si="82"/>
        <v>316227766.01683819</v>
      </c>
      <c r="BF125" s="5">
        <f t="shared" si="82"/>
        <v>94868329.805051461</v>
      </c>
      <c r="BG125" s="5">
        <f t="shared" si="82"/>
        <v>126491106.40673529</v>
      </c>
      <c r="BH125" s="5">
        <f t="shared" si="82"/>
        <v>126491106.40673529</v>
      </c>
      <c r="BI125" s="5">
        <f t="shared" si="82"/>
        <v>63245553.203367643</v>
      </c>
      <c r="BJ125" s="5">
        <f t="shared" si="82"/>
        <v>158113883.0084191</v>
      </c>
      <c r="BK125" s="5">
        <f t="shared" si="82"/>
        <v>221359436.21178675</v>
      </c>
      <c r="BL125" s="5">
        <f t="shared" si="82"/>
        <v>284604989.4151544</v>
      </c>
      <c r="BM125" s="5">
        <f t="shared" si="56"/>
        <v>170762993.64909261</v>
      </c>
      <c r="BN125" s="5" t="s">
        <v>109</v>
      </c>
    </row>
    <row r="126" spans="1:66" x14ac:dyDescent="0.25">
      <c r="A126" s="2"/>
      <c r="B126" s="2">
        <v>5</v>
      </c>
      <c r="C126" s="2">
        <v>24</v>
      </c>
      <c r="D126" s="2">
        <v>22</v>
      </c>
      <c r="E126" s="2">
        <v>27</v>
      </c>
      <c r="F126" s="2">
        <v>15</v>
      </c>
      <c r="G126" s="2"/>
      <c r="H126" s="2"/>
      <c r="I126" s="2">
        <v>35</v>
      </c>
      <c r="J126" s="2">
        <v>21</v>
      </c>
      <c r="K126" s="2">
        <v>21</v>
      </c>
      <c r="L126" s="2">
        <v>19</v>
      </c>
      <c r="M126" s="2"/>
      <c r="N126" s="2"/>
      <c r="O126" s="2">
        <v>16</v>
      </c>
      <c r="P126" s="2">
        <v>22</v>
      </c>
      <c r="Q126" s="2"/>
      <c r="R126" s="2">
        <f>LOG((C126/0.01)*10^($B$126))</f>
        <v>8.3802112417116064</v>
      </c>
      <c r="S126" s="2">
        <f>LOG((D126/0.01)*10^($B$126))</f>
        <v>8.3424226808222066</v>
      </c>
      <c r="T126" s="2">
        <f>LOG((E126/0.01)*10^($B$126))</f>
        <v>8.4313637641589878</v>
      </c>
      <c r="U126" s="2">
        <f>LOG((F126/0.01)*10^($B$126))</f>
        <v>8.1760912590556813</v>
      </c>
      <c r="V126" s="2">
        <f>LOG((I126/0.01)*10^($B$126))</f>
        <v>8.5440680443502757</v>
      </c>
      <c r="W126" s="2">
        <f>LOG((J126/0.01)*10^($B$126))</f>
        <v>8.3222192947339195</v>
      </c>
      <c r="X126" s="2">
        <f>LOG((K126/0.01)*10^($B$126))</f>
        <v>8.3222192947339195</v>
      </c>
      <c r="Y126" s="2">
        <f>LOG((L126/0.01)*10^($B$126))</f>
        <v>8.2787536009528289</v>
      </c>
      <c r="Z126" s="2">
        <f>LOG((O126/0.01)*10^($B$126))</f>
        <v>8.204119982655925</v>
      </c>
      <c r="AA126" s="2">
        <f>LOG((P126/0.01)*10^($B$126))</f>
        <v>8.3424226808222066</v>
      </c>
      <c r="AB126" s="2">
        <f t="shared" si="54"/>
        <v>8.3343891843997575</v>
      </c>
      <c r="AC126" s="2" t="s">
        <v>109</v>
      </c>
      <c r="AD126" s="5">
        <f>(C126/0.01)*10^($B$126)</f>
        <v>240000000</v>
      </c>
      <c r="AE126" s="5">
        <f>(D126/0.01)*10^($B$126)</f>
        <v>220000000</v>
      </c>
      <c r="AF126" s="5">
        <f>(E126/0.01)*10^($B$126)</f>
        <v>270000000</v>
      </c>
      <c r="AG126" s="5">
        <f>(F126/0.01)*10^($B$126)</f>
        <v>150000000</v>
      </c>
      <c r="AH126" s="5">
        <f>(I126/0.01)*10^($B$126)</f>
        <v>350000000</v>
      </c>
      <c r="AI126" s="5">
        <f>(J126/0.01)*10^($B$126)</f>
        <v>210000000</v>
      </c>
      <c r="AJ126" s="5">
        <f>(K126/0.01)*10^($B$126)</f>
        <v>210000000</v>
      </c>
      <c r="AK126" s="5">
        <f>(L126/0.01)*10^($B$126)</f>
        <v>190000000</v>
      </c>
      <c r="AL126" s="5">
        <f>(O126/0.01)*10^($B$126)</f>
        <v>160000000</v>
      </c>
      <c r="AM126" s="5">
        <f>(P126/0.01)*10^($B$126)</f>
        <v>220000000</v>
      </c>
      <c r="AN126" s="5">
        <f t="shared" si="79"/>
        <v>222000000</v>
      </c>
      <c r="AO126" s="2" t="s">
        <v>109</v>
      </c>
      <c r="BM126" s="2"/>
      <c r="BN126" s="2" t="s">
        <v>109</v>
      </c>
    </row>
    <row r="127" spans="1:66" x14ac:dyDescent="0.25">
      <c r="A127" s="2" t="s">
        <v>110</v>
      </c>
      <c r="B127" s="2">
        <v>6</v>
      </c>
      <c r="C127" s="2">
        <v>12</v>
      </c>
      <c r="D127" s="2">
        <v>15</v>
      </c>
      <c r="E127" s="2">
        <v>9</v>
      </c>
      <c r="F127" s="2">
        <v>9</v>
      </c>
      <c r="G127" s="2"/>
      <c r="H127" s="2"/>
      <c r="I127" s="2">
        <v>9</v>
      </c>
      <c r="J127" s="2">
        <v>9</v>
      </c>
      <c r="K127" s="2">
        <v>13</v>
      </c>
      <c r="L127" s="2">
        <v>7</v>
      </c>
      <c r="M127" s="2"/>
      <c r="N127" s="2"/>
      <c r="O127" s="2">
        <v>12</v>
      </c>
      <c r="P127" s="2">
        <v>10</v>
      </c>
      <c r="Q127" s="2"/>
      <c r="R127" s="2">
        <f>LOG((C127/0.01)*10^($B$127))</f>
        <v>9.0791812460476251</v>
      </c>
      <c r="S127" s="2">
        <f>LOG((D127/0.01)*10^($B$127))</f>
        <v>9.1760912590556813</v>
      </c>
      <c r="T127" s="2">
        <f>LOG((E127/0.01)*10^($B$127))</f>
        <v>8.9542425094393252</v>
      </c>
      <c r="U127" s="2">
        <f>LOG((F127/0.01)*10^($B$127))</f>
        <v>8.9542425094393252</v>
      </c>
      <c r="V127" s="2">
        <f>LOG((I127/0.01)*10^($B$127))</f>
        <v>8.9542425094393252</v>
      </c>
      <c r="W127" s="2">
        <f>LOG((J127/0.01)*10^($B$127))</f>
        <v>8.9542425094393252</v>
      </c>
      <c r="X127" s="2">
        <f>LOG((K127/0.01)*10^($B$127))</f>
        <v>9.1139433523068369</v>
      </c>
      <c r="Y127" s="2">
        <f>LOG((L127/0.01)*10^($B$127))</f>
        <v>8.8450980400142569</v>
      </c>
      <c r="Z127" s="2">
        <f>LOG((O127/0.01)*10^($B$127))</f>
        <v>9.0791812460476251</v>
      </c>
      <c r="AA127" s="2">
        <f>LOG((P127/0.01)*10^($B$127))</f>
        <v>9</v>
      </c>
      <c r="AB127" s="2">
        <f t="shared" si="54"/>
        <v>9.0110465181229333</v>
      </c>
      <c r="AC127" s="2" t="s">
        <v>110</v>
      </c>
      <c r="AD127" s="5">
        <f>(C127/0.01)*10^($B$127)</f>
        <v>1200000000</v>
      </c>
      <c r="AE127" s="5">
        <f>(D127/0.01)*10^($B$127)</f>
        <v>1500000000</v>
      </c>
      <c r="AF127" s="5">
        <f>(E127/0.01)*10^($B$127)</f>
        <v>900000000</v>
      </c>
      <c r="AG127" s="5">
        <f>(F127/0.01)*10^($B$127)</f>
        <v>900000000</v>
      </c>
      <c r="AH127" s="5">
        <f>(I127/0.01)*10^($B$127)</f>
        <v>900000000</v>
      </c>
      <c r="AI127" s="5">
        <f>(J127/0.01)*10^($B$127)</f>
        <v>900000000</v>
      </c>
      <c r="AJ127" s="5">
        <f>(K127/0.01)*10^($B$127)</f>
        <v>1300000000</v>
      </c>
      <c r="AK127" s="5">
        <f>(L127/0.01)*10^($B$127)</f>
        <v>700000000</v>
      </c>
      <c r="AL127" s="5">
        <f>(O127/0.01)*10^($B$127)</f>
        <v>1200000000</v>
      </c>
      <c r="AM127" s="5">
        <f>(P127/0.01)*10^($B$127)</f>
        <v>1000000000</v>
      </c>
      <c r="AN127" s="5">
        <f t="shared" si="79"/>
        <v>1050000000</v>
      </c>
      <c r="AO127" s="2" t="s">
        <v>110</v>
      </c>
      <c r="AQ127" s="5">
        <v>6</v>
      </c>
      <c r="AR127" s="5">
        <v>12</v>
      </c>
      <c r="AS127" s="5">
        <v>15</v>
      </c>
      <c r="AT127" s="5">
        <v>9</v>
      </c>
      <c r="AU127" s="5">
        <v>9</v>
      </c>
      <c r="AV127" s="5">
        <v>9</v>
      </c>
      <c r="AW127" s="5">
        <v>9</v>
      </c>
      <c r="AX127" s="5">
        <v>13</v>
      </c>
      <c r="AY127" s="5">
        <v>7</v>
      </c>
      <c r="AZ127" s="5">
        <v>12</v>
      </c>
      <c r="BA127" s="5">
        <v>10</v>
      </c>
      <c r="BC127" s="5">
        <f t="shared" ref="BC127:BL127" si="83">(AR127/0.01)*10^($AQ$127)</f>
        <v>1200000000</v>
      </c>
      <c r="BD127" s="5">
        <f t="shared" si="83"/>
        <v>1500000000</v>
      </c>
      <c r="BE127" s="5">
        <f t="shared" si="83"/>
        <v>900000000</v>
      </c>
      <c r="BF127" s="5">
        <f t="shared" si="83"/>
        <v>900000000</v>
      </c>
      <c r="BG127" s="5">
        <f t="shared" si="83"/>
        <v>900000000</v>
      </c>
      <c r="BH127" s="5">
        <f t="shared" si="83"/>
        <v>900000000</v>
      </c>
      <c r="BI127" s="5">
        <f t="shared" si="83"/>
        <v>1300000000</v>
      </c>
      <c r="BJ127" s="5">
        <f t="shared" si="83"/>
        <v>700000000</v>
      </c>
      <c r="BK127" s="5">
        <f t="shared" si="83"/>
        <v>1200000000</v>
      </c>
      <c r="BL127" s="5">
        <f t="shared" si="83"/>
        <v>1000000000</v>
      </c>
      <c r="BM127" s="2">
        <f t="shared" si="56"/>
        <v>1050000000</v>
      </c>
      <c r="BN127" s="2" t="s">
        <v>110</v>
      </c>
    </row>
    <row r="128" spans="1:66" x14ac:dyDescent="0.25">
      <c r="A128" s="2" t="s">
        <v>111</v>
      </c>
      <c r="B128" s="2">
        <v>6</v>
      </c>
      <c r="C128" s="2">
        <v>39</v>
      </c>
      <c r="D128" s="2">
        <v>37</v>
      </c>
      <c r="E128" s="2">
        <v>51</v>
      </c>
      <c r="F128" s="2">
        <v>25</v>
      </c>
      <c r="G128" s="2"/>
      <c r="H128" s="2"/>
      <c r="I128" s="2">
        <v>38</v>
      </c>
      <c r="J128" s="2">
        <v>38</v>
      </c>
      <c r="K128" s="2">
        <v>21</v>
      </c>
      <c r="L128" s="2">
        <v>39</v>
      </c>
      <c r="M128" s="2"/>
      <c r="N128" s="2"/>
      <c r="O128" s="2">
        <v>33</v>
      </c>
      <c r="P128" s="2">
        <v>26</v>
      </c>
      <c r="Q128" s="2"/>
      <c r="R128" s="2">
        <f>LOG((C128/0.01)*10^($B$128))</f>
        <v>9.5910646070264995</v>
      </c>
      <c r="S128" s="2">
        <f>LOG((D128/0.01)*10^($B$128))</f>
        <v>9.568201724066995</v>
      </c>
      <c r="T128" s="2">
        <f>LOG((E128/0.01)*10^($B$128))</f>
        <v>9.7075701760979367</v>
      </c>
      <c r="U128" s="2">
        <f>LOG((F128/0.01)*10^($B$128))</f>
        <v>9.3979400086720375</v>
      </c>
      <c r="V128" s="2">
        <f>LOG((I128/0.01)*10^($B$128))</f>
        <v>9.5797835966168101</v>
      </c>
      <c r="W128" s="2">
        <f>LOG((J128/0.01)*10^($B$128))</f>
        <v>9.5797835966168101</v>
      </c>
      <c r="X128" s="2">
        <f>LOG((K128/0.01)*10^($B$128))</f>
        <v>9.3222192947339195</v>
      </c>
      <c r="Y128" s="2">
        <f>LOG((L128/0.01)*10^($B$128))</f>
        <v>9.5910646070264995</v>
      </c>
      <c r="Z128" s="2">
        <f>LOG((O128/0.01)*10^($B$128))</f>
        <v>9.518513939877888</v>
      </c>
      <c r="AA128" s="2">
        <f>LOG((P128/0.01)*10^($B$128))</f>
        <v>9.4149733479708182</v>
      </c>
      <c r="AB128" s="2">
        <f t="shared" si="54"/>
        <v>9.5271114898706202</v>
      </c>
      <c r="AC128" s="2" t="s">
        <v>111</v>
      </c>
      <c r="AD128" s="5">
        <f>(C128/0.01)*10^($B$128)</f>
        <v>3900000000</v>
      </c>
      <c r="AE128" s="5">
        <f>(D128/0.01)*10^($B$128)</f>
        <v>3700000000</v>
      </c>
      <c r="AF128" s="5">
        <f>(E128/0.01)*10^($B$128)</f>
        <v>5100000000</v>
      </c>
      <c r="AG128" s="5">
        <f>(F128/0.01)*10^($B$128)</f>
        <v>2500000000</v>
      </c>
      <c r="AH128" s="5">
        <f>(I128/0.01)*10^($B$128)</f>
        <v>3800000000</v>
      </c>
      <c r="AI128" s="5">
        <f>(J128/0.01)*10^($B$128)</f>
        <v>3800000000</v>
      </c>
      <c r="AJ128" s="5">
        <f>(K128/0.01)*10^($B$128)</f>
        <v>2100000000</v>
      </c>
      <c r="AK128" s="5">
        <f>(L128/0.01)*10^($B$128)</f>
        <v>3900000000</v>
      </c>
      <c r="AL128" s="5">
        <f>(O128/0.01)*10^($B$128)</f>
        <v>3300000000</v>
      </c>
      <c r="AM128" s="5">
        <f>(P128/0.01)*10^($B$128)</f>
        <v>2600000000</v>
      </c>
      <c r="AN128" s="5">
        <f t="shared" si="79"/>
        <v>3470000000</v>
      </c>
      <c r="AO128" s="2" t="s">
        <v>111</v>
      </c>
      <c r="BM128" s="2"/>
      <c r="BN128" s="2" t="s">
        <v>111</v>
      </c>
    </row>
    <row r="129" spans="1:66" x14ac:dyDescent="0.25">
      <c r="A129" s="2" t="s">
        <v>112</v>
      </c>
      <c r="B129" s="2">
        <v>6</v>
      </c>
      <c r="C129" s="2">
        <v>11</v>
      </c>
      <c r="D129" s="2">
        <v>10</v>
      </c>
      <c r="E129" s="2">
        <v>8</v>
      </c>
      <c r="F129" s="2">
        <v>7</v>
      </c>
      <c r="G129" s="2"/>
      <c r="H129" s="2"/>
      <c r="I129" s="2">
        <v>9</v>
      </c>
      <c r="J129" s="2">
        <v>10</v>
      </c>
      <c r="K129" s="2">
        <v>13</v>
      </c>
      <c r="L129" s="2">
        <v>6</v>
      </c>
      <c r="M129" s="2"/>
      <c r="N129" s="2"/>
      <c r="O129" s="2">
        <v>1</v>
      </c>
      <c r="P129" s="2">
        <v>4</v>
      </c>
      <c r="Q129" s="2"/>
      <c r="R129" s="2">
        <f>LOG((C129/0.01)*10^($B$129))</f>
        <v>9.0413926851582254</v>
      </c>
      <c r="S129" s="2">
        <f>LOG((D129/0.01)*10^($B$129))</f>
        <v>9</v>
      </c>
      <c r="T129" s="2">
        <f>LOG((E129/0.01)*10^($B$129))</f>
        <v>8.9030899869919438</v>
      </c>
      <c r="U129" s="2">
        <f>LOG((F129/0.01)*10^($B$129))</f>
        <v>8.8450980400142569</v>
      </c>
      <c r="V129" s="2">
        <f>LOG((I129/0.01)*10^($B$129))</f>
        <v>8.9542425094393252</v>
      </c>
      <c r="W129" s="2">
        <f>LOG((J129/0.01)*10^($B$129))</f>
        <v>9</v>
      </c>
      <c r="X129" s="2">
        <f>LOG((K129/0.01)*10^($B$129))</f>
        <v>9.1139433523068369</v>
      </c>
      <c r="Y129" s="2">
        <f>LOG((L129/0.01)*10^($B$129))</f>
        <v>8.7781512503836439</v>
      </c>
      <c r="Z129" s="2">
        <f>LOG((O129/0.01)*10^($B$129))</f>
        <v>8</v>
      </c>
      <c r="AA129" s="2">
        <f>LOG((P129/0.01)*10^($B$129))</f>
        <v>8.6020599913279625</v>
      </c>
      <c r="AB129" s="2">
        <f t="shared" si="54"/>
        <v>8.8237977815622184</v>
      </c>
      <c r="AC129" s="2" t="s">
        <v>112</v>
      </c>
      <c r="AD129" s="5">
        <f>(C129/0.01)*10^($B$129)</f>
        <v>1100000000</v>
      </c>
      <c r="AE129" s="5">
        <f>(D129/0.01)*10^($B$129)</f>
        <v>1000000000</v>
      </c>
      <c r="AF129" s="5">
        <f>(E129/0.01)*10^($B$129)</f>
        <v>800000000</v>
      </c>
      <c r="AG129" s="5">
        <f>(F129/0.01)*10^($B$129)</f>
        <v>700000000</v>
      </c>
      <c r="AH129" s="5">
        <f>(I129/0.01)*10^($B$129)</f>
        <v>900000000</v>
      </c>
      <c r="AI129" s="5">
        <f>(J129/0.01)*10^($B$129)</f>
        <v>1000000000</v>
      </c>
      <c r="AJ129" s="5">
        <f>(K129/0.01)*10^($B$129)</f>
        <v>1300000000</v>
      </c>
      <c r="AK129" s="5">
        <f>(L129/0.01)*10^($B$129)</f>
        <v>600000000</v>
      </c>
      <c r="AL129" s="5">
        <f>(O129/0.01)*10^($B$129)</f>
        <v>100000000</v>
      </c>
      <c r="AM129" s="5">
        <f>(P129/0.01)*10^($B$129)</f>
        <v>400000000</v>
      </c>
      <c r="AN129" s="5">
        <f t="shared" si="79"/>
        <v>790000000</v>
      </c>
      <c r="AO129" s="2" t="s">
        <v>112</v>
      </c>
      <c r="AQ129" s="5">
        <v>6</v>
      </c>
      <c r="AR129" s="5">
        <v>11</v>
      </c>
      <c r="AS129" s="5">
        <v>10</v>
      </c>
      <c r="AT129" s="5">
        <v>8</v>
      </c>
      <c r="AU129" s="5">
        <v>7</v>
      </c>
      <c r="AV129" s="5">
        <v>9</v>
      </c>
      <c r="AW129" s="5">
        <v>10</v>
      </c>
      <c r="AX129" s="5">
        <v>13</v>
      </c>
      <c r="AY129" s="5">
        <v>6</v>
      </c>
      <c r="AZ129" s="5">
        <v>1</v>
      </c>
      <c r="BA129" s="5">
        <v>4</v>
      </c>
      <c r="BC129" s="5">
        <f t="shared" ref="BC129:BL129" si="84">(AR129/0.01)*10^($AQ$129)</f>
        <v>1100000000</v>
      </c>
      <c r="BD129" s="5">
        <f t="shared" si="84"/>
        <v>1000000000</v>
      </c>
      <c r="BE129" s="5">
        <f t="shared" si="84"/>
        <v>800000000</v>
      </c>
      <c r="BF129" s="5">
        <f t="shared" si="84"/>
        <v>700000000</v>
      </c>
      <c r="BG129" s="5">
        <f t="shared" si="84"/>
        <v>900000000</v>
      </c>
      <c r="BH129" s="5">
        <f t="shared" si="84"/>
        <v>1000000000</v>
      </c>
      <c r="BI129" s="5">
        <f t="shared" si="84"/>
        <v>1300000000</v>
      </c>
      <c r="BJ129" s="5">
        <f t="shared" si="84"/>
        <v>600000000</v>
      </c>
      <c r="BK129" s="5">
        <f t="shared" si="84"/>
        <v>100000000</v>
      </c>
      <c r="BL129" s="5">
        <f t="shared" si="84"/>
        <v>400000000</v>
      </c>
      <c r="BM129" s="2">
        <f t="shared" si="56"/>
        <v>790000000</v>
      </c>
      <c r="BN129" s="2" t="s">
        <v>112</v>
      </c>
    </row>
    <row r="130" spans="1:66" x14ac:dyDescent="0.25">
      <c r="B130" s="6" t="s">
        <v>214</v>
      </c>
      <c r="C130" s="6"/>
      <c r="D130" s="6"/>
      <c r="E130" s="6" t="s">
        <v>215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66" x14ac:dyDescent="0.25">
      <c r="B131" s="5" t="s">
        <v>216</v>
      </c>
      <c r="C131" s="5" t="s">
        <v>217</v>
      </c>
      <c r="D131" s="5" t="s">
        <v>218</v>
      </c>
      <c r="E131" s="5" t="s">
        <v>216</v>
      </c>
      <c r="F131" s="5" t="s">
        <v>219</v>
      </c>
      <c r="I131" s="5" t="s">
        <v>217</v>
      </c>
      <c r="J131" s="5" t="s">
        <v>220</v>
      </c>
      <c r="K131" s="5" t="s">
        <v>221</v>
      </c>
      <c r="L131" s="5" t="s">
        <v>222</v>
      </c>
      <c r="O131" s="5" t="s">
        <v>223</v>
      </c>
      <c r="P131" s="5" t="s">
        <v>224</v>
      </c>
      <c r="R131" s="6"/>
      <c r="S131" s="5" t="s">
        <v>222</v>
      </c>
      <c r="T131" s="5" t="s">
        <v>223</v>
      </c>
      <c r="W131" s="5" t="s">
        <v>222</v>
      </c>
      <c r="X131" s="5" t="s">
        <v>223</v>
      </c>
      <c r="AQ131" s="5" t="s">
        <v>215</v>
      </c>
    </row>
    <row r="132" spans="1:66" x14ac:dyDescent="0.25">
      <c r="A132" s="304" t="s">
        <v>92</v>
      </c>
      <c r="B132" s="304">
        <v>7.5367877506637884</v>
      </c>
      <c r="C132" s="304">
        <v>7.6353708550443669</v>
      </c>
      <c r="D132" s="304">
        <f>B132-C132</f>
        <v>-9.858310438057849E-2</v>
      </c>
      <c r="E132" s="304">
        <v>40000000</v>
      </c>
      <c r="F132" s="5">
        <v>59000000</v>
      </c>
      <c r="I132" s="304">
        <v>48000000</v>
      </c>
      <c r="J132" s="304">
        <f t="shared" ref="J132:J152" si="85">E132-I132</f>
        <v>-8000000</v>
      </c>
      <c r="K132" s="5">
        <f>F132-I132</f>
        <v>11000000</v>
      </c>
      <c r="L132" s="5">
        <f t="shared" ref="L132:L152" si="86">(J132/E132)*100</f>
        <v>-20</v>
      </c>
      <c r="O132" s="5">
        <f t="shared" ref="O132:O150" si="87">(K132/F132)*100</f>
        <v>18.64406779661017</v>
      </c>
      <c r="P132" s="305">
        <f>I132/E132*100</f>
        <v>120</v>
      </c>
      <c r="R132" s="304" t="s">
        <v>92</v>
      </c>
      <c r="S132" s="5">
        <v>-20</v>
      </c>
      <c r="T132" s="5">
        <v>18.64406779661017</v>
      </c>
      <c r="U132" s="5">
        <v>0</v>
      </c>
      <c r="V132" s="304" t="s">
        <v>92</v>
      </c>
      <c r="W132" s="5">
        <v>-20</v>
      </c>
      <c r="X132" s="5">
        <v>18.64406779661017</v>
      </c>
      <c r="AO132" s="6" t="s">
        <v>225</v>
      </c>
      <c r="AQ132" s="5" t="s">
        <v>226</v>
      </c>
      <c r="AR132" s="5" t="s">
        <v>227</v>
      </c>
      <c r="AS132" s="5" t="s">
        <v>228</v>
      </c>
      <c r="AT132" s="5" t="s">
        <v>229</v>
      </c>
      <c r="AU132" s="5" t="s">
        <v>230</v>
      </c>
      <c r="AV132" s="5" t="s">
        <v>231</v>
      </c>
      <c r="AW132" s="5" t="s">
        <v>232</v>
      </c>
      <c r="AX132" s="5" t="s">
        <v>233</v>
      </c>
      <c r="AY132" s="5" t="s">
        <v>234</v>
      </c>
    </row>
    <row r="133" spans="1:66" x14ac:dyDescent="0.25">
      <c r="A133" s="306" t="s">
        <v>93</v>
      </c>
      <c r="B133" s="306">
        <v>7.8791911739132958</v>
      </c>
      <c r="C133" s="306">
        <v>7.8167218056091459</v>
      </c>
      <c r="D133" s="306">
        <f t="shared" ref="D133:D152" si="88">B133-C133</f>
        <v>6.2469368304149953E-2</v>
      </c>
      <c r="E133" s="306">
        <v>78000000</v>
      </c>
      <c r="F133" s="5">
        <v>92000000</v>
      </c>
      <c r="I133" s="306">
        <v>72000000</v>
      </c>
      <c r="J133" s="306">
        <f t="shared" si="85"/>
        <v>6000000</v>
      </c>
      <c r="K133" s="5">
        <f t="shared" ref="K133:K152" si="89">F133-I133</f>
        <v>20000000</v>
      </c>
      <c r="L133" s="5">
        <f t="shared" si="86"/>
        <v>7.6923076923076925</v>
      </c>
      <c r="O133" s="5">
        <f t="shared" si="87"/>
        <v>21.739130434782609</v>
      </c>
      <c r="P133" s="307">
        <f t="shared" ref="P133:P152" si="90">I133/E133*100</f>
        <v>92.307692307692307</v>
      </c>
      <c r="R133" s="306" t="s">
        <v>93</v>
      </c>
      <c r="S133" s="5">
        <v>7.6923076923076925</v>
      </c>
      <c r="T133" s="5">
        <v>21.739130434782609</v>
      </c>
      <c r="U133" s="5">
        <v>2.0833333334885538</v>
      </c>
      <c r="V133" s="304" t="s">
        <v>95</v>
      </c>
      <c r="W133" s="5">
        <v>19.26605504587156</v>
      </c>
      <c r="X133" s="5">
        <v>25.423728813559322</v>
      </c>
      <c r="AO133" s="5">
        <v>0</v>
      </c>
      <c r="AP133" s="6" t="s">
        <v>92</v>
      </c>
      <c r="AQ133" s="5">
        <f>AN95</f>
        <v>40000000</v>
      </c>
      <c r="AR133" s="5">
        <f>AN55</f>
        <v>48000000</v>
      </c>
      <c r="AS133" s="5">
        <f>(AQ133-AR133)/AQ133</f>
        <v>-0.2</v>
      </c>
      <c r="AT133" s="5">
        <f>AR133/AQ133</f>
        <v>1.2</v>
      </c>
      <c r="AU133" s="5">
        <f>AS133+AT133</f>
        <v>1</v>
      </c>
      <c r="AV133" s="5">
        <f>AVERAGE(AS133:AS135)</f>
        <v>0.10531582238899312</v>
      </c>
      <c r="AW133" s="5">
        <f>AVERAGE(AT133:AT135)</f>
        <v>0.89468417761100694</v>
      </c>
      <c r="AX133" s="5">
        <f>STDEV(AS133:AS135)</f>
        <v>0.32045694535766744</v>
      </c>
      <c r="AY133" s="5">
        <f>STDEV(AT133:AT135)</f>
        <v>0.3204569453576675</v>
      </c>
    </row>
    <row r="134" spans="1:66" x14ac:dyDescent="0.25">
      <c r="A134" s="308" t="s">
        <v>94</v>
      </c>
      <c r="B134" s="308">
        <v>6.771946387574431</v>
      </c>
      <c r="C134" s="308">
        <v>7.3321875420760021</v>
      </c>
      <c r="D134" s="308">
        <f t="shared" si="88"/>
        <v>-0.56024115450157108</v>
      </c>
      <c r="E134" s="308">
        <v>41000000</v>
      </c>
      <c r="F134" s="5">
        <v>61000000</v>
      </c>
      <c r="I134" s="308">
        <v>22000000</v>
      </c>
      <c r="J134" s="308">
        <f t="shared" si="85"/>
        <v>19000000</v>
      </c>
      <c r="K134" s="5">
        <f t="shared" si="89"/>
        <v>39000000</v>
      </c>
      <c r="L134" s="5">
        <f t="shared" si="86"/>
        <v>46.341463414634148</v>
      </c>
      <c r="O134" s="5">
        <f t="shared" si="87"/>
        <v>63.934426229508205</v>
      </c>
      <c r="P134" s="309">
        <f t="shared" si="90"/>
        <v>53.658536585365859</v>
      </c>
      <c r="R134" s="308" t="s">
        <v>94</v>
      </c>
      <c r="S134" s="5">
        <v>46.341463414634148</v>
      </c>
      <c r="T134" s="5">
        <v>63.934426229508205</v>
      </c>
      <c r="U134" s="5">
        <v>4.0833333333721384</v>
      </c>
      <c r="V134" s="304" t="s">
        <v>98</v>
      </c>
      <c r="W134" s="5">
        <v>14.383561643835616</v>
      </c>
      <c r="X134" s="5">
        <v>10.071942446043165</v>
      </c>
      <c r="AO134" s="5">
        <v>0</v>
      </c>
      <c r="AP134" s="6" t="s">
        <v>93</v>
      </c>
      <c r="AQ134" s="5">
        <f t="shared" ref="AQ134:AQ135" si="91">AN96</f>
        <v>78000000</v>
      </c>
      <c r="AR134" s="5">
        <f t="shared" ref="AR134:AR135" si="92">AN56</f>
        <v>72000000</v>
      </c>
      <c r="AS134" s="5">
        <f t="shared" ref="AS134:AS153" si="93">(AQ134-AR134)/AQ134</f>
        <v>7.6923076923076927E-2</v>
      </c>
      <c r="AT134" s="5">
        <f t="shared" ref="AT134:AT153" si="94">AR134/AQ134</f>
        <v>0.92307692307692313</v>
      </c>
      <c r="AU134" s="5">
        <f t="shared" ref="AU134:AU153" si="95">AS134+AT134</f>
        <v>1</v>
      </c>
    </row>
    <row r="135" spans="1:66" x14ac:dyDescent="0.25">
      <c r="A135" s="304" t="s">
        <v>95</v>
      </c>
      <c r="B135" s="304">
        <v>8.0147698381513148</v>
      </c>
      <c r="C135" s="304">
        <v>7.9096439817194435</v>
      </c>
      <c r="D135" s="304">
        <f t="shared" si="88"/>
        <v>0.10512585643187133</v>
      </c>
      <c r="E135" s="304">
        <v>109000000</v>
      </c>
      <c r="F135" s="5">
        <v>118000000</v>
      </c>
      <c r="I135" s="304">
        <v>88000000</v>
      </c>
      <c r="J135" s="304">
        <f t="shared" si="85"/>
        <v>21000000</v>
      </c>
      <c r="K135" s="5">
        <f t="shared" si="89"/>
        <v>30000000</v>
      </c>
      <c r="L135" s="5">
        <f t="shared" si="86"/>
        <v>19.26605504587156</v>
      </c>
      <c r="O135" s="5">
        <f t="shared" si="87"/>
        <v>25.423728813559322</v>
      </c>
      <c r="P135" s="305">
        <f t="shared" si="90"/>
        <v>80.733944954128447</v>
      </c>
      <c r="R135" s="304" t="s">
        <v>95</v>
      </c>
      <c r="S135" s="5">
        <v>19.26605504587156</v>
      </c>
      <c r="T135" s="5">
        <v>25.423728813559322</v>
      </c>
      <c r="U135" s="5">
        <v>6.4166666668024845</v>
      </c>
      <c r="V135" s="304" t="s">
        <v>101</v>
      </c>
      <c r="W135" s="5">
        <v>26.168224299065418</v>
      </c>
      <c r="X135" s="5">
        <v>23.300970873786405</v>
      </c>
      <c r="AO135" s="5">
        <v>0</v>
      </c>
      <c r="AP135" s="6" t="s">
        <v>94</v>
      </c>
      <c r="AQ135" s="5">
        <f t="shared" si="91"/>
        <v>41000000</v>
      </c>
      <c r="AR135" s="5">
        <f t="shared" si="92"/>
        <v>23000000</v>
      </c>
      <c r="AS135" s="5">
        <f t="shared" si="93"/>
        <v>0.43902439024390244</v>
      </c>
      <c r="AT135" s="5">
        <f t="shared" si="94"/>
        <v>0.56097560975609762</v>
      </c>
      <c r="AU135" s="5">
        <f t="shared" si="95"/>
        <v>1</v>
      </c>
    </row>
    <row r="136" spans="1:66" x14ac:dyDescent="0.25">
      <c r="A136" s="306" t="s">
        <v>96</v>
      </c>
      <c r="B136" s="306">
        <v>8.0702301097402547</v>
      </c>
      <c r="C136" s="306">
        <v>8.0240308842590728</v>
      </c>
      <c r="D136" s="306">
        <f t="shared" si="88"/>
        <v>4.6199225481181827E-2</v>
      </c>
      <c r="E136" s="306">
        <v>120000000</v>
      </c>
      <c r="F136" s="5">
        <v>116000000</v>
      </c>
      <c r="I136" s="306">
        <v>113000000</v>
      </c>
      <c r="J136" s="306">
        <f t="shared" si="85"/>
        <v>7000000</v>
      </c>
      <c r="K136" s="5">
        <f t="shared" si="89"/>
        <v>3000000</v>
      </c>
      <c r="L136" s="5">
        <f t="shared" si="86"/>
        <v>5.833333333333333</v>
      </c>
      <c r="O136" s="5">
        <f t="shared" si="87"/>
        <v>2.5862068965517242</v>
      </c>
      <c r="P136" s="307">
        <f t="shared" si="90"/>
        <v>94.166666666666671</v>
      </c>
      <c r="R136" s="306" t="s">
        <v>96</v>
      </c>
      <c r="S136" s="5">
        <v>5.833333333333333</v>
      </c>
      <c r="T136" s="5">
        <v>2.5862068965517242</v>
      </c>
      <c r="U136" s="5">
        <v>8.6000000000931323</v>
      </c>
      <c r="V136" s="304" t="s">
        <v>104</v>
      </c>
      <c r="W136" s="5">
        <v>0.50505050505049043</v>
      </c>
      <c r="X136" s="5">
        <v>-27.13646919452475</v>
      </c>
      <c r="AO136" s="5">
        <v>2.0833333334885538</v>
      </c>
      <c r="AP136" s="6" t="s">
        <v>95</v>
      </c>
      <c r="AQ136" s="5">
        <f>AN98</f>
        <v>202385770.25077647</v>
      </c>
      <c r="AR136" s="5">
        <f>AN59</f>
        <v>173925271.30926102</v>
      </c>
      <c r="AS136" s="5">
        <f t="shared" si="93"/>
        <v>0.14062500000000003</v>
      </c>
      <c r="AT136" s="5">
        <f t="shared" si="94"/>
        <v>0.859375</v>
      </c>
      <c r="AU136" s="5">
        <f t="shared" si="95"/>
        <v>1</v>
      </c>
      <c r="AV136" s="5">
        <f t="shared" ref="AV136:AW136" si="96">AVERAGE(AS136:AS138)</f>
        <v>0.33090606978629261</v>
      </c>
      <c r="AW136" s="5">
        <f t="shared" si="96"/>
        <v>0.66909393021370744</v>
      </c>
      <c r="AX136" s="5">
        <f t="shared" ref="AX136:AY136" si="97">STDEV(AS136:AS138)</f>
        <v>0.33849322613497335</v>
      </c>
      <c r="AY136" s="5">
        <f t="shared" si="97"/>
        <v>0.33849322613497346</v>
      </c>
    </row>
    <row r="137" spans="1:66" x14ac:dyDescent="0.25">
      <c r="A137" s="308" t="s">
        <v>97</v>
      </c>
      <c r="B137" s="308">
        <v>7.9406100145006606</v>
      </c>
      <c r="C137" s="308">
        <v>7.6191786247582201</v>
      </c>
      <c r="D137" s="308">
        <f t="shared" si="88"/>
        <v>0.32143138974244057</v>
      </c>
      <c r="E137" s="308">
        <v>93000000</v>
      </c>
      <c r="F137" s="5">
        <v>84000000</v>
      </c>
      <c r="I137" s="308">
        <v>44000000</v>
      </c>
      <c r="J137" s="308">
        <f t="shared" si="85"/>
        <v>49000000</v>
      </c>
      <c r="K137" s="5">
        <f t="shared" si="89"/>
        <v>40000000</v>
      </c>
      <c r="L137" s="5">
        <f t="shared" si="86"/>
        <v>52.688172043010752</v>
      </c>
      <c r="O137" s="5">
        <f t="shared" si="87"/>
        <v>47.619047619047613</v>
      </c>
      <c r="P137" s="309">
        <f t="shared" si="90"/>
        <v>47.311827956989248</v>
      </c>
      <c r="R137" s="308" t="s">
        <v>97</v>
      </c>
      <c r="S137" s="5">
        <v>52.688172043010752</v>
      </c>
      <c r="T137" s="5">
        <v>47.619047619047613</v>
      </c>
      <c r="U137" s="5">
        <v>10.833333333372138</v>
      </c>
      <c r="V137" s="304" t="s">
        <v>107</v>
      </c>
      <c r="W137" s="5">
        <v>-10.09411113178793</v>
      </c>
      <c r="X137" s="5">
        <v>-18.9873417721519</v>
      </c>
      <c r="AO137" s="5">
        <v>2.0833333334885538</v>
      </c>
      <c r="AP137" s="6" t="s">
        <v>96</v>
      </c>
      <c r="AQ137" s="5">
        <f>AN100</f>
        <v>120000000</v>
      </c>
      <c r="AR137" s="5">
        <f>AN61</f>
        <v>104355162.7855566</v>
      </c>
      <c r="AS137" s="5">
        <f t="shared" si="93"/>
        <v>0.13037364345369501</v>
      </c>
      <c r="AT137" s="5">
        <f t="shared" si="94"/>
        <v>0.86962635654630505</v>
      </c>
      <c r="AU137" s="5">
        <f t="shared" si="95"/>
        <v>1</v>
      </c>
    </row>
    <row r="138" spans="1:66" x14ac:dyDescent="0.25">
      <c r="A138" s="304" t="s">
        <v>98</v>
      </c>
      <c r="B138" s="304">
        <v>8.1524630009460672</v>
      </c>
      <c r="C138" s="304">
        <v>8.0909459215708637</v>
      </c>
      <c r="D138" s="304">
        <f t="shared" si="88"/>
        <v>6.1517079375203565E-2</v>
      </c>
      <c r="E138" s="304">
        <v>146000000</v>
      </c>
      <c r="F138" s="5">
        <v>139000000</v>
      </c>
      <c r="I138" s="304">
        <v>125000000</v>
      </c>
      <c r="J138" s="304">
        <f t="shared" si="85"/>
        <v>21000000</v>
      </c>
      <c r="K138" s="5">
        <f t="shared" si="89"/>
        <v>14000000</v>
      </c>
      <c r="L138" s="5">
        <f t="shared" si="86"/>
        <v>14.383561643835616</v>
      </c>
      <c r="O138" s="5">
        <f t="shared" si="87"/>
        <v>10.071942446043165</v>
      </c>
      <c r="P138" s="305">
        <f t="shared" si="90"/>
        <v>85.61643835616438</v>
      </c>
      <c r="R138" s="304" t="s">
        <v>98</v>
      </c>
      <c r="S138" s="5">
        <v>14.383561643835616</v>
      </c>
      <c r="T138" s="5">
        <v>10.071942446043165</v>
      </c>
      <c r="U138" s="5">
        <v>13.300000000046566</v>
      </c>
      <c r="V138" s="304" t="s">
        <v>110</v>
      </c>
      <c r="W138" s="5">
        <v>-13.333333333333334</v>
      </c>
      <c r="X138" s="5">
        <v>-13.333333333333334</v>
      </c>
      <c r="AO138" s="5">
        <v>2.0833333334885538</v>
      </c>
      <c r="AP138" s="6" t="s">
        <v>97</v>
      </c>
      <c r="AQ138" s="5">
        <f>AN102</f>
        <v>158113883.0084191</v>
      </c>
      <c r="AR138" s="5">
        <f>AN63</f>
        <v>44000000</v>
      </c>
      <c r="AS138" s="5">
        <f t="shared" si="93"/>
        <v>0.72171956590518282</v>
      </c>
      <c r="AT138" s="5">
        <f t="shared" si="94"/>
        <v>0.27828043409481718</v>
      </c>
      <c r="AU138" s="5">
        <f t="shared" si="95"/>
        <v>1</v>
      </c>
    </row>
    <row r="139" spans="1:66" x14ac:dyDescent="0.25">
      <c r="A139" s="306" t="s">
        <v>99</v>
      </c>
      <c r="B139" s="306">
        <v>8.3104463961980137</v>
      </c>
      <c r="C139" s="306">
        <v>8.4099466271824603</v>
      </c>
      <c r="D139" s="306">
        <f t="shared" si="88"/>
        <v>-9.9500230984446603E-2</v>
      </c>
      <c r="E139" s="306">
        <v>208000000</v>
      </c>
      <c r="F139" s="310">
        <v>230846269.19229189</v>
      </c>
      <c r="G139" s="310"/>
      <c r="H139" s="310"/>
      <c r="I139" s="306">
        <v>262469045.79397565</v>
      </c>
      <c r="J139" s="306">
        <f t="shared" si="85"/>
        <v>-54469045.793975651</v>
      </c>
      <c r="K139" s="5">
        <f t="shared" si="89"/>
        <v>-31622776.601683766</v>
      </c>
      <c r="L139" s="5">
        <f t="shared" si="86"/>
        <v>-26.187041247103675</v>
      </c>
      <c r="O139" s="5">
        <f t="shared" si="87"/>
        <v>-13.698630136986278</v>
      </c>
      <c r="P139" s="307">
        <f t="shared" si="90"/>
        <v>126.18704124710366</v>
      </c>
      <c r="R139" s="306" t="s">
        <v>99</v>
      </c>
      <c r="S139" s="5">
        <v>-26.187041247103675</v>
      </c>
      <c r="T139" s="5">
        <v>-13.698630136986278</v>
      </c>
      <c r="U139" s="5">
        <v>0</v>
      </c>
      <c r="V139" s="306" t="s">
        <v>93</v>
      </c>
      <c r="W139" s="5">
        <v>7.6923076923076925</v>
      </c>
      <c r="X139" s="5">
        <v>21.739130434782609</v>
      </c>
      <c r="AO139" s="5">
        <v>4.0833333333721384</v>
      </c>
      <c r="AP139" s="6" t="s">
        <v>98</v>
      </c>
      <c r="AQ139" s="5">
        <f>AN104</f>
        <v>145464772.36774558</v>
      </c>
      <c r="AR139" s="5">
        <f>AN64</f>
        <v>148627050.02791396</v>
      </c>
      <c r="AS139" s="5">
        <f t="shared" si="93"/>
        <v>-2.1739130434782591E-2</v>
      </c>
      <c r="AT139" s="5">
        <f t="shared" si="94"/>
        <v>1.0217391304347825</v>
      </c>
      <c r="AU139" s="5">
        <f t="shared" si="95"/>
        <v>0.99999999999999989</v>
      </c>
      <c r="AV139" s="5">
        <f t="shared" ref="AV139:AW139" si="98">AVERAGE(AS139:AS141)</f>
        <v>2.7709710705600837E-2</v>
      </c>
      <c r="AW139" s="5">
        <f t="shared" si="98"/>
        <v>0.97229028929439909</v>
      </c>
      <c r="AX139" s="5">
        <f t="shared" ref="AX139:AY139" si="99">STDEV(AS139:AS141)</f>
        <v>0.31295370600672778</v>
      </c>
      <c r="AY139" s="5">
        <f t="shared" si="99"/>
        <v>0.31295370600672795</v>
      </c>
    </row>
    <row r="140" spans="1:66" x14ac:dyDescent="0.25">
      <c r="A140" s="308" t="s">
        <v>100</v>
      </c>
      <c r="B140" s="308">
        <v>8.0876812527572035</v>
      </c>
      <c r="C140" s="308">
        <v>7.8408034644783795</v>
      </c>
      <c r="D140" s="308">
        <f t="shared" si="88"/>
        <v>0.24687778827882401</v>
      </c>
      <c r="E140" s="308">
        <v>124000000</v>
      </c>
      <c r="F140" s="5">
        <v>110000000</v>
      </c>
      <c r="I140" s="308">
        <v>74000000</v>
      </c>
      <c r="J140" s="308">
        <f t="shared" si="85"/>
        <v>50000000</v>
      </c>
      <c r="K140" s="5">
        <f t="shared" si="89"/>
        <v>36000000</v>
      </c>
      <c r="L140" s="5">
        <f t="shared" si="86"/>
        <v>40.322580645161288</v>
      </c>
      <c r="O140" s="5">
        <f t="shared" si="87"/>
        <v>32.727272727272727</v>
      </c>
      <c r="P140" s="309">
        <f t="shared" si="90"/>
        <v>59.677419354838712</v>
      </c>
      <c r="R140" s="308" t="s">
        <v>100</v>
      </c>
      <c r="S140" s="5">
        <v>40.322580645161288</v>
      </c>
      <c r="T140" s="5">
        <v>32.727272727272727</v>
      </c>
      <c r="U140" s="5">
        <v>2.0833333334885538</v>
      </c>
      <c r="V140" s="306" t="s">
        <v>96</v>
      </c>
      <c r="W140" s="5">
        <v>5.833333333333333</v>
      </c>
      <c r="X140" s="5">
        <v>2.5862068965517242</v>
      </c>
      <c r="AO140" s="5">
        <v>4.0833333333721384</v>
      </c>
      <c r="AP140" s="6" t="s">
        <v>99</v>
      </c>
      <c r="AQ140" s="5">
        <f>AN106</f>
        <v>208710325.57111323</v>
      </c>
      <c r="AR140" s="5">
        <f>AN66</f>
        <v>262469045.79397565</v>
      </c>
      <c r="AS140" s="5">
        <f t="shared" si="93"/>
        <v>-0.25757575757575724</v>
      </c>
      <c r="AT140" s="5">
        <f t="shared" si="94"/>
        <v>1.2575757575757571</v>
      </c>
      <c r="AU140" s="5">
        <f t="shared" si="95"/>
        <v>0.99999999999999989</v>
      </c>
    </row>
    <row r="141" spans="1:66" x14ac:dyDescent="0.25">
      <c r="A141" s="304" t="s">
        <v>101</v>
      </c>
      <c r="B141" s="304">
        <v>8.5171465103470894</v>
      </c>
      <c r="C141" s="304">
        <v>8.3794876465394417</v>
      </c>
      <c r="D141" s="304">
        <f t="shared" si="88"/>
        <v>0.13765886380764769</v>
      </c>
      <c r="E141" s="304">
        <v>338363709.63801688</v>
      </c>
      <c r="F141" s="5">
        <v>325714598.99734336</v>
      </c>
      <c r="I141" s="304">
        <v>249819935.15330219</v>
      </c>
      <c r="J141" s="304">
        <f t="shared" si="85"/>
        <v>88543774.484714687</v>
      </c>
      <c r="K141" s="5">
        <f t="shared" si="89"/>
        <v>75894663.844041169</v>
      </c>
      <c r="L141" s="5">
        <f t="shared" si="86"/>
        <v>26.168224299065418</v>
      </c>
      <c r="O141" s="5">
        <f t="shared" si="87"/>
        <v>23.300970873786405</v>
      </c>
      <c r="P141" s="305">
        <f t="shared" si="90"/>
        <v>73.831775700934585</v>
      </c>
      <c r="R141" s="304" t="s">
        <v>101</v>
      </c>
      <c r="S141" s="5">
        <v>26.168224299065418</v>
      </c>
      <c r="T141" s="5">
        <v>23.300970873786405</v>
      </c>
      <c r="U141" s="5">
        <v>4.0833333333721384</v>
      </c>
      <c r="V141" s="306" t="s">
        <v>99</v>
      </c>
      <c r="W141" s="5">
        <v>-26.187041247103675</v>
      </c>
      <c r="X141" s="5">
        <v>-13.698630136986278</v>
      </c>
      <c r="AO141" s="5">
        <v>4.0833333333721384</v>
      </c>
      <c r="AP141" s="6" t="s">
        <v>100</v>
      </c>
      <c r="AQ141" s="5">
        <f>AN108</f>
        <v>124000000</v>
      </c>
      <c r="AR141" s="5">
        <f>AN68</f>
        <v>79056941.504209548</v>
      </c>
      <c r="AS141" s="5">
        <f t="shared" si="93"/>
        <v>0.36244402012734234</v>
      </c>
      <c r="AT141" s="5">
        <f t="shared" si="94"/>
        <v>0.63755597987265766</v>
      </c>
      <c r="AU141" s="5">
        <f t="shared" si="95"/>
        <v>1</v>
      </c>
    </row>
    <row r="142" spans="1:66" x14ac:dyDescent="0.25">
      <c r="A142" s="306" t="s">
        <v>102</v>
      </c>
      <c r="B142" s="306">
        <v>8.753182021773906</v>
      </c>
      <c r="C142" s="306">
        <v>8.6274679280870394</v>
      </c>
      <c r="D142" s="306">
        <f t="shared" si="88"/>
        <v>0.12571409368686659</v>
      </c>
      <c r="E142" s="306">
        <v>585021367.13115072</v>
      </c>
      <c r="F142" s="310">
        <v>660000000</v>
      </c>
      <c r="G142" s="310"/>
      <c r="H142" s="310"/>
      <c r="I142" s="306">
        <v>445881150.08374184</v>
      </c>
      <c r="J142" s="306">
        <f t="shared" si="85"/>
        <v>139140217.04740888</v>
      </c>
      <c r="K142" s="5">
        <f t="shared" si="89"/>
        <v>214118849.91625816</v>
      </c>
      <c r="L142" s="5">
        <f t="shared" si="86"/>
        <v>23.783783783783793</v>
      </c>
      <c r="O142" s="5">
        <f t="shared" si="87"/>
        <v>32.442249987311847</v>
      </c>
      <c r="P142" s="307">
        <f t="shared" si="90"/>
        <v>76.21621621621621</v>
      </c>
      <c r="R142" s="306" t="s">
        <v>102</v>
      </c>
      <c r="S142" s="5">
        <v>23.783783783783793</v>
      </c>
      <c r="T142" s="5">
        <v>32.442249987311847</v>
      </c>
      <c r="U142" s="5">
        <v>6.4166666668024845</v>
      </c>
      <c r="V142" s="306" t="s">
        <v>102</v>
      </c>
      <c r="W142" s="5">
        <v>23.783783783783793</v>
      </c>
      <c r="X142" s="5">
        <v>32.442249987311847</v>
      </c>
      <c r="AO142" s="5">
        <v>6.4166666668024845</v>
      </c>
      <c r="AP142" s="6" t="s">
        <v>101</v>
      </c>
      <c r="AQ142" s="5">
        <f>AN110</f>
        <v>338363709.63801688</v>
      </c>
      <c r="AR142" s="5">
        <f>AN71</f>
        <v>249819935.15330219</v>
      </c>
      <c r="AS142" s="5">
        <f t="shared" si="93"/>
        <v>0.26168224299065418</v>
      </c>
      <c r="AT142" s="5">
        <f t="shared" si="94"/>
        <v>0.73831775700934588</v>
      </c>
      <c r="AU142" s="5">
        <f t="shared" si="95"/>
        <v>1</v>
      </c>
      <c r="AV142" s="5">
        <f t="shared" ref="AV142:AW142" si="100">AVERAGE(AS142:AS144)</f>
        <v>0.30036626552877077</v>
      </c>
      <c r="AW142" s="5">
        <f t="shared" si="100"/>
        <v>0.69963373447122923</v>
      </c>
      <c r="AX142" s="5">
        <f t="shared" ref="AX142:AY142" si="101">STDEV(AS142:AS144)</f>
        <v>3.9646118584010258E-2</v>
      </c>
      <c r="AY142" s="5">
        <f t="shared" si="101"/>
        <v>3.9646118584010431E-2</v>
      </c>
    </row>
    <row r="143" spans="1:66" x14ac:dyDescent="0.25">
      <c r="A143" s="308" t="s">
        <v>103</v>
      </c>
      <c r="B143" s="308">
        <v>8.266707900048953</v>
      </c>
      <c r="C143" s="308">
        <v>7.9738865792299602</v>
      </c>
      <c r="D143" s="308">
        <f t="shared" si="88"/>
        <v>0.2928213208189927</v>
      </c>
      <c r="E143" s="308">
        <v>186000000</v>
      </c>
      <c r="F143" s="5">
        <v>410000000</v>
      </c>
      <c r="I143" s="308">
        <v>98000000</v>
      </c>
      <c r="J143" s="308">
        <f t="shared" si="85"/>
        <v>88000000</v>
      </c>
      <c r="K143" s="5">
        <f t="shared" si="89"/>
        <v>312000000</v>
      </c>
      <c r="L143" s="5">
        <f t="shared" si="86"/>
        <v>47.311827956989248</v>
      </c>
      <c r="O143" s="5">
        <f t="shared" si="87"/>
        <v>76.097560975609753</v>
      </c>
      <c r="P143" s="309">
        <f t="shared" si="90"/>
        <v>52.688172043010752</v>
      </c>
      <c r="R143" s="308" t="s">
        <v>103</v>
      </c>
      <c r="S143" s="5">
        <v>47.311827956989248</v>
      </c>
      <c r="T143" s="5">
        <v>76.097560975609753</v>
      </c>
      <c r="U143" s="5">
        <v>8.6000000000931323</v>
      </c>
      <c r="V143" s="306" t="s">
        <v>105</v>
      </c>
      <c r="W143" s="5">
        <v>15.909090909090926</v>
      </c>
      <c r="X143" s="5">
        <v>-62.505935314208507</v>
      </c>
      <c r="AO143" s="5">
        <v>6.4166666668024845</v>
      </c>
      <c r="AP143" s="6" t="s">
        <v>102</v>
      </c>
      <c r="AQ143" s="5">
        <f>AN112</f>
        <v>670000000</v>
      </c>
      <c r="AR143" s="5">
        <f>AN73</f>
        <v>470000000</v>
      </c>
      <c r="AS143" s="5">
        <f t="shared" si="93"/>
        <v>0.29850746268656714</v>
      </c>
      <c r="AT143" s="5">
        <f t="shared" si="94"/>
        <v>0.70149253731343286</v>
      </c>
      <c r="AU143" s="5">
        <f t="shared" si="95"/>
        <v>1</v>
      </c>
    </row>
    <row r="144" spans="1:66" x14ac:dyDescent="0.25">
      <c r="A144" s="304" t="s">
        <v>104</v>
      </c>
      <c r="B144" s="304">
        <v>8.791308770921793</v>
      </c>
      <c r="C144" s="304">
        <v>8.7865095291034638</v>
      </c>
      <c r="D144" s="304">
        <f t="shared" si="88"/>
        <v>4.7992418183291363E-3</v>
      </c>
      <c r="E144" s="304">
        <v>626130976.71333957</v>
      </c>
      <c r="F144" s="310">
        <v>490000000</v>
      </c>
      <c r="G144" s="310"/>
      <c r="H144" s="310"/>
      <c r="I144" s="304">
        <v>622968699.05317128</v>
      </c>
      <c r="J144" s="304">
        <f t="shared" si="85"/>
        <v>3162277.6601682901</v>
      </c>
      <c r="K144" s="5">
        <f t="shared" si="89"/>
        <v>-132968699.05317128</v>
      </c>
      <c r="L144" s="5">
        <f t="shared" si="86"/>
        <v>0.50505050505049043</v>
      </c>
      <c r="O144" s="5">
        <f t="shared" si="87"/>
        <v>-27.13646919452475</v>
      </c>
      <c r="P144" s="305">
        <f t="shared" si="90"/>
        <v>99.494949494949509</v>
      </c>
      <c r="R144" s="304" t="s">
        <v>104</v>
      </c>
      <c r="S144" s="5">
        <v>0.50505050505049043</v>
      </c>
      <c r="T144" s="5">
        <v>-27.13646919452475</v>
      </c>
      <c r="U144" s="5">
        <v>10.833333333372138</v>
      </c>
      <c r="V144" s="306" t="s">
        <v>108</v>
      </c>
      <c r="W144" s="5">
        <v>13.020833333333334</v>
      </c>
      <c r="X144" s="5">
        <v>13.020833333333334</v>
      </c>
      <c r="AO144" s="5">
        <v>6.4166666668024845</v>
      </c>
      <c r="AP144" s="6" t="s">
        <v>103</v>
      </c>
      <c r="AQ144" s="5">
        <f>AN114</f>
        <v>278280434.09481764</v>
      </c>
      <c r="AR144" s="5">
        <f>AN76</f>
        <v>183412104.28976616</v>
      </c>
      <c r="AS144" s="5">
        <f t="shared" si="93"/>
        <v>0.34090909090909094</v>
      </c>
      <c r="AT144" s="5">
        <f t="shared" si="94"/>
        <v>0.65909090909090906</v>
      </c>
      <c r="AU144" s="5">
        <f t="shared" si="95"/>
        <v>1</v>
      </c>
    </row>
    <row r="145" spans="1:51" x14ac:dyDescent="0.25">
      <c r="A145" s="306" t="s">
        <v>105</v>
      </c>
      <c r="B145" s="306">
        <v>8.833160279107485</v>
      </c>
      <c r="C145" s="306">
        <v>8.7490090216461418</v>
      </c>
      <c r="D145" s="306">
        <f t="shared" si="88"/>
        <v>8.4151257461343221E-2</v>
      </c>
      <c r="E145" s="306">
        <v>695701085.2370441</v>
      </c>
      <c r="F145" s="310">
        <v>360000000</v>
      </c>
      <c r="G145" s="310"/>
      <c r="H145" s="310"/>
      <c r="I145" s="306">
        <v>585021367.1311506</v>
      </c>
      <c r="J145" s="306">
        <f t="shared" si="85"/>
        <v>110679718.10589349</v>
      </c>
      <c r="K145" s="5">
        <f t="shared" si="89"/>
        <v>-225021367.1311506</v>
      </c>
      <c r="L145" s="5">
        <f t="shared" si="86"/>
        <v>15.909090909090926</v>
      </c>
      <c r="O145" s="5">
        <f t="shared" si="87"/>
        <v>-62.505935314208507</v>
      </c>
      <c r="P145" s="307">
        <f t="shared" si="90"/>
        <v>84.090909090909065</v>
      </c>
      <c r="R145" s="306" t="s">
        <v>105</v>
      </c>
      <c r="S145" s="5">
        <v>15.909090909090926</v>
      </c>
      <c r="T145" s="5">
        <v>-62.505935314208507</v>
      </c>
      <c r="U145" s="5">
        <v>13.300000000046566</v>
      </c>
      <c r="V145" s="306" t="s">
        <v>111</v>
      </c>
      <c r="W145" s="5">
        <v>14.409221902017292</v>
      </c>
      <c r="AO145" s="5">
        <v>8.6000000000931323</v>
      </c>
      <c r="AP145" s="6" t="s">
        <v>104</v>
      </c>
      <c r="AQ145" s="5">
        <f>AN116</f>
        <v>490000000</v>
      </c>
      <c r="AR145" s="5">
        <f>AN79</f>
        <v>310000000</v>
      </c>
      <c r="AS145" s="5">
        <f t="shared" si="93"/>
        <v>0.36734693877551022</v>
      </c>
      <c r="AT145" s="5">
        <f t="shared" si="94"/>
        <v>0.63265306122448983</v>
      </c>
      <c r="AU145" s="5">
        <f t="shared" si="95"/>
        <v>1</v>
      </c>
      <c r="AV145" s="5">
        <f t="shared" ref="AV145:AW145" si="102">AVERAGE(AS145:AS147)</f>
        <v>3.3753981535928047E-2</v>
      </c>
      <c r="AW145" s="5">
        <f t="shared" si="102"/>
        <v>0.96624601846407188</v>
      </c>
      <c r="AX145" s="5">
        <f t="shared" ref="AX145:AY145" si="103">STDEV(AS145:AS147)</f>
        <v>0.5705644420092304</v>
      </c>
      <c r="AY145" s="5">
        <f t="shared" si="103"/>
        <v>0.57056444200923084</v>
      </c>
    </row>
    <row r="146" spans="1:51" x14ac:dyDescent="0.25">
      <c r="A146" s="308" t="s">
        <v>106</v>
      </c>
      <c r="B146" s="308">
        <v>8.3802801081563096</v>
      </c>
      <c r="C146" s="308">
        <v>8.1354738776927924</v>
      </c>
      <c r="D146" s="308">
        <f t="shared" si="88"/>
        <v>0.24480623046351724</v>
      </c>
      <c r="E146" s="308">
        <v>246657657.49313378</v>
      </c>
      <c r="F146" s="5">
        <v>237170824.51262864</v>
      </c>
      <c r="I146" s="308">
        <v>139000000</v>
      </c>
      <c r="J146" s="308">
        <f t="shared" si="85"/>
        <v>107657657.49313378</v>
      </c>
      <c r="K146" s="5">
        <f t="shared" si="89"/>
        <v>98170824.512628645</v>
      </c>
      <c r="L146" s="5">
        <f t="shared" si="86"/>
        <v>43.646590414948157</v>
      </c>
      <c r="O146" s="5">
        <f t="shared" si="87"/>
        <v>41.39245403154608</v>
      </c>
      <c r="P146" s="309">
        <f t="shared" si="90"/>
        <v>56.353409585051836</v>
      </c>
      <c r="R146" s="308" t="s">
        <v>106</v>
      </c>
      <c r="S146" s="5">
        <v>43.646590414948157</v>
      </c>
      <c r="T146" s="5">
        <v>41.39245403154608</v>
      </c>
      <c r="U146" s="5">
        <v>0</v>
      </c>
      <c r="V146" s="308" t="s">
        <v>94</v>
      </c>
      <c r="W146" s="5">
        <v>46.341463414634148</v>
      </c>
      <c r="X146" s="5">
        <v>63.934426229508205</v>
      </c>
      <c r="AO146" s="5">
        <v>8.6000000000931323</v>
      </c>
      <c r="AP146" s="6" t="s">
        <v>105</v>
      </c>
      <c r="AQ146" s="5">
        <f>AN118</f>
        <v>360000000</v>
      </c>
      <c r="AR146" s="5">
        <f>AN82</f>
        <v>585021367.1311506</v>
      </c>
      <c r="AS146" s="5">
        <f t="shared" si="93"/>
        <v>-0.62505935314208505</v>
      </c>
      <c r="AT146" s="5">
        <f t="shared" si="94"/>
        <v>1.6250593531420849</v>
      </c>
      <c r="AU146" s="5">
        <f t="shared" si="95"/>
        <v>0.99999999999999989</v>
      </c>
    </row>
    <row r="147" spans="1:51" x14ac:dyDescent="0.25">
      <c r="A147" s="304" t="s">
        <v>107</v>
      </c>
      <c r="B147" s="304">
        <v>8.9575601613562643</v>
      </c>
      <c r="C147" s="304">
        <v>8.9274091725389333</v>
      </c>
      <c r="D147" s="304">
        <f t="shared" si="88"/>
        <v>3.0150988817331026E-2</v>
      </c>
      <c r="E147" s="304">
        <v>853814968.24546313</v>
      </c>
      <c r="F147" s="310">
        <v>790000000</v>
      </c>
      <c r="G147" s="310"/>
      <c r="H147" s="310"/>
      <c r="I147" s="304">
        <v>940000000</v>
      </c>
      <c r="J147" s="304">
        <f t="shared" si="85"/>
        <v>-86185031.754536867</v>
      </c>
      <c r="K147" s="5">
        <f t="shared" si="89"/>
        <v>-150000000</v>
      </c>
      <c r="L147" s="5">
        <f t="shared" si="86"/>
        <v>-10.09411113178793</v>
      </c>
      <c r="O147" s="5">
        <f t="shared" si="87"/>
        <v>-18.9873417721519</v>
      </c>
      <c r="P147" s="305">
        <f t="shared" si="90"/>
        <v>110.09411113178793</v>
      </c>
      <c r="R147" s="304" t="s">
        <v>107</v>
      </c>
      <c r="S147" s="5">
        <v>-10.09411113178793</v>
      </c>
      <c r="T147" s="5">
        <v>-18.9873417721519</v>
      </c>
      <c r="U147" s="5">
        <v>2.0833333334885538</v>
      </c>
      <c r="V147" s="308" t="s">
        <v>97</v>
      </c>
      <c r="W147" s="5">
        <v>52.688172043010752</v>
      </c>
      <c r="X147" s="5">
        <v>47.619047619047613</v>
      </c>
      <c r="AO147" s="5">
        <v>8.6000000000931323</v>
      </c>
      <c r="AP147" s="6" t="s">
        <v>106</v>
      </c>
      <c r="AQ147" s="5">
        <f>AN120</f>
        <v>246657657.49313378</v>
      </c>
      <c r="AR147" s="5">
        <f>AN83</f>
        <v>158113883.0084191</v>
      </c>
      <c r="AS147" s="5">
        <f t="shared" si="93"/>
        <v>0.35897435897435898</v>
      </c>
      <c r="AT147" s="5">
        <f t="shared" si="94"/>
        <v>0.64102564102564108</v>
      </c>
      <c r="AU147" s="5">
        <f t="shared" si="95"/>
        <v>1</v>
      </c>
    </row>
    <row r="148" spans="1:51" x14ac:dyDescent="0.25">
      <c r="A148" s="306" t="s">
        <v>108</v>
      </c>
      <c r="B148" s="306">
        <v>9.2134054625538226</v>
      </c>
      <c r="C148" s="306">
        <v>9.2721855971080593</v>
      </c>
      <c r="D148" s="306">
        <f t="shared" si="88"/>
        <v>-5.8780134554236696E-2</v>
      </c>
      <c r="E148" s="306">
        <v>1920000000</v>
      </c>
      <c r="F148" s="5">
        <v>1920000000</v>
      </c>
      <c r="I148" s="306">
        <v>1670000000</v>
      </c>
      <c r="J148" s="306">
        <f t="shared" si="85"/>
        <v>250000000</v>
      </c>
      <c r="K148" s="5">
        <f t="shared" si="89"/>
        <v>250000000</v>
      </c>
      <c r="L148" s="5">
        <f t="shared" si="86"/>
        <v>13.020833333333334</v>
      </c>
      <c r="O148" s="5">
        <f t="shared" si="87"/>
        <v>13.020833333333334</v>
      </c>
      <c r="P148" s="307">
        <f t="shared" si="90"/>
        <v>86.979166666666657</v>
      </c>
      <c r="R148" s="306" t="s">
        <v>108</v>
      </c>
      <c r="S148" s="5">
        <v>13.020833333333334</v>
      </c>
      <c r="T148" s="5">
        <v>13.020833333333334</v>
      </c>
      <c r="U148" s="5">
        <v>4.0833333333721384</v>
      </c>
      <c r="V148" s="308" t="s">
        <v>100</v>
      </c>
      <c r="W148" s="5">
        <v>40.322580645161288</v>
      </c>
      <c r="X148" s="5">
        <v>32.727272727272727</v>
      </c>
      <c r="AO148" s="5">
        <v>10.833333333372138</v>
      </c>
      <c r="AP148" s="6" t="s">
        <v>107</v>
      </c>
      <c r="AQ148" s="5">
        <f>AN122</f>
        <v>790000000</v>
      </c>
      <c r="AR148" s="5">
        <f>AN85</f>
        <v>940000000</v>
      </c>
      <c r="AS148" s="5">
        <f t="shared" si="93"/>
        <v>-0.189873417721519</v>
      </c>
      <c r="AT148" s="5">
        <f t="shared" si="94"/>
        <v>1.1898734177215189</v>
      </c>
      <c r="AU148" s="5">
        <f t="shared" si="95"/>
        <v>0.99999999999999989</v>
      </c>
      <c r="AV148" s="5">
        <f t="shared" ref="AV148:AW148" si="104">AVERAGE(AS148:AS150)</f>
        <v>-9.647991000307371E-2</v>
      </c>
      <c r="AW148" s="5">
        <f t="shared" si="104"/>
        <v>1.0964799100030735</v>
      </c>
      <c r="AX148" s="5">
        <f t="shared" ref="AX148:AY148" si="105">STDEV(AS148:AS150)</f>
        <v>0.1973289049966625</v>
      </c>
      <c r="AY148" s="5">
        <f t="shared" si="105"/>
        <v>0.19732890499666253</v>
      </c>
    </row>
    <row r="149" spans="1:51" x14ac:dyDescent="0.25">
      <c r="A149" s="308" t="s">
        <v>109</v>
      </c>
      <c r="B149" s="308">
        <v>8.2913767151954119</v>
      </c>
      <c r="C149" s="308">
        <v>8.3343891843997575</v>
      </c>
      <c r="D149" s="308">
        <f t="shared" si="88"/>
        <v>-4.3012469204345649E-2</v>
      </c>
      <c r="E149" s="308">
        <v>222000000</v>
      </c>
      <c r="F149" s="310">
        <v>170762993.64909261</v>
      </c>
      <c r="G149" s="310"/>
      <c r="H149" s="310"/>
      <c r="I149" s="308">
        <v>199000000</v>
      </c>
      <c r="J149" s="308">
        <f t="shared" si="85"/>
        <v>23000000</v>
      </c>
      <c r="K149" s="5">
        <f t="shared" si="89"/>
        <v>-28237006.350907385</v>
      </c>
      <c r="L149" s="5">
        <f t="shared" si="86"/>
        <v>10.36036036036036</v>
      </c>
      <c r="O149" s="5">
        <f t="shared" si="87"/>
        <v>-16.535787846945745</v>
      </c>
      <c r="P149" s="309">
        <f t="shared" si="90"/>
        <v>89.63963963963964</v>
      </c>
      <c r="R149" s="308" t="s">
        <v>109</v>
      </c>
      <c r="S149" s="5">
        <v>10.36036036036036</v>
      </c>
      <c r="T149" s="5">
        <v>-16.535787846945745</v>
      </c>
      <c r="U149" s="5">
        <v>6.4166666668024845</v>
      </c>
      <c r="V149" s="308" t="s">
        <v>103</v>
      </c>
      <c r="W149" s="5">
        <v>47.311827956989248</v>
      </c>
      <c r="X149" s="5">
        <v>76.097560975609753</v>
      </c>
      <c r="AO149" s="5">
        <v>10.833333333372138</v>
      </c>
      <c r="AP149" s="6" t="s">
        <v>108</v>
      </c>
      <c r="AQ149" s="5">
        <f>AN124</f>
        <v>1920000000</v>
      </c>
      <c r="AR149" s="5">
        <f>AN86</f>
        <v>1670000000</v>
      </c>
      <c r="AS149" s="5">
        <f t="shared" si="93"/>
        <v>0.13020833333333334</v>
      </c>
      <c r="AT149" s="5">
        <f t="shared" si="94"/>
        <v>0.86979166666666663</v>
      </c>
      <c r="AU149" s="5">
        <f t="shared" si="95"/>
        <v>1</v>
      </c>
    </row>
    <row r="150" spans="1:51" x14ac:dyDescent="0.25">
      <c r="A150" s="304" t="s">
        <v>110</v>
      </c>
      <c r="B150" s="304">
        <v>9.0494384685078249</v>
      </c>
      <c r="C150" s="304">
        <v>9.0110465181229333</v>
      </c>
      <c r="D150" s="304">
        <f t="shared" si="88"/>
        <v>3.8391950384891516E-2</v>
      </c>
      <c r="E150" s="304">
        <v>1050000000</v>
      </c>
      <c r="F150" s="5">
        <v>1050000000</v>
      </c>
      <c r="I150" s="304">
        <v>1190000000</v>
      </c>
      <c r="J150" s="304">
        <f t="shared" si="85"/>
        <v>-140000000</v>
      </c>
      <c r="K150" s="5">
        <f t="shared" si="89"/>
        <v>-140000000</v>
      </c>
      <c r="L150" s="5">
        <f t="shared" si="86"/>
        <v>-13.333333333333334</v>
      </c>
      <c r="O150" s="5">
        <f t="shared" si="87"/>
        <v>-13.333333333333334</v>
      </c>
      <c r="P150" s="305">
        <f t="shared" si="90"/>
        <v>113.33333333333333</v>
      </c>
      <c r="R150" s="304" t="s">
        <v>110</v>
      </c>
      <c r="S150" s="5">
        <v>-13.333333333333334</v>
      </c>
      <c r="T150" s="5">
        <v>-13.333333333333334</v>
      </c>
      <c r="U150" s="5">
        <v>8.6000000000931323</v>
      </c>
      <c r="V150" s="308" t="s">
        <v>106</v>
      </c>
      <c r="W150" s="5">
        <v>43.646590414948157</v>
      </c>
      <c r="X150" s="5">
        <v>41.39245403154608</v>
      </c>
      <c r="AO150" s="5">
        <v>10.833333333372138</v>
      </c>
      <c r="AP150" s="6" t="s">
        <v>109</v>
      </c>
      <c r="AQ150" s="5">
        <f>AN125</f>
        <v>170762993.64909261</v>
      </c>
      <c r="AR150" s="5">
        <f>AN87</f>
        <v>210000000</v>
      </c>
      <c r="AS150" s="5">
        <f t="shared" si="93"/>
        <v>-0.22977464562103547</v>
      </c>
      <c r="AT150" s="5">
        <f t="shared" si="94"/>
        <v>1.2297746456210354</v>
      </c>
      <c r="AU150" s="5">
        <f t="shared" si="95"/>
        <v>1</v>
      </c>
    </row>
    <row r="151" spans="1:51" x14ac:dyDescent="0.25">
      <c r="A151" s="306" t="s">
        <v>111</v>
      </c>
      <c r="B151" s="306">
        <v>9.4585718313559486</v>
      </c>
      <c r="C151" s="306">
        <v>9.5271114898706202</v>
      </c>
      <c r="D151" s="306">
        <f t="shared" si="88"/>
        <v>-6.8539658514671586E-2</v>
      </c>
      <c r="E151" s="306">
        <v>3470000000</v>
      </c>
      <c r="I151" s="306">
        <v>2970000000</v>
      </c>
      <c r="J151" s="306">
        <f t="shared" si="85"/>
        <v>500000000</v>
      </c>
      <c r="L151" s="5">
        <f t="shared" si="86"/>
        <v>14.409221902017292</v>
      </c>
      <c r="P151" s="307">
        <f t="shared" si="90"/>
        <v>85.590778097982707</v>
      </c>
      <c r="R151" s="306" t="s">
        <v>111</v>
      </c>
      <c r="S151" s="5">
        <v>14.409221902017292</v>
      </c>
      <c r="U151" s="5">
        <v>10.833333333372138</v>
      </c>
      <c r="V151" s="308" t="s">
        <v>109</v>
      </c>
      <c r="W151" s="5">
        <v>10.36036036036036</v>
      </c>
      <c r="X151" s="5">
        <v>-16.535787846945745</v>
      </c>
      <c r="AO151" s="5">
        <v>13.300000000046566</v>
      </c>
      <c r="AP151" s="6" t="s">
        <v>110</v>
      </c>
      <c r="AQ151" s="5">
        <f>AN127</f>
        <v>1050000000</v>
      </c>
      <c r="AR151" s="5">
        <f>AN90</f>
        <v>1190000000</v>
      </c>
      <c r="AS151" s="5">
        <f t="shared" si="93"/>
        <v>-0.13333333333333333</v>
      </c>
      <c r="AT151" s="5">
        <f t="shared" si="94"/>
        <v>1.1333333333333333</v>
      </c>
      <c r="AU151" s="5">
        <f t="shared" si="95"/>
        <v>1</v>
      </c>
      <c r="AV151" s="5">
        <f t="shared" ref="AV151:AW151" si="106">AVERAGE(AS151:AS153)</f>
        <v>2.8902750925149059E-2</v>
      </c>
      <c r="AW151" s="5">
        <f t="shared" si="106"/>
        <v>0.97109724907485095</v>
      </c>
      <c r="AX151" s="5">
        <f t="shared" ref="AX151:AY151" si="107">STDEV(AS151:AS153)</f>
        <v>0.14457272337472879</v>
      </c>
      <c r="AY151" s="5">
        <f t="shared" si="107"/>
        <v>0.14457272337472807</v>
      </c>
    </row>
    <row r="152" spans="1:51" x14ac:dyDescent="0.25">
      <c r="A152" s="308" t="s">
        <v>112</v>
      </c>
      <c r="B152" s="308">
        <v>8.8473152976508551</v>
      </c>
      <c r="C152" s="308">
        <v>8.8237977815622184</v>
      </c>
      <c r="D152" s="308">
        <f t="shared" si="88"/>
        <v>2.3517516088636725E-2</v>
      </c>
      <c r="E152" s="308">
        <v>790000000</v>
      </c>
      <c r="F152" s="5">
        <v>790000000</v>
      </c>
      <c r="I152" s="308">
        <v>730000000</v>
      </c>
      <c r="J152" s="308">
        <f t="shared" si="85"/>
        <v>60000000</v>
      </c>
      <c r="K152" s="5">
        <f t="shared" si="89"/>
        <v>60000000</v>
      </c>
      <c r="L152" s="5">
        <f t="shared" si="86"/>
        <v>7.59493670886076</v>
      </c>
      <c r="O152" s="5">
        <f>(K152/F152)*100</f>
        <v>7.59493670886076</v>
      </c>
      <c r="P152" s="309">
        <f t="shared" si="90"/>
        <v>92.405063291139243</v>
      </c>
      <c r="R152" s="308" t="s">
        <v>112</v>
      </c>
      <c r="S152" s="5">
        <v>7.59493670886076</v>
      </c>
      <c r="T152" s="5">
        <v>7.59493670886076</v>
      </c>
      <c r="U152" s="5">
        <v>13.300000000046566</v>
      </c>
      <c r="V152" s="308" t="s">
        <v>112</v>
      </c>
      <c r="W152" s="5">
        <v>7.59493670886076</v>
      </c>
      <c r="X152" s="5">
        <v>7.59493670886076</v>
      </c>
      <c r="AO152" s="5">
        <v>13.300000000046566</v>
      </c>
      <c r="AP152" s="6" t="s">
        <v>111</v>
      </c>
      <c r="AQ152" s="5">
        <f t="shared" ref="AQ152:AQ153" si="108">AN128</f>
        <v>3470000000</v>
      </c>
      <c r="AR152" s="5">
        <f t="shared" ref="AR152:AR153" si="109">AN91</f>
        <v>2970000000</v>
      </c>
      <c r="AS152" s="5">
        <f t="shared" si="93"/>
        <v>0.14409221902017291</v>
      </c>
      <c r="AT152" s="5">
        <f t="shared" si="94"/>
        <v>0.85590778097982712</v>
      </c>
      <c r="AU152" s="5">
        <f t="shared" si="95"/>
        <v>1</v>
      </c>
    </row>
    <row r="153" spans="1:51" x14ac:dyDescent="0.25">
      <c r="AO153" s="5">
        <v>13.300000000046566</v>
      </c>
      <c r="AP153" s="6" t="s">
        <v>112</v>
      </c>
      <c r="AQ153" s="5">
        <f t="shared" si="108"/>
        <v>790000000</v>
      </c>
      <c r="AR153" s="5">
        <f t="shared" si="109"/>
        <v>730000000</v>
      </c>
      <c r="AS153" s="5">
        <f t="shared" si="93"/>
        <v>7.5949367088607597E-2</v>
      </c>
      <c r="AT153" s="5">
        <f t="shared" si="94"/>
        <v>0.92405063291139244</v>
      </c>
      <c r="AU153" s="5">
        <f t="shared" si="95"/>
        <v>1</v>
      </c>
    </row>
    <row r="154" spans="1:51" x14ac:dyDescent="0.25">
      <c r="C154" s="5" t="s">
        <v>124</v>
      </c>
      <c r="D154" s="5" t="s">
        <v>126</v>
      </c>
      <c r="E154" s="5" t="s">
        <v>128</v>
      </c>
      <c r="J154" s="5" t="s">
        <v>235</v>
      </c>
      <c r="K154" s="5" t="s">
        <v>236</v>
      </c>
      <c r="L154" s="5" t="s">
        <v>237</v>
      </c>
    </row>
    <row r="155" spans="1:51" x14ac:dyDescent="0.25">
      <c r="A155" s="5" t="s">
        <v>19</v>
      </c>
      <c r="B155" s="5">
        <v>1</v>
      </c>
      <c r="C155" s="5">
        <v>22.402473012828811</v>
      </c>
      <c r="D155" s="5">
        <v>9.2562055361301757E-2</v>
      </c>
      <c r="E155" s="5">
        <v>6.0092697780024885E-2</v>
      </c>
      <c r="F155" s="106" t="s">
        <v>19</v>
      </c>
      <c r="G155" s="106"/>
      <c r="H155" s="106"/>
      <c r="I155" s="5">
        <v>1</v>
      </c>
      <c r="J155" s="5">
        <v>22.402473012828811</v>
      </c>
      <c r="K155" s="5">
        <v>9.2562055361301757E-2</v>
      </c>
      <c r="L155" s="5">
        <v>6.0092697780024885E-2</v>
      </c>
    </row>
    <row r="156" spans="1:51" x14ac:dyDescent="0.25">
      <c r="B156" s="5">
        <v>2</v>
      </c>
      <c r="C156" s="5">
        <v>23.188634331778928</v>
      </c>
      <c r="D156" s="5">
        <v>8.1109720969154794E-2</v>
      </c>
      <c r="E156" s="5">
        <v>6.1970789451674613E-2</v>
      </c>
      <c r="F156" s="106" t="s">
        <v>20</v>
      </c>
      <c r="G156" s="106"/>
      <c r="H156" s="106"/>
      <c r="J156" s="5">
        <v>22.867417422008725</v>
      </c>
      <c r="K156" s="5">
        <v>0.36916726293519514</v>
      </c>
      <c r="L156" s="5">
        <v>9.0483619642426127E-2</v>
      </c>
    </row>
    <row r="157" spans="1:51" x14ac:dyDescent="0.25">
      <c r="B157" s="5">
        <v>3</v>
      </c>
      <c r="C157" s="5">
        <v>23.187508903987034</v>
      </c>
      <c r="D157" s="5">
        <v>9.3848269777431659E-2</v>
      </c>
      <c r="E157" s="5">
        <v>6.8494704060467648E-2</v>
      </c>
      <c r="F157" s="106" t="s">
        <v>22</v>
      </c>
      <c r="G157" s="106"/>
      <c r="H157" s="106"/>
      <c r="J157" s="5">
        <v>22.183121313781168</v>
      </c>
      <c r="K157" s="5">
        <v>0.93698636721605411</v>
      </c>
      <c r="L157" s="5">
        <v>0.14826918088389704</v>
      </c>
    </row>
    <row r="158" spans="1:51" x14ac:dyDescent="0.25">
      <c r="B158" s="106" t="s">
        <v>4</v>
      </c>
      <c r="C158" s="5">
        <v>23.350270929429069</v>
      </c>
      <c r="D158" s="5">
        <v>-2.5902920301457814E-3</v>
      </c>
      <c r="E158" s="5">
        <v>6.2317722445255963E-2</v>
      </c>
      <c r="F158" s="106" t="s">
        <v>23</v>
      </c>
      <c r="G158" s="106"/>
      <c r="H158" s="106"/>
      <c r="J158" s="5">
        <v>20.317518949994696</v>
      </c>
      <c r="K158" s="5">
        <v>2.022933303450186</v>
      </c>
      <c r="L158" s="5">
        <v>0.29859302111062536</v>
      </c>
    </row>
    <row r="159" spans="1:51" x14ac:dyDescent="0.25">
      <c r="A159" s="5" t="s">
        <v>20</v>
      </c>
      <c r="B159" s="5">
        <v>1</v>
      </c>
      <c r="C159" s="5">
        <v>22.867417422008725</v>
      </c>
      <c r="D159" s="5">
        <v>0.36916726293519514</v>
      </c>
      <c r="E159" s="5">
        <v>9.0483619642426127E-2</v>
      </c>
      <c r="F159" s="106" t="s">
        <v>24</v>
      </c>
      <c r="G159" s="106"/>
      <c r="H159" s="106"/>
      <c r="J159" s="5">
        <v>18.877128775204397</v>
      </c>
      <c r="K159" s="5">
        <v>3.4769768246912256</v>
      </c>
      <c r="L159" s="5">
        <v>0.6583092023542747</v>
      </c>
    </row>
    <row r="160" spans="1:51" x14ac:dyDescent="0.25">
      <c r="B160" s="5">
        <v>2</v>
      </c>
      <c r="C160" s="5">
        <v>22.878710247678729</v>
      </c>
      <c r="D160" s="5">
        <v>0.26380290398262729</v>
      </c>
      <c r="E160" s="5">
        <v>0.11324565785187261</v>
      </c>
      <c r="F160" s="106" t="s">
        <v>40</v>
      </c>
      <c r="G160" s="106"/>
      <c r="H160" s="106"/>
      <c r="J160" s="5">
        <v>16.509187843242426</v>
      </c>
      <c r="K160" s="5">
        <v>3.6589561199661826</v>
      </c>
      <c r="L160" s="5">
        <v>1.153091277210148</v>
      </c>
    </row>
    <row r="161" spans="1:12" x14ac:dyDescent="0.25">
      <c r="B161" s="5">
        <v>3</v>
      </c>
      <c r="C161" s="5">
        <v>22.686158113202822</v>
      </c>
      <c r="D161" s="5">
        <v>0.53408760314055692</v>
      </c>
      <c r="E161" s="5">
        <v>7.1120440849620423E-2</v>
      </c>
      <c r="F161" s="106" t="s">
        <v>46</v>
      </c>
      <c r="G161" s="106"/>
      <c r="H161" s="106"/>
      <c r="J161" s="5">
        <v>15.418771307606432</v>
      </c>
      <c r="K161" s="5">
        <v>3.7727083578249852E-2</v>
      </c>
      <c r="L161" s="5">
        <v>3.2430825770436503E-3</v>
      </c>
    </row>
    <row r="162" spans="1:12" x14ac:dyDescent="0.25">
      <c r="B162" s="106" t="s">
        <v>4</v>
      </c>
      <c r="C162" s="5">
        <v>23.244493288522506</v>
      </c>
      <c r="D162" s="5">
        <v>-5.8470672302000483E-3</v>
      </c>
      <c r="E162" s="5">
        <v>5.5299308351952702E-2</v>
      </c>
      <c r="F162" s="106" t="s">
        <v>65</v>
      </c>
      <c r="G162" s="106"/>
      <c r="H162" s="106"/>
      <c r="J162" s="5">
        <v>15.030810343389492</v>
      </c>
      <c r="K162" s="5">
        <v>3.4643746204921506E-2</v>
      </c>
      <c r="L162" s="5">
        <v>1.2611160981285098E-2</v>
      </c>
    </row>
    <row r="163" spans="1:12" x14ac:dyDescent="0.25">
      <c r="A163" s="5" t="s">
        <v>22</v>
      </c>
      <c r="B163" s="5">
        <v>1</v>
      </c>
      <c r="C163" s="5">
        <v>22.183121313781168</v>
      </c>
      <c r="D163" s="5">
        <v>0.93698636721605411</v>
      </c>
      <c r="E163" s="5">
        <v>0.14826918088389704</v>
      </c>
      <c r="F163" s="106" t="s">
        <v>19</v>
      </c>
      <c r="G163" s="106"/>
      <c r="H163" s="106"/>
      <c r="I163" s="5">
        <v>2</v>
      </c>
      <c r="J163" s="5">
        <v>23.188634331778928</v>
      </c>
      <c r="K163" s="5">
        <v>8.1109720969154794E-2</v>
      </c>
      <c r="L163" s="5">
        <v>6.1970789451674613E-2</v>
      </c>
    </row>
    <row r="164" spans="1:12" x14ac:dyDescent="0.25">
      <c r="B164" s="5">
        <v>2</v>
      </c>
      <c r="C164" s="5">
        <v>22.19396754033674</v>
      </c>
      <c r="D164" s="5">
        <v>0.67795630620426905</v>
      </c>
      <c r="E164" s="5">
        <v>0.16104319242885001</v>
      </c>
      <c r="F164" s="106" t="s">
        <v>20</v>
      </c>
      <c r="G164" s="106"/>
      <c r="H164" s="106"/>
      <c r="J164" s="5">
        <v>22.878710247678729</v>
      </c>
      <c r="K164" s="5">
        <v>0.26380290398262729</v>
      </c>
      <c r="L164" s="5">
        <v>0.11324565785187261</v>
      </c>
    </row>
    <row r="165" spans="1:12" x14ac:dyDescent="0.25">
      <c r="B165" s="5">
        <v>3</v>
      </c>
      <c r="C165" s="5">
        <v>22.128412173259374</v>
      </c>
      <c r="D165" s="5">
        <v>1.4025586489171384</v>
      </c>
      <c r="E165" s="5">
        <v>0.10469838471323119</v>
      </c>
      <c r="F165" s="106" t="s">
        <v>22</v>
      </c>
      <c r="G165" s="106"/>
      <c r="H165" s="106"/>
      <c r="J165" s="5">
        <v>22.19396754033674</v>
      </c>
      <c r="K165" s="5">
        <v>0.67795630620426905</v>
      </c>
      <c r="L165" s="5">
        <v>0.16104319242885001</v>
      </c>
    </row>
    <row r="166" spans="1:12" x14ac:dyDescent="0.25">
      <c r="B166" s="106" t="s">
        <v>4</v>
      </c>
      <c r="C166" s="5">
        <v>23.241407362224098</v>
      </c>
      <c r="D166" s="5">
        <v>1.4159922645140442E-3</v>
      </c>
      <c r="E166" s="5">
        <v>5.4828791392017011E-2</v>
      </c>
      <c r="F166" s="106" t="s">
        <v>23</v>
      </c>
      <c r="G166" s="106"/>
      <c r="H166" s="106"/>
      <c r="J166" s="5">
        <v>20.992713238215348</v>
      </c>
      <c r="K166" s="5">
        <v>1.3901071523057797</v>
      </c>
      <c r="L166" s="5">
        <v>0.343204784363843</v>
      </c>
    </row>
    <row r="167" spans="1:12" x14ac:dyDescent="0.25">
      <c r="A167" s="5" t="s">
        <v>23</v>
      </c>
      <c r="B167" s="5">
        <v>1</v>
      </c>
      <c r="C167" s="5">
        <v>20.317518949994696</v>
      </c>
      <c r="D167" s="5">
        <v>2.022933303450186</v>
      </c>
      <c r="E167" s="5">
        <v>0.29859302111062536</v>
      </c>
      <c r="F167" s="106" t="s">
        <v>24</v>
      </c>
      <c r="G167" s="106"/>
      <c r="H167" s="106"/>
      <c r="J167" s="5">
        <v>19.064128609828519</v>
      </c>
      <c r="K167" s="5">
        <v>1.9738907065492441</v>
      </c>
      <c r="L167" s="5">
        <v>0.83041283727274384</v>
      </c>
    </row>
    <row r="168" spans="1:12" x14ac:dyDescent="0.25">
      <c r="B168" s="5">
        <v>2</v>
      </c>
      <c r="C168" s="5">
        <v>20.992713238215348</v>
      </c>
      <c r="D168" s="5">
        <v>1.3901071523057797</v>
      </c>
      <c r="E168" s="5">
        <v>0.343204784363843</v>
      </c>
      <c r="F168" s="106" t="s">
        <v>40</v>
      </c>
      <c r="G168" s="106"/>
      <c r="H168" s="106"/>
      <c r="J168" s="5">
        <v>16.415335120153554</v>
      </c>
      <c r="K168" s="5">
        <v>0.61264841882418242</v>
      </c>
      <c r="L168" s="5">
        <v>1.3412249391394013</v>
      </c>
    </row>
    <row r="169" spans="1:12" x14ac:dyDescent="0.25">
      <c r="B169" s="5">
        <v>3</v>
      </c>
      <c r="C169" s="5">
        <v>20.857182218011726</v>
      </c>
      <c r="D169" s="5">
        <v>3.2847367276866035</v>
      </c>
      <c r="E169" s="5">
        <v>0.16232178822685916</v>
      </c>
      <c r="F169" s="106" t="s">
        <v>46</v>
      </c>
      <c r="G169" s="106"/>
      <c r="H169" s="106"/>
      <c r="J169" s="5">
        <v>15.240064966289628</v>
      </c>
      <c r="K169" s="5">
        <v>3.7255582304419881E-2</v>
      </c>
      <c r="L169" s="5">
        <v>3.7242784844873193E-3</v>
      </c>
    </row>
    <row r="170" spans="1:12" x14ac:dyDescent="0.25">
      <c r="B170" s="106" t="s">
        <v>4</v>
      </c>
      <c r="C170" s="5">
        <v>23.618291238941371</v>
      </c>
      <c r="D170" s="5">
        <v>-9.9422663333543528E-5</v>
      </c>
      <c r="E170" s="5">
        <v>4.0945298950381875E-2</v>
      </c>
      <c r="F170" s="106" t="s">
        <v>65</v>
      </c>
      <c r="G170" s="106"/>
      <c r="H170" s="106"/>
      <c r="J170" s="5">
        <v>14.689635171946856</v>
      </c>
      <c r="K170" s="5">
        <v>3.9688379607987399E-2</v>
      </c>
      <c r="L170" s="5">
        <v>7.0589387000637056E-3</v>
      </c>
    </row>
    <row r="171" spans="1:12" x14ac:dyDescent="0.25">
      <c r="A171" s="5" t="s">
        <v>24</v>
      </c>
      <c r="B171" s="5">
        <v>1</v>
      </c>
      <c r="C171" s="5">
        <v>18.877128775204397</v>
      </c>
      <c r="D171" s="5">
        <v>3.4769768246912256</v>
      </c>
      <c r="E171" s="5">
        <v>0.6583092023542747</v>
      </c>
      <c r="F171" s="106" t="s">
        <v>19</v>
      </c>
      <c r="G171" s="106"/>
      <c r="H171" s="106"/>
      <c r="I171" s="5">
        <v>3</v>
      </c>
      <c r="J171" s="5">
        <v>23.187508903987034</v>
      </c>
      <c r="K171" s="5">
        <v>9.3848269777431659E-2</v>
      </c>
      <c r="L171" s="5">
        <v>6.8494704060467648E-2</v>
      </c>
    </row>
    <row r="172" spans="1:12" x14ac:dyDescent="0.25">
      <c r="B172" s="5">
        <v>2</v>
      </c>
      <c r="C172" s="5">
        <v>19.064128609828519</v>
      </c>
      <c r="D172" s="5">
        <v>1.9738907065492441</v>
      </c>
      <c r="E172" s="5">
        <v>0.83041283727274384</v>
      </c>
      <c r="F172" s="106" t="s">
        <v>20</v>
      </c>
      <c r="G172" s="106"/>
      <c r="H172" s="106"/>
      <c r="J172" s="5">
        <v>22.686158113202822</v>
      </c>
      <c r="K172" s="5">
        <v>0.53408760314055692</v>
      </c>
      <c r="L172" s="5">
        <v>7.1120440849620423E-2</v>
      </c>
    </row>
    <row r="173" spans="1:12" x14ac:dyDescent="0.25">
      <c r="B173" s="5">
        <v>3</v>
      </c>
      <c r="C173" s="5">
        <v>18.72876178774953</v>
      </c>
      <c r="D173" s="5">
        <v>6.6698297545226142</v>
      </c>
      <c r="E173" s="5">
        <v>0.24628293919241603</v>
      </c>
      <c r="F173" s="106" t="s">
        <v>22</v>
      </c>
      <c r="G173" s="106"/>
      <c r="H173" s="106"/>
      <c r="J173" s="5">
        <v>22.128412173259374</v>
      </c>
      <c r="K173" s="5">
        <v>1.4025586489171384</v>
      </c>
      <c r="L173" s="5">
        <v>0.10469838471323119</v>
      </c>
    </row>
    <row r="174" spans="1:12" x14ac:dyDescent="0.25">
      <c r="B174" s="106" t="s">
        <v>4</v>
      </c>
      <c r="C174" s="5">
        <v>23.631508852149661</v>
      </c>
      <c r="D174" s="5">
        <v>8.6606181170343006E-4</v>
      </c>
      <c r="E174" s="5">
        <v>9.7274163890552212E-2</v>
      </c>
      <c r="F174" s="106" t="s">
        <v>23</v>
      </c>
      <c r="G174" s="106"/>
      <c r="H174" s="106"/>
      <c r="J174" s="5">
        <v>20.857182218011726</v>
      </c>
      <c r="K174" s="5">
        <v>3.2847367276866035</v>
      </c>
      <c r="L174" s="5">
        <v>0.16232178822685916</v>
      </c>
    </row>
    <row r="175" spans="1:12" x14ac:dyDescent="0.25">
      <c r="A175" s="5" t="s">
        <v>40</v>
      </c>
      <c r="B175" s="5">
        <v>1</v>
      </c>
      <c r="C175" s="5">
        <v>16.509187843242426</v>
      </c>
      <c r="D175" s="5">
        <v>3.6589561199661826</v>
      </c>
      <c r="E175" s="5">
        <v>1.153091277210148</v>
      </c>
      <c r="F175" s="106" t="s">
        <v>24</v>
      </c>
      <c r="G175" s="106"/>
      <c r="H175" s="106"/>
      <c r="J175" s="5">
        <v>18.72876178774953</v>
      </c>
      <c r="K175" s="5">
        <v>6.6698297545226142</v>
      </c>
      <c r="L175" s="5">
        <v>0.24628293919241603</v>
      </c>
    </row>
    <row r="176" spans="1:12" x14ac:dyDescent="0.25">
      <c r="B176" s="5">
        <v>2</v>
      </c>
      <c r="C176" s="5">
        <v>16.415335120153554</v>
      </c>
      <c r="D176" s="5">
        <v>0.61264841882418242</v>
      </c>
      <c r="E176" s="5">
        <v>1.3412249391394013</v>
      </c>
      <c r="F176" s="106" t="s">
        <v>40</v>
      </c>
      <c r="G176" s="106"/>
      <c r="H176" s="106"/>
      <c r="J176" s="5">
        <v>15.203816076213547</v>
      </c>
      <c r="K176" s="5">
        <v>11.762295663547006</v>
      </c>
      <c r="L176" s="5">
        <v>0.49626797130548433</v>
      </c>
    </row>
    <row r="177" spans="1:18" x14ac:dyDescent="0.25">
      <c r="B177" s="5">
        <v>3</v>
      </c>
      <c r="C177" s="5">
        <v>15.203816076213547</v>
      </c>
      <c r="D177" s="5">
        <v>11.762295663547006</v>
      </c>
      <c r="E177" s="5">
        <v>0.49626797130548433</v>
      </c>
      <c r="F177" s="106" t="s">
        <v>46</v>
      </c>
      <c r="G177" s="106"/>
      <c r="H177" s="106"/>
      <c r="J177" s="5">
        <v>13.176807218867998</v>
      </c>
      <c r="K177" s="5">
        <v>12.008170017253695</v>
      </c>
      <c r="L177" s="5">
        <v>0.85869688538584132</v>
      </c>
    </row>
    <row r="178" spans="1:18" x14ac:dyDescent="0.25">
      <c r="B178" s="106" t="s">
        <v>4</v>
      </c>
      <c r="C178" s="5">
        <v>23.39335636266625</v>
      </c>
      <c r="D178" s="5">
        <v>-5.8470672302000483E-3</v>
      </c>
      <c r="E178" s="5">
        <v>5.3586626617786813E-2</v>
      </c>
      <c r="F178" s="106" t="s">
        <v>65</v>
      </c>
      <c r="G178" s="106"/>
      <c r="H178" s="106"/>
      <c r="J178" s="5">
        <v>12.547046518562345</v>
      </c>
      <c r="K178" s="5">
        <v>5.8931322720804924E-2</v>
      </c>
      <c r="L178" s="5">
        <v>1.0092856936796551E-2</v>
      </c>
    </row>
    <row r="179" spans="1:18" x14ac:dyDescent="0.25">
      <c r="A179" s="5" t="s">
        <v>46</v>
      </c>
      <c r="B179" s="5">
        <v>1</v>
      </c>
      <c r="C179" s="5">
        <v>15.418771307606432</v>
      </c>
      <c r="D179" s="5">
        <v>3.7727083578249852E-2</v>
      </c>
      <c r="E179" s="5">
        <v>3.2430825770436503E-3</v>
      </c>
      <c r="F179" s="106" t="s">
        <v>19</v>
      </c>
      <c r="G179" s="106"/>
      <c r="H179" s="106"/>
      <c r="I179" s="106" t="s">
        <v>4</v>
      </c>
      <c r="J179" s="5">
        <v>23.350270929429069</v>
      </c>
      <c r="K179" s="5">
        <v>-2.5902920301457814E-3</v>
      </c>
      <c r="L179" s="5">
        <v>6.2317722445255963E-2</v>
      </c>
    </row>
    <row r="180" spans="1:18" x14ac:dyDescent="0.25">
      <c r="B180" s="5">
        <v>2</v>
      </c>
      <c r="C180" s="5">
        <v>15.240064966289628</v>
      </c>
      <c r="D180" s="5">
        <v>3.7255582304419881E-2</v>
      </c>
      <c r="E180" s="5">
        <v>3.7242784844873193E-3</v>
      </c>
      <c r="F180" s="106" t="s">
        <v>20</v>
      </c>
      <c r="G180" s="106"/>
      <c r="H180" s="106"/>
      <c r="J180" s="5">
        <v>23.244493288522506</v>
      </c>
      <c r="K180" s="5">
        <v>-5.8470672302000483E-3</v>
      </c>
      <c r="L180" s="5">
        <v>5.5299308351952702E-2</v>
      </c>
    </row>
    <row r="181" spans="1:18" x14ac:dyDescent="0.25">
      <c r="B181" s="5">
        <v>3</v>
      </c>
      <c r="C181" s="5">
        <v>13.176807218867998</v>
      </c>
      <c r="D181" s="5">
        <v>12.008170017253695</v>
      </c>
      <c r="E181" s="5">
        <v>0.85869688538584132</v>
      </c>
      <c r="F181" s="106" t="s">
        <v>22</v>
      </c>
      <c r="G181" s="106"/>
      <c r="H181" s="106"/>
      <c r="J181" s="5">
        <v>23.241407362224098</v>
      </c>
      <c r="K181" s="5">
        <v>1.4159922645140442E-3</v>
      </c>
      <c r="L181" s="5">
        <v>5.4828791392017011E-2</v>
      </c>
    </row>
    <row r="182" spans="1:18" x14ac:dyDescent="0.25">
      <c r="B182" s="106" t="s">
        <v>4</v>
      </c>
      <c r="C182" s="5">
        <v>23.603791009470992</v>
      </c>
      <c r="D182" s="5">
        <v>-2.9868531379448455E-3</v>
      </c>
      <c r="E182" s="5">
        <v>7.3795438192520796E-2</v>
      </c>
      <c r="F182" s="106" t="s">
        <v>23</v>
      </c>
      <c r="G182" s="106"/>
      <c r="H182" s="106"/>
      <c r="J182" s="5">
        <v>23.618291238941371</v>
      </c>
      <c r="K182" s="5">
        <v>-9.9422663333543528E-5</v>
      </c>
      <c r="L182" s="5">
        <v>4.0945298950381875E-2</v>
      </c>
    </row>
    <row r="183" spans="1:18" x14ac:dyDescent="0.25">
      <c r="A183" s="5" t="s">
        <v>65</v>
      </c>
      <c r="B183" s="5">
        <v>1</v>
      </c>
      <c r="C183" s="5">
        <v>15.030810343389492</v>
      </c>
      <c r="D183" s="5">
        <v>3.4643746204921506E-2</v>
      </c>
      <c r="E183" s="5">
        <v>1.2611160981285098E-2</v>
      </c>
      <c r="F183" s="106" t="s">
        <v>24</v>
      </c>
      <c r="G183" s="106"/>
      <c r="H183" s="106"/>
      <c r="J183" s="5">
        <v>23.631508852149661</v>
      </c>
      <c r="K183" s="5">
        <v>8.6606181170343006E-4</v>
      </c>
      <c r="L183" s="5">
        <v>9.7274163890552212E-2</v>
      </c>
    </row>
    <row r="184" spans="1:18" x14ac:dyDescent="0.25">
      <c r="B184" s="5">
        <v>2</v>
      </c>
      <c r="C184" s="5">
        <v>14.689635171946856</v>
      </c>
      <c r="D184" s="5">
        <v>3.9688379607987399E-2</v>
      </c>
      <c r="E184" s="5">
        <v>7.0589387000637056E-3</v>
      </c>
      <c r="F184" s="106" t="s">
        <v>40</v>
      </c>
      <c r="G184" s="106"/>
      <c r="H184" s="106"/>
      <c r="J184" s="5">
        <v>23.39335636266625</v>
      </c>
      <c r="K184" s="5">
        <v>-5.8470672302000483E-3</v>
      </c>
      <c r="L184" s="5">
        <v>5.3586626617786813E-2</v>
      </c>
    </row>
    <row r="185" spans="1:18" x14ac:dyDescent="0.25">
      <c r="B185" s="5">
        <v>3</v>
      </c>
      <c r="C185" s="5">
        <v>12.547046518562345</v>
      </c>
      <c r="D185" s="5">
        <v>5.8931322720804924E-2</v>
      </c>
      <c r="E185" s="5">
        <v>1.0092856936796551E-2</v>
      </c>
      <c r="F185" s="106" t="s">
        <v>46</v>
      </c>
      <c r="G185" s="106"/>
      <c r="H185" s="106"/>
      <c r="J185" s="5">
        <v>23.603791009470992</v>
      </c>
      <c r="K185" s="5">
        <v>-2.9868531379448455E-3</v>
      </c>
      <c r="L185" s="5">
        <v>7.3795438192520796E-2</v>
      </c>
    </row>
    <row r="186" spans="1:18" x14ac:dyDescent="0.25">
      <c r="B186" s="106" t="s">
        <v>4</v>
      </c>
      <c r="C186" s="5">
        <v>23.761222147500245</v>
      </c>
      <c r="D186" s="5">
        <v>-5.8470672302000483E-3</v>
      </c>
      <c r="E186" s="5">
        <v>0.11659432655142947</v>
      </c>
      <c r="F186" s="106" t="s">
        <v>65</v>
      </c>
      <c r="G186" s="106"/>
      <c r="H186" s="106"/>
      <c r="J186" s="5">
        <v>23.761222147500245</v>
      </c>
      <c r="K186" s="5">
        <v>-5.8470672302000483E-3</v>
      </c>
      <c r="L186" s="5">
        <v>0.11659432655142947</v>
      </c>
    </row>
    <row r="188" spans="1:18" x14ac:dyDescent="0.25">
      <c r="C188" s="5" t="s">
        <v>122</v>
      </c>
      <c r="D188" s="5" t="s">
        <v>134</v>
      </c>
      <c r="E188" s="5" t="s">
        <v>238</v>
      </c>
    </row>
    <row r="189" spans="1:18" x14ac:dyDescent="0.25">
      <c r="A189" s="5" t="s">
        <v>239</v>
      </c>
      <c r="C189" s="5">
        <v>0.46216970686686976</v>
      </c>
      <c r="D189" s="5">
        <v>10.54325654170993</v>
      </c>
      <c r="E189" s="5">
        <v>10.540000000000008</v>
      </c>
    </row>
    <row r="190" spans="1:18" x14ac:dyDescent="0.25">
      <c r="A190" s="5" t="s">
        <v>240</v>
      </c>
      <c r="C190" s="5">
        <v>0.4690046863075637</v>
      </c>
      <c r="D190" s="5">
        <v>10.536778652106902</v>
      </c>
      <c r="E190" s="5">
        <v>10.55333333333334</v>
      </c>
    </row>
    <row r="191" spans="1:18" x14ac:dyDescent="0.25">
      <c r="A191" s="5" t="s">
        <v>241</v>
      </c>
      <c r="C191" s="5">
        <f>AVERAGE(C189:C190)</f>
        <v>0.4655871965872167</v>
      </c>
      <c r="D191" s="5">
        <f t="shared" ref="D191:E191" si="110">AVERAGE(D189:D190)</f>
        <v>10.540017596908417</v>
      </c>
      <c r="E191" s="5">
        <f t="shared" si="110"/>
        <v>10.546666666666674</v>
      </c>
    </row>
    <row r="192" spans="1:18" x14ac:dyDescent="0.25">
      <c r="A192" s="9" t="s">
        <v>242</v>
      </c>
      <c r="F192" s="5" t="s">
        <v>243</v>
      </c>
      <c r="L192" s="5" t="s">
        <v>244</v>
      </c>
      <c r="R192" s="5" t="s">
        <v>245</v>
      </c>
    </row>
    <row r="193" spans="1:20" x14ac:dyDescent="0.25">
      <c r="B193" s="5">
        <v>1</v>
      </c>
      <c r="C193" s="5">
        <v>2</v>
      </c>
      <c r="D193" s="5">
        <v>3</v>
      </c>
      <c r="F193" s="5">
        <v>1</v>
      </c>
      <c r="I193" s="5">
        <v>2</v>
      </c>
      <c r="J193" s="5">
        <v>3</v>
      </c>
      <c r="L193" s="5">
        <v>1</v>
      </c>
      <c r="O193" s="5">
        <v>2</v>
      </c>
      <c r="P193" s="5">
        <v>3</v>
      </c>
      <c r="R193" s="5">
        <v>1</v>
      </c>
      <c r="S193" s="5">
        <v>2</v>
      </c>
      <c r="T193" s="5">
        <v>3</v>
      </c>
    </row>
    <row r="194" spans="1:20" x14ac:dyDescent="0.25">
      <c r="A194" s="5" t="s">
        <v>12</v>
      </c>
      <c r="B194" s="5">
        <v>0.97199999999999998</v>
      </c>
      <c r="C194" s="5">
        <v>1.0680000000000001</v>
      </c>
      <c r="D194" s="5">
        <v>1.0720000000000001</v>
      </c>
      <c r="F194" s="5">
        <v>0.48399999999999999</v>
      </c>
      <c r="I194" s="5">
        <v>0.49</v>
      </c>
      <c r="J194" s="5">
        <v>0.49199999999999999</v>
      </c>
      <c r="L194" s="5">
        <v>0.48199999999999998</v>
      </c>
      <c r="O194" s="5">
        <v>0.48399999999999999</v>
      </c>
      <c r="P194" s="5">
        <v>0.49</v>
      </c>
      <c r="R194" s="5">
        <v>0.49399999999999999</v>
      </c>
      <c r="S194" s="5">
        <v>0.49399999999999999</v>
      </c>
      <c r="T194" s="5">
        <v>0.502</v>
      </c>
    </row>
    <row r="195" spans="1:20" x14ac:dyDescent="0.25">
      <c r="A195" s="5" t="s">
        <v>246</v>
      </c>
      <c r="B195" s="5">
        <v>15.030810343389492</v>
      </c>
      <c r="C195" s="5">
        <v>14.689635171946856</v>
      </c>
      <c r="D195" s="5">
        <v>12.547046518562345</v>
      </c>
      <c r="F195" s="5">
        <v>2.2320526941373386</v>
      </c>
      <c r="I195" s="5">
        <v>2.3784540104822338</v>
      </c>
      <c r="J195" s="5">
        <v>2.2642909330200425</v>
      </c>
      <c r="L195" s="5">
        <v>2.1815679147103513</v>
      </c>
      <c r="O195" s="5">
        <v>2.2482455775065922</v>
      </c>
      <c r="P195" s="5">
        <v>1.8981722413492512</v>
      </c>
      <c r="R195" s="5">
        <v>2.2022975815971315</v>
      </c>
      <c r="S195" s="5">
        <v>2.2018357026679589</v>
      </c>
      <c r="T195" s="5">
        <v>2.1495998133465175</v>
      </c>
    </row>
    <row r="196" spans="1:20" x14ac:dyDescent="0.25">
      <c r="A196" s="5" t="s">
        <v>247</v>
      </c>
      <c r="B196" s="5">
        <v>22.402473012828811</v>
      </c>
      <c r="C196" s="5">
        <v>23.188634331778928</v>
      </c>
      <c r="D196" s="5">
        <v>23.187508903987034</v>
      </c>
      <c r="F196" s="5">
        <f>AVERAGE(B196:D196)</f>
        <v>22.926205416198258</v>
      </c>
      <c r="I196" s="5">
        <f>AVERAGE(B196:D196)</f>
        <v>22.926205416198258</v>
      </c>
      <c r="J196" s="5">
        <f>AVERAGE(B196:D196)</f>
        <v>22.926205416198258</v>
      </c>
      <c r="L196" s="5">
        <f>AVERAGE(B196:D196)</f>
        <v>22.926205416198258</v>
      </c>
      <c r="O196" s="5">
        <f>AVERAGE(B196:D196)</f>
        <v>22.926205416198258</v>
      </c>
      <c r="P196" s="5">
        <f>AVERAGE(B196:D196)</f>
        <v>22.926205416198258</v>
      </c>
      <c r="R196" s="5">
        <f>AVERAGE(B196:D196)</f>
        <v>22.926205416198258</v>
      </c>
      <c r="S196" s="5">
        <f>AVERAGE(B196:D196)</f>
        <v>22.926205416198258</v>
      </c>
      <c r="T196" s="5">
        <f>AVERAGE(B196:D196)</f>
        <v>22.926205416198258</v>
      </c>
    </row>
    <row r="197" spans="1:20" x14ac:dyDescent="0.25">
      <c r="A197" s="5" t="s">
        <v>248</v>
      </c>
      <c r="B197" s="5">
        <f>B196-B195</f>
        <v>7.3716626694393188</v>
      </c>
      <c r="C197" s="5">
        <f t="shared" ref="C197:D197" si="111">C196-C195</f>
        <v>8.4989991598320724</v>
      </c>
      <c r="D197" s="5">
        <f t="shared" si="111"/>
        <v>10.640462385424689</v>
      </c>
      <c r="F197" s="5">
        <f>F196-F195</f>
        <v>20.69415272206092</v>
      </c>
      <c r="I197" s="5">
        <f t="shared" ref="I197:T197" si="112">I196-I195</f>
        <v>20.547751405716024</v>
      </c>
      <c r="J197" s="5">
        <f t="shared" si="112"/>
        <v>20.661914483178215</v>
      </c>
      <c r="L197" s="5">
        <f t="shared" si="112"/>
        <v>20.744637501487908</v>
      </c>
      <c r="O197" s="5">
        <f t="shared" si="112"/>
        <v>20.677959838691667</v>
      </c>
      <c r="P197" s="5">
        <f t="shared" si="112"/>
        <v>21.028033174849007</v>
      </c>
      <c r="R197" s="5">
        <f t="shared" si="112"/>
        <v>20.723907834601125</v>
      </c>
      <c r="S197" s="5">
        <f t="shared" si="112"/>
        <v>20.724369713530297</v>
      </c>
      <c r="T197" s="5">
        <f t="shared" si="112"/>
        <v>20.776605602851738</v>
      </c>
    </row>
    <row r="198" spans="1:20" x14ac:dyDescent="0.25">
      <c r="A198" s="5" t="s">
        <v>249</v>
      </c>
      <c r="B198" s="5">
        <f>(B197/1000)*180.16</f>
        <v>1.3280787465261876</v>
      </c>
      <c r="C198" s="5">
        <f t="shared" ref="C198:D198" si="113">(C197/1000)*180.16</f>
        <v>1.5311796886353461</v>
      </c>
      <c r="D198" s="5">
        <f t="shared" si="113"/>
        <v>1.9169857033581119</v>
      </c>
      <c r="F198" s="5">
        <f t="shared" ref="F198:J198" si="114">(F197/1000)*180.16</f>
        <v>3.7282585544064957</v>
      </c>
      <c r="I198" s="5">
        <f t="shared" si="114"/>
        <v>3.7018828932537984</v>
      </c>
      <c r="J198" s="5">
        <f t="shared" si="114"/>
        <v>3.7224505132893873</v>
      </c>
      <c r="L198" s="5">
        <f t="shared" ref="L198:P198" si="115">(L197/1000)*180.16</f>
        <v>3.7373538922680614</v>
      </c>
      <c r="O198" s="5">
        <f t="shared" si="115"/>
        <v>3.7253412445386909</v>
      </c>
      <c r="P198" s="5">
        <f t="shared" si="115"/>
        <v>3.7884104567807975</v>
      </c>
      <c r="R198" s="5">
        <f t="shared" ref="R198:T198" si="116">(R197/1000)*180.16</f>
        <v>3.7336192354817386</v>
      </c>
      <c r="S198" s="5">
        <f t="shared" si="116"/>
        <v>3.7337024475896183</v>
      </c>
      <c r="T198" s="5">
        <f t="shared" si="116"/>
        <v>3.743113265409769</v>
      </c>
    </row>
    <row r="199" spans="1:20" x14ac:dyDescent="0.25">
      <c r="A199" s="5" t="s">
        <v>250</v>
      </c>
      <c r="B199" s="5">
        <f>((B194*$C$191)+$D$191)-$E$191</f>
        <v>0.44590168532451813</v>
      </c>
      <c r="C199" s="5">
        <f>((C194*$C$191)+$D$191)-$E$191</f>
        <v>0.49059805619689101</v>
      </c>
      <c r="D199" s="5">
        <f>((D194*$C$191)+$D$191)-$E$191</f>
        <v>0.49246040498323929</v>
      </c>
      <c r="F199" s="5">
        <f>((F194*$C$189)+$D$189)-$E$189</f>
        <v>0.22694667983348715</v>
      </c>
      <c r="I199" s="5">
        <f>((I194*$C$189)+$D$189)-$E$189</f>
        <v>0.22971969807468717</v>
      </c>
      <c r="J199" s="5">
        <f>((J194*$C$189)+$D$189)-$E$189</f>
        <v>0.23064403748842111</v>
      </c>
      <c r="L199" s="5">
        <f>((L194*$C$189)+$D$189)-$E$189</f>
        <v>0.22602234041975322</v>
      </c>
      <c r="O199" s="5">
        <f>((O194*$C$189)+$D$189)-$E$189</f>
        <v>0.22694667983348715</v>
      </c>
      <c r="P199" s="5">
        <f>((P194*$C$189)+$D$189)-$E$189</f>
        <v>0.22971969807468717</v>
      </c>
      <c r="R199" s="5">
        <f>((R194*$C$189)+$D$189)-$E$189</f>
        <v>0.23156837690215504</v>
      </c>
      <c r="S199" s="5">
        <f>((S194*$C$189)+$D$189)-$E$189</f>
        <v>0.23156837690215504</v>
      </c>
      <c r="T199" s="5">
        <f>((T194*$C$189)+$D$189)-$E$189</f>
        <v>0.23526573455709077</v>
      </c>
    </row>
    <row r="200" spans="1:20" x14ac:dyDescent="0.25">
      <c r="A200" s="5" t="s">
        <v>251</v>
      </c>
      <c r="B200" s="5">
        <f>B199/B198</f>
        <v>0.33574943239687305</v>
      </c>
      <c r="C200" s="5">
        <f t="shared" ref="C200:D200" si="117">C199/C198</f>
        <v>0.32040527956201753</v>
      </c>
      <c r="D200" s="5">
        <f t="shared" si="117"/>
        <v>0.25689310260403275</v>
      </c>
      <c r="F200" s="5">
        <f t="shared" ref="F200:J200" si="118">F199/F198</f>
        <v>6.0872033557129453E-2</v>
      </c>
      <c r="I200" s="5">
        <f t="shared" si="118"/>
        <v>6.2054825800492375E-2</v>
      </c>
      <c r="J200" s="5">
        <f t="shared" si="118"/>
        <v>6.1960269630182349E-2</v>
      </c>
      <c r="L200" s="5">
        <f t="shared" ref="L200:P200" si="119">L199/L198</f>
        <v>6.0476568966978041E-2</v>
      </c>
      <c r="O200" s="5">
        <f t="shared" si="119"/>
        <v>6.0919702367182735E-2</v>
      </c>
      <c r="P200" s="5">
        <f t="shared" si="119"/>
        <v>6.0637489177952364E-2</v>
      </c>
      <c r="R200" s="5">
        <f t="shared" ref="R200:T200" si="120">R199/R198</f>
        <v>6.2022494072638448E-2</v>
      </c>
      <c r="S200" s="5">
        <f t="shared" si="120"/>
        <v>6.2021111792571901E-2</v>
      </c>
      <c r="T200" s="5">
        <f t="shared" si="120"/>
        <v>6.285295631612034E-2</v>
      </c>
    </row>
    <row r="201" spans="1:20" x14ac:dyDescent="0.25">
      <c r="E201" s="5" t="s">
        <v>252</v>
      </c>
      <c r="F201" s="5">
        <f>AVERAGE(F200,I200,J200,L200,O200,P200,R200,S200,T200)</f>
        <v>6.153527240902755E-2</v>
      </c>
      <c r="J201" s="5">
        <f>AVERAGE(F200:J200)</f>
        <v>6.1629042995934726E-2</v>
      </c>
      <c r="P201" s="5">
        <f>AVERAGE(L200:P200)</f>
        <v>6.0677920170704384E-2</v>
      </c>
      <c r="T201" s="5">
        <f>AVERAGE(R200:T200)</f>
        <v>6.2298854060443561E-2</v>
      </c>
    </row>
  </sheetData>
  <mergeCells count="7">
    <mergeCell ref="AM4:AQ4"/>
    <mergeCell ref="D4:I4"/>
    <mergeCell ref="J4:O4"/>
    <mergeCell ref="P4:U4"/>
    <mergeCell ref="V4:AA4"/>
    <mergeCell ref="AB4:AG4"/>
    <mergeCell ref="AH4:AL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3E066-4702-4D66-8A9D-4C760FB0EB49}">
  <dimension ref="A1:AA33"/>
  <sheetViews>
    <sheetView zoomScaleNormal="100" workbookViewId="0"/>
  </sheetViews>
  <sheetFormatPr defaultColWidth="8.7109375" defaultRowHeight="15" x14ac:dyDescent="0.25"/>
  <cols>
    <col min="1" max="1" width="8.7109375" style="5"/>
    <col min="2" max="2" width="13.85546875" style="5" customWidth="1"/>
    <col min="3" max="3" width="8.7109375" style="5"/>
    <col min="4" max="4" width="8.7109375" style="5" customWidth="1"/>
    <col min="5" max="16384" width="8.7109375" style="5"/>
  </cols>
  <sheetData>
    <row r="1" spans="1:27" x14ac:dyDescent="0.25">
      <c r="A1" s="8" t="s">
        <v>9</v>
      </c>
      <c r="D1" s="5">
        <v>20160308</v>
      </c>
    </row>
    <row r="2" spans="1:27" x14ac:dyDescent="0.25">
      <c r="A2" s="9" t="s">
        <v>10</v>
      </c>
    </row>
    <row r="3" spans="1:27" x14ac:dyDescent="0.25">
      <c r="A3" s="9" t="s">
        <v>11</v>
      </c>
    </row>
    <row r="4" spans="1:27" x14ac:dyDescent="0.25">
      <c r="B4" s="10"/>
      <c r="D4" s="382" t="s">
        <v>12</v>
      </c>
      <c r="E4" s="383"/>
      <c r="F4" s="383"/>
      <c r="G4" s="383"/>
      <c r="H4" s="383"/>
      <c r="I4" s="384"/>
      <c r="J4" s="382" t="s">
        <v>5</v>
      </c>
      <c r="K4" s="383"/>
      <c r="L4" s="383"/>
      <c r="M4" s="383"/>
      <c r="N4" s="383"/>
      <c r="O4" s="384"/>
      <c r="P4" s="382" t="s">
        <v>13</v>
      </c>
      <c r="Q4" s="383"/>
      <c r="R4" s="383"/>
      <c r="S4" s="383"/>
      <c r="T4" s="383"/>
      <c r="U4" s="384"/>
      <c r="V4" s="383" t="s">
        <v>14</v>
      </c>
      <c r="W4" s="383"/>
      <c r="X4" s="383"/>
      <c r="Y4" s="383"/>
      <c r="Z4" s="383"/>
      <c r="AA4" s="384"/>
    </row>
    <row r="5" spans="1:27" x14ac:dyDescent="0.25">
      <c r="B5" s="9" t="s">
        <v>15</v>
      </c>
      <c r="C5" s="11" t="s">
        <v>16</v>
      </c>
      <c r="D5" s="12">
        <v>1</v>
      </c>
      <c r="E5" s="13">
        <v>2</v>
      </c>
      <c r="F5" s="13">
        <v>3</v>
      </c>
      <c r="G5" s="13" t="s">
        <v>4</v>
      </c>
      <c r="H5" s="14" t="s">
        <v>17</v>
      </c>
      <c r="I5" s="15" t="s">
        <v>18</v>
      </c>
      <c r="J5" s="12">
        <v>1</v>
      </c>
      <c r="K5" s="13">
        <v>2</v>
      </c>
      <c r="L5" s="13">
        <v>3</v>
      </c>
      <c r="M5" s="13" t="s">
        <v>4</v>
      </c>
      <c r="N5" s="14" t="s">
        <v>17</v>
      </c>
      <c r="O5" s="15" t="s">
        <v>18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5" t="s">
        <v>18</v>
      </c>
      <c r="V5" s="13">
        <v>1</v>
      </c>
      <c r="W5" s="13">
        <v>2</v>
      </c>
      <c r="X5" s="13">
        <v>3</v>
      </c>
      <c r="Y5" s="13" t="s">
        <v>4</v>
      </c>
      <c r="Z5" s="13" t="s">
        <v>17</v>
      </c>
      <c r="AA5" s="16" t="s">
        <v>18</v>
      </c>
    </row>
    <row r="6" spans="1:27" x14ac:dyDescent="0.25">
      <c r="A6" s="5" t="s">
        <v>19</v>
      </c>
      <c r="B6" s="17">
        <v>42437.519444444442</v>
      </c>
      <c r="C6" s="18">
        <f>(B6-$B$6)*24</f>
        <v>0</v>
      </c>
      <c r="D6" s="19">
        <v>2.5999999999999999E-2</v>
      </c>
      <c r="E6" s="20">
        <v>2.5000000000000001E-2</v>
      </c>
      <c r="F6" s="20">
        <v>2.8000000000000001E-2</v>
      </c>
      <c r="G6" s="20">
        <v>2E-3</v>
      </c>
      <c r="H6" s="21">
        <f>AVERAGE(D6:F6)</f>
        <v>2.6333333333333334E-2</v>
      </c>
      <c r="I6" s="22">
        <f>STDEV(D6:F6)</f>
        <v>1.5275252316519464E-3</v>
      </c>
      <c r="J6" s="23">
        <v>6.01</v>
      </c>
      <c r="K6" s="24">
        <v>6.01</v>
      </c>
      <c r="L6" s="24">
        <v>6</v>
      </c>
      <c r="M6" s="24">
        <v>6.05</v>
      </c>
      <c r="N6" s="25">
        <f>AVERAGE(J6:L6)</f>
        <v>6.0066666666666668</v>
      </c>
      <c r="O6" s="26">
        <f>STDEV(J6:L6)</f>
        <v>5.7735026918961348E-3</v>
      </c>
      <c r="P6" s="23">
        <v>27.595685478175533</v>
      </c>
      <c r="Q6" s="24">
        <v>29.030497200972647</v>
      </c>
      <c r="R6" s="24">
        <v>29.329949402787722</v>
      </c>
      <c r="S6" s="24">
        <v>29.285754591585025</v>
      </c>
      <c r="T6" s="25">
        <f>AVERAGE(P6:R6)</f>
        <v>28.65204402731197</v>
      </c>
      <c r="U6" s="26">
        <f>STDEV(P6:R6)</f>
        <v>0.92700482390503192</v>
      </c>
      <c r="V6" s="24"/>
      <c r="W6" s="24"/>
      <c r="X6" s="24"/>
      <c r="Y6" s="24"/>
      <c r="Z6" s="24"/>
      <c r="AA6" s="27"/>
    </row>
    <row r="7" spans="1:27" x14ac:dyDescent="0.25">
      <c r="A7" s="5" t="s">
        <v>20</v>
      </c>
      <c r="B7" s="17">
        <v>42437.564583333333</v>
      </c>
      <c r="C7" s="28">
        <f>(B7-$B$6)*24</f>
        <v>1.0833333333721384</v>
      </c>
      <c r="D7" s="29">
        <v>4.2000000000000003E-2</v>
      </c>
      <c r="E7" s="30">
        <v>4.2000000000000003E-2</v>
      </c>
      <c r="F7" s="30">
        <v>4.5999999999999999E-2</v>
      </c>
      <c r="G7" s="30">
        <v>0</v>
      </c>
      <c r="H7" s="31">
        <f t="shared" ref="H7:H12" si="0">AVERAGE(D7:F7)</f>
        <v>4.3333333333333335E-2</v>
      </c>
      <c r="I7" s="32">
        <f>STDEV(D7:F7)</f>
        <v>2.309401076758501E-3</v>
      </c>
      <c r="J7" s="33">
        <v>5.89</v>
      </c>
      <c r="K7" s="34">
        <v>5.89</v>
      </c>
      <c r="L7" s="34">
        <v>5.87</v>
      </c>
      <c r="M7" s="34">
        <v>6.03</v>
      </c>
      <c r="N7" s="35">
        <f>AVERAGE(J7:L7)</f>
        <v>5.8833333333333329</v>
      </c>
      <c r="O7" s="36">
        <f>STDEV(J7:L7)</f>
        <v>1.154700538379227E-2</v>
      </c>
      <c r="P7" s="33">
        <v>28.105461936312039</v>
      </c>
      <c r="Q7" s="34">
        <v>28.929045942811065</v>
      </c>
      <c r="R7" s="34">
        <v>29.297131540429717</v>
      </c>
      <c r="S7" s="37">
        <v>29.404929947205982</v>
      </c>
      <c r="T7" s="35">
        <f>AVERAGE(P7:R7)</f>
        <v>28.777213139850943</v>
      </c>
      <c r="U7" s="36">
        <f>STDEV(P7:R7)</f>
        <v>0.61017129675652693</v>
      </c>
      <c r="V7" s="34" t="s">
        <v>21</v>
      </c>
      <c r="W7" s="34" t="s">
        <v>21</v>
      </c>
      <c r="X7" s="34" t="s">
        <v>21</v>
      </c>
      <c r="Y7" s="34" t="s">
        <v>21</v>
      </c>
      <c r="Z7" s="34"/>
      <c r="AA7" s="38"/>
    </row>
    <row r="8" spans="1:27" x14ac:dyDescent="0.25">
      <c r="A8" s="5" t="s">
        <v>22</v>
      </c>
      <c r="B8" s="17">
        <v>42437.642361111109</v>
      </c>
      <c r="C8" s="28">
        <f>(B8-$B$6)*24</f>
        <v>2.9500000000116415</v>
      </c>
      <c r="D8" s="29">
        <v>0.11899999999999999</v>
      </c>
      <c r="E8" s="30">
        <v>0.11899999999999999</v>
      </c>
      <c r="F8" s="30">
        <v>0.127</v>
      </c>
      <c r="G8" s="30">
        <v>1E-3</v>
      </c>
      <c r="H8" s="31">
        <f t="shared" si="0"/>
        <v>0.12166666666666666</v>
      </c>
      <c r="I8" s="32">
        <f t="shared" ref="I8:I12" si="1">STDEV(D8:F8)</f>
        <v>4.6188021535170107E-3</v>
      </c>
      <c r="J8" s="33">
        <v>5.23</v>
      </c>
      <c r="K8" s="34">
        <v>5.14</v>
      </c>
      <c r="L8" s="34">
        <v>5.04</v>
      </c>
      <c r="M8" s="34">
        <v>6.04</v>
      </c>
      <c r="N8" s="35">
        <f>AVERAGE(J8:L8)</f>
        <v>5.1366666666666667</v>
      </c>
      <c r="O8" s="36">
        <f>STDEV(J8:L8)</f>
        <v>9.5043849529221874E-2</v>
      </c>
      <c r="P8" s="33"/>
      <c r="Q8" s="34"/>
      <c r="R8" s="34"/>
      <c r="S8" s="34"/>
      <c r="T8" s="35"/>
      <c r="U8" s="36"/>
      <c r="V8" s="34"/>
      <c r="W8" s="34"/>
      <c r="X8" s="34"/>
      <c r="Y8" s="34"/>
      <c r="Z8" s="34"/>
      <c r="AA8" s="38"/>
    </row>
    <row r="9" spans="1:27" x14ac:dyDescent="0.25">
      <c r="A9" s="5" t="s">
        <v>23</v>
      </c>
      <c r="B9" s="17">
        <v>42437.705555555556</v>
      </c>
      <c r="C9" s="28">
        <f>(B9-$B$6)*24</f>
        <v>4.4666666667326353</v>
      </c>
      <c r="D9" s="29">
        <v>0.20100000000000001</v>
      </c>
      <c r="E9" s="30">
        <v>0.20100000000000001</v>
      </c>
      <c r="F9" s="30">
        <v>0.20899999999999999</v>
      </c>
      <c r="G9" s="30">
        <v>-1E-3</v>
      </c>
      <c r="H9" s="31">
        <f t="shared" si="0"/>
        <v>0.20366666666666666</v>
      </c>
      <c r="I9" s="32">
        <f t="shared" si="1"/>
        <v>4.6188021535169942E-3</v>
      </c>
      <c r="J9" s="33">
        <v>4.26</v>
      </c>
      <c r="K9" s="34">
        <v>4.12</v>
      </c>
      <c r="L9" s="34">
        <v>4.07</v>
      </c>
      <c r="M9" s="34">
        <v>6.04</v>
      </c>
      <c r="N9" s="35">
        <f>AVERAGE(J9:L9)</f>
        <v>4.1499999999999995</v>
      </c>
      <c r="O9" s="36">
        <f>STDEV(J9:L9)</f>
        <v>9.8488578017960807E-2</v>
      </c>
      <c r="P9" s="33">
        <v>27.617309430920585</v>
      </c>
      <c r="Q9" s="34">
        <v>27.973878202379339</v>
      </c>
      <c r="R9" s="34">
        <v>27.791790533394686</v>
      </c>
      <c r="S9" s="34">
        <v>29.060377402416478</v>
      </c>
      <c r="T9" s="35">
        <f t="shared" ref="T9:T12" si="2">AVERAGE(P9:R9)</f>
        <v>27.79432605556487</v>
      </c>
      <c r="U9" s="36">
        <f t="shared" ref="U9:U12" si="3">STDEV(P9:R9)</f>
        <v>0.17829790758561329</v>
      </c>
      <c r="V9" s="34">
        <v>0.56546903498838685</v>
      </c>
      <c r="W9" s="34">
        <v>0.60190617262718882</v>
      </c>
      <c r="X9" s="34">
        <v>0.63948018911007209</v>
      </c>
      <c r="Y9" s="34"/>
      <c r="Z9" s="35">
        <f>AVERAGE(V9:X9)</f>
        <v>0.60228513224188263</v>
      </c>
      <c r="AA9" s="36">
        <f>STDEV(V9:X9)</f>
        <v>3.7007032323575183E-2</v>
      </c>
    </row>
    <row r="10" spans="1:27" x14ac:dyDescent="0.25">
      <c r="A10" s="5" t="s">
        <v>24</v>
      </c>
      <c r="B10" s="17">
        <v>42437.786805555559</v>
      </c>
      <c r="C10" s="39">
        <f>(B10-$B$6)*24</f>
        <v>6.4166666668024845</v>
      </c>
      <c r="D10" s="40">
        <v>0.215</v>
      </c>
      <c r="E10" s="41">
        <v>0.20899999999999999</v>
      </c>
      <c r="F10" s="41">
        <v>0.214</v>
      </c>
      <c r="G10" s="41">
        <v>0</v>
      </c>
      <c r="H10" s="42">
        <f t="shared" si="0"/>
        <v>0.21266666666666667</v>
      </c>
      <c r="I10" s="43">
        <f t="shared" si="1"/>
        <v>3.2145502536643214E-3</v>
      </c>
      <c r="J10" s="44">
        <v>3.92</v>
      </c>
      <c r="K10" s="45">
        <v>3.91</v>
      </c>
      <c r="L10" s="45">
        <v>3.91</v>
      </c>
      <c r="M10" s="45">
        <v>6.03</v>
      </c>
      <c r="N10" s="46">
        <f>AVERAGE(J10:L10)</f>
        <v>3.9133333333333336</v>
      </c>
      <c r="O10" s="47">
        <f>STDEV(J10:L10)</f>
        <v>5.7735026918961348E-3</v>
      </c>
      <c r="P10" s="44">
        <v>27.320078017424088</v>
      </c>
      <c r="Q10" s="45">
        <v>27.363454570324432</v>
      </c>
      <c r="R10" s="45">
        <v>27.278031366903562</v>
      </c>
      <c r="S10" s="45">
        <v>29.074487405209311</v>
      </c>
      <c r="T10" s="46">
        <f t="shared" si="2"/>
        <v>27.320521318217359</v>
      </c>
      <c r="U10" s="47">
        <f t="shared" si="3"/>
        <v>4.2713327046319152E-2</v>
      </c>
      <c r="V10" s="45">
        <v>1.1987013561219897</v>
      </c>
      <c r="W10" s="45">
        <v>1.2535252020498802</v>
      </c>
      <c r="X10" s="45">
        <v>1.3341643686421594</v>
      </c>
      <c r="Y10" s="45"/>
      <c r="Z10" s="46">
        <f>AVERAGE(V10:X10)</f>
        <v>1.2621303089380098</v>
      </c>
      <c r="AA10" s="47">
        <f>STDEV(V10:X10)</f>
        <v>6.8140243899453529E-2</v>
      </c>
    </row>
    <row r="11" spans="1:27" ht="18.75" x14ac:dyDescent="0.35">
      <c r="B11" s="17"/>
      <c r="C11" s="48" t="s">
        <v>25</v>
      </c>
      <c r="D11" s="24">
        <f>LN(LOGEST(D7:D9,$C$7:$C$9))</f>
        <v>0.46635777789060445</v>
      </c>
      <c r="E11" s="24">
        <f t="shared" ref="E11:F11" si="4">LN(LOGEST(E7:E9,$C$7:$C$9))</f>
        <v>0.46635777789060445</v>
      </c>
      <c r="F11" s="24">
        <f t="shared" si="4"/>
        <v>0.45106118482925406</v>
      </c>
      <c r="G11" s="20"/>
      <c r="H11" s="25">
        <f t="shared" si="0"/>
        <v>0.46125891353682097</v>
      </c>
      <c r="I11" s="26">
        <f t="shared" si="1"/>
        <v>8.8314921216548128E-3</v>
      </c>
      <c r="K11" s="24"/>
      <c r="L11" s="24"/>
      <c r="N11" s="49"/>
      <c r="O11" s="50" t="s">
        <v>26</v>
      </c>
      <c r="P11" s="23">
        <f>(P7-P9)</f>
        <v>0.48815250539145438</v>
      </c>
      <c r="Q11" s="24">
        <f t="shared" ref="Q11" si="5">(Q7-Q9)</f>
        <v>0.95516774043172603</v>
      </c>
      <c r="R11" s="24">
        <f>(R7-R9)</f>
        <v>1.5053410070350317</v>
      </c>
      <c r="S11" s="24"/>
      <c r="T11" s="25">
        <f t="shared" si="2"/>
        <v>0.98288708428607074</v>
      </c>
      <c r="U11" s="51">
        <f t="shared" si="3"/>
        <v>0.50916046928916547</v>
      </c>
      <c r="V11" s="24">
        <f>V9</f>
        <v>0.56546903498838685</v>
      </c>
      <c r="W11" s="24">
        <f t="shared" ref="W11:X11" si="6">W9</f>
        <v>0.60190617262718882</v>
      </c>
      <c r="X11" s="24">
        <f t="shared" si="6"/>
        <v>0.63948018911007209</v>
      </c>
      <c r="Y11" s="24"/>
      <c r="Z11" s="25">
        <f>AVERAGE(V11:X11)</f>
        <v>0.60228513224188263</v>
      </c>
      <c r="AA11" s="51">
        <f>STDEV(V11:X11)</f>
        <v>3.7007032323575183E-2</v>
      </c>
    </row>
    <row r="12" spans="1:27" ht="18" x14ac:dyDescent="0.35">
      <c r="A12" s="52" t="s">
        <v>27</v>
      </c>
      <c r="B12" s="53"/>
      <c r="C12" s="54" t="s">
        <v>28</v>
      </c>
      <c r="D12" s="55">
        <f>D10*0.5</f>
        <v>0.1075</v>
      </c>
      <c r="E12" s="55">
        <f>E10*0.5</f>
        <v>0.1045</v>
      </c>
      <c r="F12" s="55">
        <f t="shared" ref="F12" si="7">F10*0.5</f>
        <v>0.107</v>
      </c>
      <c r="G12" s="55"/>
      <c r="H12" s="25">
        <f t="shared" si="0"/>
        <v>0.10633333333333334</v>
      </c>
      <c r="I12" s="26">
        <f t="shared" si="1"/>
        <v>1.6072751268321607E-3</v>
      </c>
      <c r="K12" s="24"/>
      <c r="L12" s="24"/>
      <c r="N12" s="49"/>
      <c r="O12" s="50" t="s">
        <v>29</v>
      </c>
      <c r="P12" s="23">
        <f>(D9-D7)*0.5</f>
        <v>7.9500000000000001E-2</v>
      </c>
      <c r="Q12" s="24">
        <f t="shared" ref="Q12:R12" si="8">(E9-E7)*0.5</f>
        <v>7.9500000000000001E-2</v>
      </c>
      <c r="R12" s="24">
        <f t="shared" si="8"/>
        <v>8.1499999999999989E-2</v>
      </c>
      <c r="S12" s="24"/>
      <c r="T12" s="25">
        <f t="shared" si="2"/>
        <v>8.0166666666666664E-2</v>
      </c>
      <c r="U12" s="26">
        <f t="shared" si="3"/>
        <v>1.1547005383792447E-3</v>
      </c>
      <c r="V12" s="24"/>
      <c r="W12" s="24"/>
      <c r="X12" s="24"/>
      <c r="Y12" s="24"/>
      <c r="Z12" s="25"/>
      <c r="AA12" s="26"/>
    </row>
    <row r="13" spans="1:27" ht="18" x14ac:dyDescent="0.35">
      <c r="B13" s="17"/>
      <c r="C13" s="56"/>
      <c r="D13" s="55"/>
      <c r="E13" s="55"/>
      <c r="F13" s="55"/>
      <c r="H13" s="57"/>
      <c r="I13" s="58"/>
      <c r="N13" s="49"/>
      <c r="O13" s="50" t="s">
        <v>30</v>
      </c>
      <c r="P13" s="23">
        <f>P12/(P11/1000*180.16)</f>
        <v>0.90396836615943199</v>
      </c>
      <c r="Q13" s="24">
        <f t="shared" ref="Q13:R13" si="9">Q12/(Q11/1000*180.16)</f>
        <v>0.46198631303847726</v>
      </c>
      <c r="R13" s="24">
        <f t="shared" si="9"/>
        <v>0.30051374669292641</v>
      </c>
      <c r="S13" s="24"/>
      <c r="T13" s="25">
        <f>AVERAGE(P13:R13)</f>
        <v>0.55548947529694526</v>
      </c>
      <c r="U13" s="26">
        <f>STDEV(P13:R13)</f>
        <v>0.31240438609775678</v>
      </c>
      <c r="V13" s="24">
        <f>(V11/1000*59.04)/(P11/1000*180.16)</f>
        <v>0.37961317868486599</v>
      </c>
      <c r="W13" s="24">
        <f>(W11/1000*59.04)/(Q11/1000*180.16)</f>
        <v>0.2065081168840317</v>
      </c>
      <c r="X13" s="24">
        <f>(X11/1000*59.04)/(R11/1000*180.16)</f>
        <v>0.13921312355655685</v>
      </c>
      <c r="Y13" s="24"/>
      <c r="Z13" s="25">
        <f>AVERAGE(V13:X13)</f>
        <v>0.24177813970848483</v>
      </c>
      <c r="AA13" s="26">
        <f>STDEV(V13:X13)</f>
        <v>0.12402027055667804</v>
      </c>
    </row>
    <row r="14" spans="1:27" ht="18" x14ac:dyDescent="0.35">
      <c r="B14" s="17"/>
      <c r="C14" s="56"/>
      <c r="D14" s="55"/>
      <c r="E14" s="55"/>
      <c r="F14" s="55"/>
      <c r="H14" s="20"/>
      <c r="I14" s="59"/>
      <c r="O14" s="60" t="s">
        <v>31</v>
      </c>
      <c r="P14" s="23"/>
      <c r="Q14" s="24"/>
      <c r="R14" s="24"/>
      <c r="S14" s="24"/>
      <c r="T14" s="25"/>
      <c r="U14" s="26"/>
      <c r="V14" s="24">
        <f>(V11/1000*59.04)/P12</f>
        <v>0.41994077768194155</v>
      </c>
      <c r="W14" s="24">
        <f>(W11/1000*59.04)/Q12</f>
        <v>0.44700050857747459</v>
      </c>
      <c r="X14" s="24">
        <f>(X11/1000*59.04)/R12</f>
        <v>0.46325043392710019</v>
      </c>
      <c r="Y14" s="24"/>
      <c r="Z14" s="25">
        <f>AVERAGE(V14:X14)</f>
        <v>0.44339724006217213</v>
      </c>
      <c r="AA14" s="26">
        <f>STDEV(V14:X14)</f>
        <v>2.1878510895704945E-2</v>
      </c>
    </row>
    <row r="15" spans="1:27" ht="18.75" x14ac:dyDescent="0.35">
      <c r="B15" s="17"/>
      <c r="C15" s="56"/>
      <c r="D15" s="55"/>
      <c r="E15" s="55"/>
      <c r="F15" s="55"/>
      <c r="H15" s="20"/>
      <c r="I15" s="59"/>
      <c r="O15" s="54" t="s">
        <v>32</v>
      </c>
      <c r="P15" s="23">
        <f>D11*(P11)</f>
        <v>0.22765371768608997</v>
      </c>
      <c r="Q15" s="23">
        <f t="shared" ref="Q15:R15" si="10">E11*(Q11)</f>
        <v>0.44544990494052944</v>
      </c>
      <c r="R15" s="23">
        <f t="shared" si="10"/>
        <v>0.67900089820528386</v>
      </c>
      <c r="S15" s="24"/>
      <c r="T15" s="25">
        <f t="shared" ref="T15" si="11">AVERAGE(P15:R15)</f>
        <v>0.45070150694396771</v>
      </c>
      <c r="U15" s="26">
        <f t="shared" ref="U15" si="12">STDEV(P15:R15)</f>
        <v>0.22571941394873063</v>
      </c>
      <c r="V15" s="24">
        <f>D11*(V11)</f>
        <v>0.26371088262312853</v>
      </c>
      <c r="W15" s="24">
        <f t="shared" ref="W15:X15" si="13">E11*(W11)</f>
        <v>0.28070362516505437</v>
      </c>
      <c r="X15" s="24">
        <f t="shared" si="13"/>
        <v>0.28844469177482457</v>
      </c>
      <c r="Y15" s="24"/>
      <c r="Z15" s="25">
        <f>AVERAGE(V15:X15)</f>
        <v>0.27761973318766914</v>
      </c>
      <c r="AA15" s="26">
        <f>STDEV(V15:X15)</f>
        <v>1.2652000675160683E-2</v>
      </c>
    </row>
    <row r="16" spans="1:27" ht="18.75" x14ac:dyDescent="0.35">
      <c r="B16" s="17"/>
      <c r="C16" s="61"/>
      <c r="D16" s="45"/>
      <c r="E16" s="45"/>
      <c r="F16" s="45"/>
      <c r="G16" s="62"/>
      <c r="H16" s="62"/>
      <c r="I16" s="63"/>
      <c r="J16" s="64"/>
      <c r="K16" s="62"/>
      <c r="L16" s="62"/>
      <c r="M16" s="62"/>
      <c r="N16" s="62"/>
      <c r="O16" s="65" t="s">
        <v>33</v>
      </c>
      <c r="P16" s="66">
        <f>D11*(P11/P12)</f>
        <v>2.8635687759256601</v>
      </c>
      <c r="Q16" s="67">
        <f>E11*(Q11/Q12)</f>
        <v>5.6031434583714388</v>
      </c>
      <c r="R16" s="67">
        <f>F11*(R11/R12)</f>
        <v>8.3312993644820121</v>
      </c>
      <c r="S16" s="45"/>
      <c r="T16" s="46">
        <f>AVERAGE(P16:R16)</f>
        <v>5.5993371995930374</v>
      </c>
      <c r="U16" s="47">
        <f>STDEV(P16:R16)</f>
        <v>2.7338672815195513</v>
      </c>
      <c r="V16" s="45">
        <f>D11*(V11/P12)</f>
        <v>3.3171180204167117</v>
      </c>
      <c r="W16" s="45">
        <f>E11*(W11/Q12)</f>
        <v>3.530863209623325</v>
      </c>
      <c r="X16" s="45">
        <f>F11*(X11/R12)</f>
        <v>3.5391986720837374</v>
      </c>
      <c r="Y16" s="45"/>
      <c r="Z16" s="46">
        <f>AVERAGE(V16:X16)</f>
        <v>3.4623933007079248</v>
      </c>
      <c r="AA16" s="47">
        <f>STDEV(V16:X16)</f>
        <v>0.1258810958062215</v>
      </c>
    </row>
    <row r="17" spans="1:26" x14ac:dyDescent="0.25">
      <c r="B17" s="17"/>
      <c r="C17" s="68"/>
      <c r="D17" s="55"/>
      <c r="E17" s="55"/>
      <c r="F17" s="55"/>
      <c r="I17" s="69" t="s">
        <v>34</v>
      </c>
      <c r="J17" s="55">
        <f>P12/(J7-J9)</f>
        <v>4.8773006134969328E-2</v>
      </c>
      <c r="K17" s="55">
        <f>Q12/(K7-K9)</f>
        <v>4.4915254237288149E-2</v>
      </c>
      <c r="L17" s="55">
        <f>R12/(L7-L9)</f>
        <v>4.5277777777777778E-2</v>
      </c>
      <c r="N17" s="70">
        <f>AVERAGE(J17:L17)</f>
        <v>4.6322012716678414E-2</v>
      </c>
      <c r="O17" s="26">
        <f>STDEV(J17:L17)</f>
        <v>2.1303479485124729E-3</v>
      </c>
      <c r="T17" s="55"/>
      <c r="U17" s="55"/>
    </row>
    <row r="18" spans="1:26" x14ac:dyDescent="0.25">
      <c r="B18" s="17"/>
      <c r="C18" s="68"/>
      <c r="D18" s="55"/>
      <c r="E18" s="55"/>
      <c r="F18" s="55"/>
      <c r="T18" s="55"/>
      <c r="U18" s="55"/>
    </row>
    <row r="19" spans="1:26" x14ac:dyDescent="0.25">
      <c r="B19" s="17"/>
      <c r="C19" s="68"/>
      <c r="D19" s="55"/>
      <c r="E19" s="55"/>
      <c r="F19" s="55"/>
      <c r="O19" s="9" t="s">
        <v>35</v>
      </c>
      <c r="P19" s="5">
        <f>P11/1000*6</f>
        <v>2.9289150323487264E-3</v>
      </c>
      <c r="Q19" s="5">
        <f>Q11/1000*6</f>
        <v>5.7310064425903562E-3</v>
      </c>
      <c r="R19" s="5">
        <f>R11/1000*6</f>
        <v>9.0320460422101904E-3</v>
      </c>
      <c r="T19" s="55"/>
      <c r="U19" s="55"/>
      <c r="V19" s="5">
        <f>V11/1000*2</f>
        <v>1.1309380699767737E-3</v>
      </c>
      <c r="W19" s="5">
        <f>W11/1000*2</f>
        <v>1.2038123452543777E-3</v>
      </c>
      <c r="X19" s="5">
        <f>X11/1000*2</f>
        <v>1.2789603782201442E-3</v>
      </c>
      <c r="Z19" s="55"/>
    </row>
    <row r="20" spans="1:26" x14ac:dyDescent="0.25">
      <c r="B20" s="17"/>
      <c r="C20" s="68"/>
      <c r="D20" s="55"/>
      <c r="E20" s="55"/>
      <c r="F20" s="55"/>
      <c r="O20" s="9" t="s">
        <v>36</v>
      </c>
      <c r="P20" s="5">
        <f>P12*0.5/12.01</f>
        <v>3.3097418817651957E-3</v>
      </c>
      <c r="Q20" s="5">
        <f>Q12*0.5/12.01</f>
        <v>3.3097418817651957E-3</v>
      </c>
      <c r="R20" s="5">
        <f>R12*0.5/12.01</f>
        <v>3.3930058284762695E-3</v>
      </c>
      <c r="T20" s="71" t="s">
        <v>17</v>
      </c>
      <c r="U20" s="51" t="s">
        <v>18</v>
      </c>
      <c r="Z20" s="55"/>
    </row>
    <row r="21" spans="1:26" x14ac:dyDescent="0.25">
      <c r="B21" s="17"/>
      <c r="C21" s="68"/>
      <c r="D21" s="55"/>
      <c r="E21" s="55"/>
      <c r="F21" s="55"/>
      <c r="O21" s="9" t="s">
        <v>37</v>
      </c>
      <c r="P21" s="5">
        <f>(P19-V19-P20)/P19</f>
        <v>-0.51615185237413441</v>
      </c>
      <c r="Q21" s="5">
        <f t="shared" ref="Q21:R21" si="14">(Q19-W19-Q20)/Q19</f>
        <v>0.21243253305792953</v>
      </c>
      <c r="R21" s="5">
        <f t="shared" si="14"/>
        <v>0.48273445630563255</v>
      </c>
      <c r="T21" s="72">
        <f>AVERAGE(P21:R21)</f>
        <v>5.9671712329809223E-2</v>
      </c>
      <c r="U21" s="47">
        <f>STDEV(P21:R21)</f>
        <v>0.51666755818332488</v>
      </c>
      <c r="Z21" s="55"/>
    </row>
    <row r="22" spans="1:26" x14ac:dyDescent="0.25">
      <c r="B22" s="17"/>
      <c r="C22" s="68"/>
      <c r="D22" s="55"/>
      <c r="E22" s="55"/>
      <c r="F22" s="55"/>
      <c r="T22" s="55"/>
      <c r="U22" s="55"/>
      <c r="Z22" s="55"/>
    </row>
    <row r="23" spans="1:26" x14ac:dyDescent="0.25">
      <c r="B23" s="17"/>
      <c r="C23" s="68"/>
      <c r="D23" s="55"/>
      <c r="E23" s="55"/>
      <c r="F23" s="55"/>
      <c r="T23" s="55"/>
      <c r="U23" s="55"/>
      <c r="Z23" s="55"/>
    </row>
    <row r="24" spans="1:26" x14ac:dyDescent="0.25">
      <c r="B24" s="17"/>
      <c r="C24" s="68"/>
      <c r="D24" s="55"/>
      <c r="E24" s="55"/>
      <c r="F24" s="55"/>
      <c r="T24" s="55"/>
      <c r="U24" s="55"/>
      <c r="Z24" s="55"/>
    </row>
    <row r="25" spans="1:26" x14ac:dyDescent="0.25">
      <c r="A25" s="9"/>
      <c r="C25" s="73"/>
      <c r="D25" s="1"/>
      <c r="E25" s="74"/>
      <c r="F25" s="73"/>
      <c r="G25" s="1"/>
      <c r="H25" s="74"/>
      <c r="I25" s="73"/>
      <c r="J25" s="1"/>
      <c r="K25" s="74"/>
    </row>
    <row r="26" spans="1:26" x14ac:dyDescent="0.25">
      <c r="E26" s="55"/>
      <c r="H26" s="55"/>
      <c r="K26" s="55"/>
    </row>
    <row r="30" spans="1:26" x14ac:dyDescent="0.25">
      <c r="O30" s="75"/>
      <c r="P30" s="76"/>
      <c r="Q30" s="76"/>
      <c r="R30" s="76"/>
    </row>
    <row r="31" spans="1:26" x14ac:dyDescent="0.25">
      <c r="O31" s="75"/>
      <c r="P31" s="76"/>
      <c r="R31" s="76"/>
      <c r="Y31" s="55"/>
    </row>
    <row r="32" spans="1:26" x14ac:dyDescent="0.25">
      <c r="O32" s="75"/>
      <c r="P32" s="77"/>
      <c r="Q32" s="77"/>
      <c r="R32" s="77"/>
    </row>
    <row r="33" spans="15:18" x14ac:dyDescent="0.25">
      <c r="O33" s="75"/>
      <c r="P33" s="76"/>
      <c r="Q33" s="76"/>
      <c r="R33" s="76"/>
    </row>
  </sheetData>
  <mergeCells count="4">
    <mergeCell ref="D4:I4"/>
    <mergeCell ref="J4:O4"/>
    <mergeCell ref="P4:U4"/>
    <mergeCell ref="V4:AA4"/>
  </mergeCells>
  <pageMargins left="0.7" right="0.7" top="0.75" bottom="0.75" header="0.3" footer="0.3"/>
  <pageSetup orientation="portrait" r:id="rId1"/>
  <ignoredErrors>
    <ignoredError sqref="D11:F11 H6:I12 N6:O10 T6:U10" formulaRange="1"/>
  </ignoredError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431A-ABCB-4295-9AB4-D89F41D4FB7F}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6ADD-1ED6-43E3-B3BB-F1A33E00E214}">
  <dimension ref="A1:AA34"/>
  <sheetViews>
    <sheetView zoomScaleNormal="100" workbookViewId="0"/>
  </sheetViews>
  <sheetFormatPr defaultColWidth="8.7109375" defaultRowHeight="15" x14ac:dyDescent="0.25"/>
  <cols>
    <col min="1" max="1" width="8.7109375" style="5"/>
    <col min="2" max="2" width="13.85546875" style="5" customWidth="1"/>
    <col min="3" max="14" width="8.7109375" style="5"/>
    <col min="15" max="15" width="12" style="5" customWidth="1"/>
    <col min="16" max="16384" width="8.7109375" style="5"/>
  </cols>
  <sheetData>
    <row r="1" spans="1:27" x14ac:dyDescent="0.25">
      <c r="A1" s="8" t="s">
        <v>38</v>
      </c>
      <c r="D1" s="5">
        <v>20160505</v>
      </c>
    </row>
    <row r="2" spans="1:27" x14ac:dyDescent="0.25">
      <c r="A2" s="9" t="s">
        <v>10</v>
      </c>
    </row>
    <row r="3" spans="1:27" x14ac:dyDescent="0.25">
      <c r="A3" s="9" t="s">
        <v>39</v>
      </c>
    </row>
    <row r="4" spans="1:27" x14ac:dyDescent="0.25">
      <c r="B4" s="10"/>
      <c r="D4" s="382" t="s">
        <v>12</v>
      </c>
      <c r="E4" s="383"/>
      <c r="F4" s="383"/>
      <c r="G4" s="383"/>
      <c r="H4" s="383"/>
      <c r="I4" s="384"/>
      <c r="J4" s="382" t="s">
        <v>5</v>
      </c>
      <c r="K4" s="383"/>
      <c r="L4" s="383"/>
      <c r="M4" s="383"/>
      <c r="N4" s="383"/>
      <c r="O4" s="383"/>
      <c r="P4" s="382" t="s">
        <v>13</v>
      </c>
      <c r="Q4" s="383"/>
      <c r="R4" s="383"/>
      <c r="S4" s="383"/>
      <c r="T4" s="383"/>
      <c r="U4" s="384"/>
      <c r="V4" s="383" t="s">
        <v>14</v>
      </c>
      <c r="W4" s="383"/>
      <c r="X4" s="383"/>
      <c r="Y4" s="383"/>
      <c r="Z4" s="383"/>
      <c r="AA4" s="384"/>
    </row>
    <row r="5" spans="1:27" x14ac:dyDescent="0.25">
      <c r="B5" s="9" t="s">
        <v>15</v>
      </c>
      <c r="C5" s="11" t="s">
        <v>16</v>
      </c>
      <c r="D5" s="12">
        <v>1</v>
      </c>
      <c r="E5" s="13">
        <v>2</v>
      </c>
      <c r="F5" s="13">
        <v>3</v>
      </c>
      <c r="G5" s="13" t="s">
        <v>4</v>
      </c>
      <c r="H5" s="14" t="s">
        <v>17</v>
      </c>
      <c r="I5" s="15" t="s">
        <v>18</v>
      </c>
      <c r="J5" s="12">
        <v>1</v>
      </c>
      <c r="K5" s="13">
        <v>2</v>
      </c>
      <c r="L5" s="13">
        <v>3</v>
      </c>
      <c r="M5" s="13" t="s">
        <v>4</v>
      </c>
      <c r="N5" s="14" t="s">
        <v>17</v>
      </c>
      <c r="O5" s="14" t="s">
        <v>18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5" t="s">
        <v>18</v>
      </c>
      <c r="V5" s="13">
        <v>1</v>
      </c>
      <c r="W5" s="13">
        <v>2</v>
      </c>
      <c r="X5" s="13">
        <v>3</v>
      </c>
      <c r="Y5" s="13" t="s">
        <v>4</v>
      </c>
      <c r="Z5" s="14" t="s">
        <v>17</v>
      </c>
      <c r="AA5" s="15" t="s">
        <v>18</v>
      </c>
    </row>
    <row r="6" spans="1:27" x14ac:dyDescent="0.25">
      <c r="A6" s="5" t="s">
        <v>19</v>
      </c>
      <c r="B6" s="17">
        <v>42495.347916666666</v>
      </c>
      <c r="C6" s="18">
        <f t="shared" ref="C6:C11" si="0">(B6-$B$6)*24</f>
        <v>0</v>
      </c>
      <c r="D6" s="19">
        <v>2.4E-2</v>
      </c>
      <c r="E6" s="20">
        <v>2.4E-2</v>
      </c>
      <c r="F6" s="20">
        <v>2.4E-2</v>
      </c>
      <c r="G6" s="20">
        <v>0</v>
      </c>
      <c r="H6" s="21">
        <f t="shared" ref="H6:H11" si="1">AVERAGE(D6:F6)</f>
        <v>2.4000000000000004E-2</v>
      </c>
      <c r="I6" s="22">
        <f t="shared" ref="I6:I11" si="2">STDEV(D6:F6)</f>
        <v>4.2491873609703695E-18</v>
      </c>
      <c r="J6" s="23">
        <v>6.48</v>
      </c>
      <c r="K6" s="24">
        <v>6.49</v>
      </c>
      <c r="L6" s="24">
        <v>6.48</v>
      </c>
      <c r="M6" s="24">
        <v>6.49</v>
      </c>
      <c r="N6" s="25">
        <f t="shared" ref="N6:N11" si="3">AVERAGE(J6:L6)</f>
        <v>6.4833333333333343</v>
      </c>
      <c r="O6" s="25">
        <f t="shared" ref="O6:O11" si="4">STDEV(J6:L6)</f>
        <v>5.7735026918961348E-3</v>
      </c>
      <c r="P6" s="23">
        <v>28.199837227491482</v>
      </c>
      <c r="Q6" s="24">
        <v>29.504776397821303</v>
      </c>
      <c r="R6" s="24">
        <v>29.836866081067285</v>
      </c>
      <c r="S6" s="24">
        <v>29.568403028994062</v>
      </c>
      <c r="T6" s="25">
        <f>AVERAGE(P6:R6)</f>
        <v>29.180493235460023</v>
      </c>
      <c r="U6" s="26">
        <f>STDEV(P6:R6)</f>
        <v>0.86535284358647646</v>
      </c>
      <c r="V6" s="24">
        <v>0.12376546107610437</v>
      </c>
      <c r="W6" s="24">
        <v>0.1130790336847903</v>
      </c>
      <c r="X6" s="24">
        <v>8.9115294114736038E-2</v>
      </c>
      <c r="Y6" s="24">
        <v>8.8023859143831359E-2</v>
      </c>
      <c r="Z6" s="25">
        <f>AVERAGE(V6:X6)</f>
        <v>0.10865326295854356</v>
      </c>
      <c r="AA6" s="26">
        <f>STDEV(V6:X6)</f>
        <v>1.7743987784702001E-2</v>
      </c>
    </row>
    <row r="7" spans="1:27" x14ac:dyDescent="0.25">
      <c r="A7" s="5" t="s">
        <v>20</v>
      </c>
      <c r="B7" s="17">
        <v>42495.404861111114</v>
      </c>
      <c r="C7" s="28">
        <f t="shared" si="0"/>
        <v>1.3666666667559184</v>
      </c>
      <c r="D7" s="29">
        <v>4.5999999999999999E-2</v>
      </c>
      <c r="E7" s="30">
        <v>4.5999999999999999E-2</v>
      </c>
      <c r="F7" s="30">
        <v>4.8000000000000001E-2</v>
      </c>
      <c r="G7" s="30">
        <v>0</v>
      </c>
      <c r="H7" s="31">
        <f t="shared" si="1"/>
        <v>4.6666666666666669E-2</v>
      </c>
      <c r="I7" s="32">
        <f t="shared" si="2"/>
        <v>1.1547005383792527E-3</v>
      </c>
      <c r="J7" s="33">
        <v>6.39</v>
      </c>
      <c r="K7" s="34">
        <v>6.39</v>
      </c>
      <c r="L7" s="34">
        <v>6.38</v>
      </c>
      <c r="M7" s="34">
        <v>6.49</v>
      </c>
      <c r="N7" s="35">
        <f t="shared" si="3"/>
        <v>6.3866666666666667</v>
      </c>
      <c r="O7" s="36">
        <f t="shared" si="4"/>
        <v>5.7735026918961348E-3</v>
      </c>
      <c r="P7" s="33">
        <v>29.592515761119145</v>
      </c>
      <c r="Q7" s="34">
        <v>29.606757896268519</v>
      </c>
      <c r="R7" s="34">
        <v>29.485231499276331</v>
      </c>
      <c r="S7" s="37">
        <v>29.920353311015376</v>
      </c>
      <c r="T7" s="35">
        <f>AVERAGE(P7:R7)</f>
        <v>29.561501718887996</v>
      </c>
      <c r="U7" s="36">
        <f>STDEV(P7:R7)</f>
        <v>6.6434700293688573E-2</v>
      </c>
      <c r="V7" s="34">
        <v>9.1986802491727096E-2</v>
      </c>
      <c r="W7" s="34">
        <v>9.3377731713223958E-2</v>
      </c>
      <c r="X7" s="34">
        <v>0.10529139494829323</v>
      </c>
      <c r="Y7" s="34" t="s">
        <v>21</v>
      </c>
      <c r="Z7" s="35">
        <f>AVERAGE(V7:X7)</f>
        <v>9.68853097177481E-2</v>
      </c>
      <c r="AA7" s="36">
        <f>STDEV(V7:X7)</f>
        <v>7.3130276016295246E-3</v>
      </c>
    </row>
    <row r="8" spans="1:27" x14ac:dyDescent="0.25">
      <c r="A8" s="5" t="s">
        <v>22</v>
      </c>
      <c r="B8" s="17">
        <v>42495.467361111114</v>
      </c>
      <c r="C8" s="28">
        <f t="shared" si="0"/>
        <v>2.8666666667559184</v>
      </c>
      <c r="D8" s="29">
        <v>0.109</v>
      </c>
      <c r="E8" s="30">
        <v>0.111</v>
      </c>
      <c r="F8" s="30">
        <v>0.122</v>
      </c>
      <c r="G8" s="30">
        <v>-1E-3</v>
      </c>
      <c r="H8" s="31">
        <f t="shared" si="1"/>
        <v>0.11399999999999999</v>
      </c>
      <c r="I8" s="32">
        <f t="shared" si="2"/>
        <v>6.9999999999999984E-3</v>
      </c>
      <c r="J8" s="33">
        <v>6.16</v>
      </c>
      <c r="K8" s="34">
        <v>6.13</v>
      </c>
      <c r="L8" s="34">
        <v>6.08</v>
      </c>
      <c r="M8" s="34">
        <v>6.49</v>
      </c>
      <c r="N8" s="35">
        <f t="shared" si="3"/>
        <v>6.1233333333333322</v>
      </c>
      <c r="O8" s="35">
        <f t="shared" si="4"/>
        <v>4.0414518843273822E-2</v>
      </c>
      <c r="P8" s="33"/>
      <c r="Q8" s="34"/>
      <c r="R8" s="34"/>
      <c r="S8" s="34"/>
      <c r="T8" s="35"/>
      <c r="U8" s="36"/>
      <c r="V8" s="34"/>
      <c r="W8" s="34"/>
      <c r="X8" s="34"/>
      <c r="Y8" s="34"/>
      <c r="Z8" s="35"/>
      <c r="AA8" s="36"/>
    </row>
    <row r="9" spans="1:27" x14ac:dyDescent="0.25">
      <c r="A9" s="5" t="s">
        <v>23</v>
      </c>
      <c r="B9" s="17">
        <v>42495.534722222219</v>
      </c>
      <c r="C9" s="28">
        <f t="shared" si="0"/>
        <v>4.4833333332790062</v>
      </c>
      <c r="D9" s="29">
        <v>0.24199999999999999</v>
      </c>
      <c r="E9" s="30">
        <v>0.245</v>
      </c>
      <c r="F9" s="30">
        <v>0.26700000000000002</v>
      </c>
      <c r="G9" s="30">
        <v>0</v>
      </c>
      <c r="H9" s="31">
        <f t="shared" si="1"/>
        <v>0.25133333333333335</v>
      </c>
      <c r="I9" s="32">
        <f t="shared" si="2"/>
        <v>1.3650396819628858E-2</v>
      </c>
      <c r="J9" s="33">
        <v>5.18</v>
      </c>
      <c r="K9" s="34">
        <v>5.13</v>
      </c>
      <c r="L9" s="34">
        <v>4.9800000000000004</v>
      </c>
      <c r="M9" s="34">
        <v>6.48</v>
      </c>
      <c r="N9" s="35">
        <f t="shared" si="3"/>
        <v>5.0966666666666667</v>
      </c>
      <c r="O9" s="35">
        <f t="shared" si="4"/>
        <v>0.10408329997330627</v>
      </c>
      <c r="P9" s="33"/>
      <c r="Q9" s="34"/>
      <c r="R9" s="34"/>
      <c r="S9" s="34"/>
      <c r="T9" s="35"/>
      <c r="U9" s="36"/>
      <c r="V9" s="34"/>
      <c r="W9" s="34"/>
      <c r="X9" s="34"/>
      <c r="Y9" s="34"/>
      <c r="Z9" s="35"/>
      <c r="AA9" s="36"/>
    </row>
    <row r="10" spans="1:27" x14ac:dyDescent="0.25">
      <c r="A10" s="5" t="s">
        <v>24</v>
      </c>
      <c r="B10" s="17">
        <v>42495.6</v>
      </c>
      <c r="C10" s="28">
        <f t="shared" si="0"/>
        <v>6.0499999999883585</v>
      </c>
      <c r="D10" s="29">
        <f>0.189*2</f>
        <v>0.378</v>
      </c>
      <c r="E10" s="30">
        <f>0.187*2</f>
        <v>0.374</v>
      </c>
      <c r="F10" s="30">
        <f>0.192*2</f>
        <v>0.38400000000000001</v>
      </c>
      <c r="G10" s="30">
        <v>0</v>
      </c>
      <c r="H10" s="31">
        <f t="shared" si="1"/>
        <v>0.37866666666666671</v>
      </c>
      <c r="I10" s="32">
        <f t="shared" si="2"/>
        <v>5.0332229568471705E-3</v>
      </c>
      <c r="J10" s="33">
        <v>4.24</v>
      </c>
      <c r="K10" s="34">
        <v>4.21</v>
      </c>
      <c r="L10" s="34">
        <v>4.16</v>
      </c>
      <c r="M10" s="34">
        <v>6.48</v>
      </c>
      <c r="N10" s="35">
        <f t="shared" si="3"/>
        <v>4.2033333333333331</v>
      </c>
      <c r="O10" s="35">
        <f t="shared" si="4"/>
        <v>4.0414518843273822E-2</v>
      </c>
      <c r="P10" s="33">
        <v>27.252232273992817</v>
      </c>
      <c r="Q10" s="34">
        <v>27.198849620249597</v>
      </c>
      <c r="R10" s="34">
        <v>27.116555516097154</v>
      </c>
      <c r="S10" s="34">
        <v>29.986706720885909</v>
      </c>
      <c r="T10" s="35">
        <f t="shared" ref="T10:T13" si="5">AVERAGE(P10:R10)</f>
        <v>27.189212470113191</v>
      </c>
      <c r="U10" s="36">
        <f t="shared" ref="U10:U13" si="6">STDEV(P10:R10)</f>
        <v>6.8349847515069964E-2</v>
      </c>
      <c r="V10" s="78">
        <v>1.3188407713281953</v>
      </c>
      <c r="W10" s="34">
        <v>1.3843723980068325</v>
      </c>
      <c r="X10" s="34">
        <v>1.4403524318836249</v>
      </c>
      <c r="Y10" s="34">
        <v>6.9742037205439755E-2</v>
      </c>
      <c r="Z10" s="35">
        <f>AVERAGE(V10:X10)</f>
        <v>1.3811885337395509</v>
      </c>
      <c r="AA10" s="36">
        <f>STDEV(V10:X10)</f>
        <v>6.0818366111634749E-2</v>
      </c>
    </row>
    <row r="11" spans="1:27" x14ac:dyDescent="0.25">
      <c r="A11" s="5" t="s">
        <v>40</v>
      </c>
      <c r="B11" s="17">
        <v>42495.658333333333</v>
      </c>
      <c r="C11" s="39">
        <f t="shared" si="0"/>
        <v>7.4500000000116415</v>
      </c>
      <c r="D11" s="40">
        <f>0.194*2</f>
        <v>0.38800000000000001</v>
      </c>
      <c r="E11" s="41">
        <f>0.191*2</f>
        <v>0.38200000000000001</v>
      </c>
      <c r="F11" s="41">
        <f>0.192*2</f>
        <v>0.38400000000000001</v>
      </c>
      <c r="G11" s="41">
        <v>0</v>
      </c>
      <c r="H11" s="42">
        <f t="shared" si="1"/>
        <v>0.38466666666666666</v>
      </c>
      <c r="I11" s="43">
        <f t="shared" si="2"/>
        <v>3.0550504633038958E-3</v>
      </c>
      <c r="J11" s="44">
        <v>4.1399999999999997</v>
      </c>
      <c r="K11" s="45">
        <v>4.0999999999999996</v>
      </c>
      <c r="L11" s="45">
        <v>4.07</v>
      </c>
      <c r="M11" s="45">
        <v>6.49</v>
      </c>
      <c r="N11" s="46">
        <f t="shared" si="3"/>
        <v>4.1033333333333326</v>
      </c>
      <c r="O11" s="46">
        <f t="shared" si="4"/>
        <v>3.5118845842842181E-2</v>
      </c>
      <c r="P11" s="44">
        <v>26.497536964166255</v>
      </c>
      <c r="Q11" s="45">
        <v>26.539110756573628</v>
      </c>
      <c r="R11" s="45">
        <v>26.542788355651556</v>
      </c>
      <c r="S11" s="45">
        <v>29.880945105634474</v>
      </c>
      <c r="T11" s="46">
        <f t="shared" si="5"/>
        <v>26.526478692130478</v>
      </c>
      <c r="U11" s="47">
        <f t="shared" si="6"/>
        <v>2.5131631401699554E-2</v>
      </c>
      <c r="V11" s="45">
        <v>1.8780847639583145</v>
      </c>
      <c r="W11" s="45">
        <v>1.9176868663520183</v>
      </c>
      <c r="X11" s="45">
        <v>2.0838223420668389</v>
      </c>
      <c r="Y11" s="45">
        <v>6.4780428178886809E-2</v>
      </c>
      <c r="Z11" s="46">
        <f>AVERAGE(V11:X11)</f>
        <v>1.9598646574590575</v>
      </c>
      <c r="AA11" s="47">
        <f>STDEV(V11:X11)</f>
        <v>0.10916140484847223</v>
      </c>
    </row>
    <row r="12" spans="1:27" ht="18.75" x14ac:dyDescent="0.35">
      <c r="B12" s="17"/>
      <c r="C12" s="48" t="s">
        <v>25</v>
      </c>
      <c r="D12" s="24">
        <f>LN(LOGEST(D7:D10,$C$7:$C$10))</f>
        <v>0.4537711317763849</v>
      </c>
      <c r="E12" s="24">
        <f t="shared" ref="E12:F12" si="7">LN(LOGEST(E7:E10,$C$7:$C$10))</f>
        <v>0.45129974505261955</v>
      </c>
      <c r="F12" s="24">
        <f t="shared" si="7"/>
        <v>0.44750320179874276</v>
      </c>
      <c r="G12" s="20"/>
      <c r="H12" s="25">
        <f>AVERAGE(D12:F12)</f>
        <v>0.45085802620924903</v>
      </c>
      <c r="I12" s="26">
        <f>STDEV(D12:F12)</f>
        <v>3.1572255547549443E-3</v>
      </c>
      <c r="J12" s="49"/>
      <c r="L12" s="24"/>
      <c r="N12" s="49"/>
      <c r="O12" s="50" t="s">
        <v>26</v>
      </c>
      <c r="P12" s="23">
        <f>(P7-P10)</f>
        <v>2.3402834871263281</v>
      </c>
      <c r="Q12" s="24">
        <f t="shared" ref="Q12:R12" si="8">(Q7-Q10)</f>
        <v>2.4079082760189223</v>
      </c>
      <c r="R12" s="24">
        <f t="shared" si="8"/>
        <v>2.3686759831791768</v>
      </c>
      <c r="S12" s="24"/>
      <c r="T12" s="25">
        <f t="shared" si="5"/>
        <v>2.3722892487748091</v>
      </c>
      <c r="U12" s="51">
        <f t="shared" si="6"/>
        <v>3.3956881252412155E-2</v>
      </c>
      <c r="V12" s="24">
        <f>V10</f>
        <v>1.3188407713281953</v>
      </c>
      <c r="W12" s="24">
        <f t="shared" ref="W12:X12" si="9">W10</f>
        <v>1.3843723980068325</v>
      </c>
      <c r="X12" s="24">
        <f t="shared" si="9"/>
        <v>1.4403524318836249</v>
      </c>
      <c r="Y12" s="24"/>
      <c r="Z12" s="25">
        <f>AVERAGE(V12:X12)</f>
        <v>1.3811885337395509</v>
      </c>
      <c r="AA12" s="51">
        <f>STDEV(V12:X12)</f>
        <v>6.0818366111634749E-2</v>
      </c>
    </row>
    <row r="13" spans="1:27" ht="18" x14ac:dyDescent="0.35">
      <c r="A13" s="52" t="s">
        <v>27</v>
      </c>
      <c r="B13" s="53"/>
      <c r="C13" s="54" t="s">
        <v>28</v>
      </c>
      <c r="D13" s="55">
        <f>D11*0.5</f>
        <v>0.19400000000000001</v>
      </c>
      <c r="E13" s="55">
        <f t="shared" ref="E13:F13" si="10">E11*0.5</f>
        <v>0.191</v>
      </c>
      <c r="F13" s="55">
        <f t="shared" si="10"/>
        <v>0.192</v>
      </c>
      <c r="G13" s="55"/>
      <c r="H13" s="25">
        <f>AVERAGE(D13:F13)</f>
        <v>0.19233333333333333</v>
      </c>
      <c r="I13" s="26">
        <f>STDEV(D13:F13)</f>
        <v>1.5275252316519479E-3</v>
      </c>
      <c r="L13" s="24"/>
      <c r="N13" s="49"/>
      <c r="O13" s="50" t="s">
        <v>29</v>
      </c>
      <c r="P13" s="23">
        <f>(D10-D7)*0.5</f>
        <v>0.16600000000000001</v>
      </c>
      <c r="Q13" s="24">
        <f t="shared" ref="Q13:R13" si="11">(E10-E7)*0.5</f>
        <v>0.16400000000000001</v>
      </c>
      <c r="R13" s="24">
        <f t="shared" si="11"/>
        <v>0.16800000000000001</v>
      </c>
      <c r="S13" s="24"/>
      <c r="T13" s="25">
        <f t="shared" si="5"/>
        <v>0.16600000000000001</v>
      </c>
      <c r="U13" s="26">
        <f t="shared" si="6"/>
        <v>2.0000000000000018E-3</v>
      </c>
      <c r="V13" s="24"/>
      <c r="W13" s="24"/>
      <c r="X13" s="24"/>
      <c r="Y13" s="24"/>
      <c r="Z13" s="25"/>
      <c r="AA13" s="26"/>
    </row>
    <row r="14" spans="1:27" ht="18" x14ac:dyDescent="0.35">
      <c r="B14" s="17"/>
      <c r="C14" s="56"/>
      <c r="D14" s="55"/>
      <c r="E14" s="55"/>
      <c r="F14" s="55"/>
      <c r="H14" s="57"/>
      <c r="I14" s="58"/>
      <c r="N14" s="49"/>
      <c r="O14" s="50" t="s">
        <v>30</v>
      </c>
      <c r="P14" s="23">
        <f>P13/(P12/1000*180.16)</f>
        <v>0.39371435222554502</v>
      </c>
      <c r="Q14" s="24">
        <f t="shared" ref="Q14:R14" si="12">Q13/(Q12/1000*180.16)</f>
        <v>0.37804677316191682</v>
      </c>
      <c r="R14" s="24">
        <f t="shared" si="12"/>
        <v>0.3936817222445731</v>
      </c>
      <c r="S14" s="24"/>
      <c r="T14" s="25">
        <f>AVERAGE(P14:R14)</f>
        <v>0.38848094921067827</v>
      </c>
      <c r="U14" s="26">
        <f>STDEV(P14:R14)</f>
        <v>9.0362762541505767E-3</v>
      </c>
      <c r="V14" s="24">
        <f>(V12/1000*59.04)/(P12/1000*180.16)</f>
        <v>0.18467660072261372</v>
      </c>
      <c r="W14" s="24">
        <f>(W12/1000*59.04)/(Q12/1000*180.16)</f>
        <v>0.18840870645152683</v>
      </c>
      <c r="X14" s="24">
        <f>(X12/1000*59.04)/(R12/1000*180.16)</f>
        <v>0.19927420685954819</v>
      </c>
      <c r="Y14" s="24"/>
      <c r="Z14" s="25">
        <f>AVERAGE(V14:X14)</f>
        <v>0.19078650467789626</v>
      </c>
      <c r="AA14" s="26">
        <f>STDEV(V14:X14)</f>
        <v>7.583730581729611E-3</v>
      </c>
    </row>
    <row r="15" spans="1:27" ht="18" x14ac:dyDescent="0.35">
      <c r="B15" s="17"/>
      <c r="C15" s="56"/>
      <c r="D15" s="55"/>
      <c r="E15" s="55"/>
      <c r="F15" s="55"/>
      <c r="H15" s="20"/>
      <c r="I15" s="59"/>
      <c r="O15" s="60" t="s">
        <v>31</v>
      </c>
      <c r="P15" s="23"/>
      <c r="Q15" s="24"/>
      <c r="R15" s="24"/>
      <c r="S15" s="24"/>
      <c r="T15" s="25"/>
      <c r="U15" s="26"/>
      <c r="V15" s="24">
        <f>(V12/1000*59.04)/P13</f>
        <v>0.46906240445311231</v>
      </c>
      <c r="W15" s="24">
        <f>(W12/1000*59.04)/Q13</f>
        <v>0.4983740632824597</v>
      </c>
      <c r="X15" s="24">
        <f>(X12/1000*59.04)/R13</f>
        <v>0.50618099749053103</v>
      </c>
      <c r="Y15" s="24"/>
      <c r="Z15" s="25">
        <f>AVERAGE(V15:X15)</f>
        <v>0.49120582174203431</v>
      </c>
      <c r="AA15" s="26">
        <f>STDEV(V15:X15)</f>
        <v>1.957000900244522E-2</v>
      </c>
    </row>
    <row r="16" spans="1:27" ht="18.75" x14ac:dyDescent="0.35">
      <c r="B16" s="17"/>
      <c r="C16" s="56"/>
      <c r="D16" s="55"/>
      <c r="E16" s="55"/>
      <c r="F16" s="55"/>
      <c r="H16" s="20"/>
      <c r="I16" s="59"/>
      <c r="O16" s="54" t="s">
        <v>32</v>
      </c>
      <c r="P16" s="23">
        <f>D12*(P12)</f>
        <v>1.0619530866308986</v>
      </c>
      <c r="Q16" s="23">
        <f t="shared" ref="Q16:R16" si="13">E12*(Q12)</f>
        <v>1.0866883910774323</v>
      </c>
      <c r="R16" s="23">
        <f t="shared" si="13"/>
        <v>1.0599900864964666</v>
      </c>
      <c r="S16" s="24"/>
      <c r="T16" s="25">
        <f t="shared" ref="T16" si="14">AVERAGE(P16:R16)</f>
        <v>1.0695438547349327</v>
      </c>
      <c r="U16" s="26">
        <f t="shared" ref="U16" si="15">STDEV(P16:R16)</f>
        <v>1.488000964991008E-2</v>
      </c>
      <c r="V16" s="24">
        <f>D12*(V12)</f>
        <v>0.59845186943843565</v>
      </c>
      <c r="W16" s="24">
        <f t="shared" ref="W16:X16" si="16">E12*(W12)</f>
        <v>0.62476691027836706</v>
      </c>
      <c r="X16" s="24">
        <f t="shared" si="16"/>
        <v>0.64456232498652766</v>
      </c>
      <c r="Y16" s="24"/>
      <c r="Z16" s="25">
        <f>AVERAGE(V16:X16)</f>
        <v>0.62259370156777682</v>
      </c>
      <c r="AA16" s="26">
        <f>STDEV(V16:X16)</f>
        <v>2.3131918528042188E-2</v>
      </c>
    </row>
    <row r="17" spans="1:27" ht="18.75" x14ac:dyDescent="0.35">
      <c r="B17" s="17"/>
      <c r="C17" s="61"/>
      <c r="D17" s="45"/>
      <c r="E17" s="45"/>
      <c r="F17" s="45"/>
      <c r="G17" s="62"/>
      <c r="H17" s="62"/>
      <c r="I17" s="63"/>
      <c r="J17" s="64"/>
      <c r="K17" s="62"/>
      <c r="L17" s="62"/>
      <c r="M17" s="62"/>
      <c r="N17" s="62"/>
      <c r="O17" s="65" t="s">
        <v>33</v>
      </c>
      <c r="P17" s="66">
        <f>D12*(P12/P13)</f>
        <v>6.3973077507885447</v>
      </c>
      <c r="Q17" s="67">
        <f>E12*(Q12/Q13)</f>
        <v>6.6261487260819045</v>
      </c>
      <c r="R17" s="67">
        <f>F12*(R12/R13)</f>
        <v>6.3094648005742053</v>
      </c>
      <c r="S17" s="45"/>
      <c r="T17" s="46">
        <f>AVERAGE(P17:R17)</f>
        <v>6.4443070924815515</v>
      </c>
      <c r="U17" s="47">
        <f>STDEV(P17:R17)</f>
        <v>0.1634896961842657</v>
      </c>
      <c r="V17" s="45">
        <f>D12*(V12/P13)</f>
        <v>3.6051317436050336</v>
      </c>
      <c r="W17" s="45">
        <f>E12*(W12/Q13)</f>
        <v>3.8095543309656525</v>
      </c>
      <c r="X17" s="45">
        <f>F12*(X12/R13)</f>
        <v>3.8366805058721885</v>
      </c>
      <c r="Y17" s="45"/>
      <c r="Z17" s="46">
        <f>AVERAGE(V17:X17)</f>
        <v>3.7504555268142918</v>
      </c>
      <c r="AA17" s="47">
        <f>STDEV(V17:X17)</f>
        <v>0.12658281406238975</v>
      </c>
    </row>
    <row r="18" spans="1:27" x14ac:dyDescent="0.25">
      <c r="B18" s="17"/>
      <c r="C18" s="68"/>
      <c r="D18" s="55"/>
      <c r="E18" s="55"/>
      <c r="F18" s="55"/>
      <c r="I18" s="69" t="s">
        <v>34</v>
      </c>
      <c r="J18" s="55">
        <f>P13/(J7-J10)</f>
        <v>7.7209302325581416E-2</v>
      </c>
      <c r="K18" s="55">
        <f>Q13/(K7-K10)</f>
        <v>7.5229357798165156E-2</v>
      </c>
      <c r="L18" s="55">
        <f>R13/(L7-L10)</f>
        <v>7.5675675675675694E-2</v>
      </c>
      <c r="N18" s="70">
        <f>AVERAGE(J18:L18)</f>
        <v>7.6038111933140751E-2</v>
      </c>
      <c r="O18" s="26">
        <f>STDEV(J18:L18)</f>
        <v>1.0385398949753256E-3</v>
      </c>
    </row>
    <row r="19" spans="1:27" x14ac:dyDescent="0.25">
      <c r="B19" s="17"/>
      <c r="C19" s="68"/>
      <c r="D19" s="55"/>
      <c r="E19" s="55"/>
      <c r="F19" s="55"/>
    </row>
    <row r="20" spans="1:27" x14ac:dyDescent="0.25">
      <c r="B20" s="17"/>
      <c r="C20" s="68"/>
      <c r="D20" s="55"/>
      <c r="E20" s="55"/>
      <c r="F20" s="55"/>
      <c r="O20" s="9" t="s">
        <v>35</v>
      </c>
      <c r="P20" s="5">
        <f>P12/1000*6</f>
        <v>1.4041700922757968E-2</v>
      </c>
      <c r="Q20" s="5">
        <f>Q12/1000*6</f>
        <v>1.4447449656113534E-2</v>
      </c>
      <c r="R20" s="5">
        <f>R12/1000*6</f>
        <v>1.421205589907506E-2</v>
      </c>
      <c r="T20" s="55"/>
      <c r="V20" s="5">
        <f>V12/1000*2</f>
        <v>2.6376815426563905E-3</v>
      </c>
      <c r="W20" s="5">
        <f>W12/1000*2</f>
        <v>2.7687447960136652E-3</v>
      </c>
      <c r="X20" s="5">
        <f>X12/1000*2</f>
        <v>2.88070486376725E-3</v>
      </c>
      <c r="Z20" s="55"/>
    </row>
    <row r="21" spans="1:27" x14ac:dyDescent="0.25">
      <c r="B21" s="17"/>
      <c r="C21" s="68"/>
      <c r="D21" s="55"/>
      <c r="E21" s="55"/>
      <c r="F21" s="55"/>
      <c r="O21" s="9" t="s">
        <v>36</v>
      </c>
      <c r="P21" s="5">
        <f>P13*0.5/12.01</f>
        <v>6.9109075770191512E-3</v>
      </c>
      <c r="Q21" s="5">
        <f>Q13*0.5/12.01</f>
        <v>6.827643630308077E-3</v>
      </c>
      <c r="R21" s="5">
        <f>R13*0.5/12.01</f>
        <v>6.9941715237302254E-3</v>
      </c>
      <c r="T21" s="79" t="s">
        <v>17</v>
      </c>
      <c r="U21" s="51" t="s">
        <v>18</v>
      </c>
      <c r="Z21" s="55"/>
    </row>
    <row r="22" spans="1:27" x14ac:dyDescent="0.25">
      <c r="B22" s="17"/>
      <c r="C22" s="68"/>
      <c r="D22" s="55"/>
      <c r="E22" s="55"/>
      <c r="F22" s="55"/>
      <c r="O22" s="9" t="s">
        <v>37</v>
      </c>
      <c r="P22" s="5">
        <f>(P20-V20-P21)/P20</f>
        <v>0.31998344273237245</v>
      </c>
      <c r="Q22" s="5">
        <f t="shared" ref="Q22:R22" si="17">(Q20-W20-Q21)/Q20</f>
        <v>0.33577284193816409</v>
      </c>
      <c r="R22" s="5">
        <f t="shared" si="17"/>
        <v>0.30517608025027926</v>
      </c>
      <c r="T22" s="72">
        <f>AVERAGE(P22:R22)</f>
        <v>0.32031078830693854</v>
      </c>
      <c r="U22" s="80">
        <f>STDEV(P22:R22)</f>
        <v>1.5301007247570185E-2</v>
      </c>
      <c r="Z22" s="55"/>
    </row>
    <row r="23" spans="1:27" x14ac:dyDescent="0.25">
      <c r="B23" s="17"/>
      <c r="C23" s="68"/>
      <c r="D23" s="55"/>
      <c r="E23" s="55"/>
      <c r="F23" s="55"/>
      <c r="Z23" s="55"/>
    </row>
    <row r="24" spans="1:27" x14ac:dyDescent="0.25">
      <c r="B24" s="17"/>
      <c r="C24" s="68"/>
      <c r="D24" s="55"/>
      <c r="E24" s="55"/>
      <c r="F24" s="55"/>
      <c r="T24" s="55"/>
      <c r="Z24" s="55"/>
    </row>
    <row r="25" spans="1:27" x14ac:dyDescent="0.25">
      <c r="B25" s="17"/>
      <c r="C25" s="68"/>
      <c r="D25" s="55"/>
      <c r="E25" s="55"/>
      <c r="F25" s="55"/>
      <c r="T25" s="55"/>
      <c r="Z25" s="55"/>
    </row>
    <row r="26" spans="1:27" x14ac:dyDescent="0.25">
      <c r="A26" s="9"/>
      <c r="C26" s="73"/>
      <c r="D26" s="1"/>
      <c r="E26" s="74"/>
      <c r="F26" s="73"/>
      <c r="G26" s="1"/>
      <c r="H26" s="74"/>
      <c r="I26" s="73"/>
      <c r="J26" s="1"/>
      <c r="K26" s="74"/>
    </row>
    <row r="27" spans="1:27" x14ac:dyDescent="0.25">
      <c r="E27" s="55"/>
      <c r="H27" s="55"/>
      <c r="K27" s="55"/>
    </row>
    <row r="31" spans="1:27" x14ac:dyDescent="0.25">
      <c r="O31" s="75"/>
      <c r="P31" s="76"/>
      <c r="Q31" s="76"/>
      <c r="R31" s="76"/>
    </row>
    <row r="32" spans="1:27" x14ac:dyDescent="0.25">
      <c r="O32" s="75"/>
      <c r="P32" s="76"/>
      <c r="Q32" s="76"/>
    </row>
    <row r="33" spans="15:18" x14ac:dyDescent="0.25">
      <c r="O33" s="75"/>
      <c r="P33" s="77"/>
      <c r="Q33" s="77"/>
      <c r="R33" s="77"/>
    </row>
    <row r="34" spans="15:18" x14ac:dyDescent="0.25">
      <c r="O34" s="75"/>
      <c r="P34" s="76"/>
      <c r="Q34" s="76"/>
      <c r="R34" s="76"/>
    </row>
  </sheetData>
  <mergeCells count="4">
    <mergeCell ref="D4:I4"/>
    <mergeCell ref="J4:O4"/>
    <mergeCell ref="P4:U4"/>
    <mergeCell ref="V4:AA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7842F-6FBA-4A17-A337-6E04B5F5CAE6}">
  <dimension ref="A1:AC65"/>
  <sheetViews>
    <sheetView zoomScaleNormal="100" workbookViewId="0"/>
  </sheetViews>
  <sheetFormatPr defaultColWidth="8.7109375" defaultRowHeight="15" x14ac:dyDescent="0.25"/>
  <cols>
    <col min="1" max="1" width="8.7109375" style="5"/>
    <col min="2" max="2" width="14.85546875" style="5" customWidth="1"/>
    <col min="3" max="9" width="8.7109375" style="5"/>
    <col min="10" max="10" width="9.85546875" style="5" bestFit="1" customWidth="1"/>
    <col min="11" max="14" width="8.7109375" style="5"/>
    <col min="15" max="15" width="10.140625" style="5" customWidth="1"/>
    <col min="16" max="28" width="8.7109375" style="5"/>
    <col min="29" max="29" width="12" style="5" bestFit="1" customWidth="1"/>
    <col min="30" max="16384" width="8.7109375" style="5"/>
  </cols>
  <sheetData>
    <row r="1" spans="1:29" x14ac:dyDescent="0.25">
      <c r="A1" s="8" t="s">
        <v>41</v>
      </c>
      <c r="D1" s="5">
        <v>20160218</v>
      </c>
    </row>
    <row r="2" spans="1:29" x14ac:dyDescent="0.25">
      <c r="A2" s="9" t="s">
        <v>10</v>
      </c>
    </row>
    <row r="3" spans="1:29" x14ac:dyDescent="0.25">
      <c r="A3" s="9" t="s">
        <v>42</v>
      </c>
    </row>
    <row r="4" spans="1:29" x14ac:dyDescent="0.25">
      <c r="A4" s="10"/>
      <c r="D4" s="382" t="s">
        <v>12</v>
      </c>
      <c r="E4" s="383"/>
      <c r="F4" s="383"/>
      <c r="G4" s="383"/>
      <c r="H4" s="383"/>
      <c r="I4" s="384"/>
      <c r="J4" s="382" t="s">
        <v>5</v>
      </c>
      <c r="K4" s="383"/>
      <c r="L4" s="383"/>
      <c r="M4" s="383"/>
      <c r="N4" s="383"/>
      <c r="O4" s="384"/>
      <c r="P4" s="382" t="s">
        <v>13</v>
      </c>
      <c r="Q4" s="383"/>
      <c r="R4" s="383"/>
      <c r="S4" s="383"/>
      <c r="T4" s="383"/>
      <c r="U4" s="384"/>
      <c r="V4" s="382" t="s">
        <v>14</v>
      </c>
      <c r="W4" s="383"/>
      <c r="X4" s="383"/>
      <c r="Y4" s="383"/>
      <c r="Z4" s="383"/>
      <c r="AA4" s="384"/>
      <c r="AB4" s="81" t="s">
        <v>43</v>
      </c>
      <c r="AC4" s="81" t="s">
        <v>44</v>
      </c>
    </row>
    <row r="5" spans="1:29" x14ac:dyDescent="0.25">
      <c r="B5" s="9" t="s">
        <v>15</v>
      </c>
      <c r="C5" s="11" t="s">
        <v>16</v>
      </c>
      <c r="D5" s="12">
        <v>1</v>
      </c>
      <c r="E5" s="13">
        <v>2</v>
      </c>
      <c r="F5" s="13">
        <v>3</v>
      </c>
      <c r="G5" s="13" t="s">
        <v>4</v>
      </c>
      <c r="H5" s="14" t="s">
        <v>17</v>
      </c>
      <c r="I5" s="15" t="s">
        <v>18</v>
      </c>
      <c r="J5" s="12">
        <v>1</v>
      </c>
      <c r="K5" s="13">
        <v>2</v>
      </c>
      <c r="L5" s="13">
        <v>3</v>
      </c>
      <c r="M5" s="13" t="s">
        <v>4</v>
      </c>
      <c r="N5" s="14" t="s">
        <v>17</v>
      </c>
      <c r="O5" s="15" t="s">
        <v>18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5" t="s">
        <v>18</v>
      </c>
      <c r="V5" s="12">
        <v>1</v>
      </c>
      <c r="W5" s="13">
        <v>2</v>
      </c>
      <c r="X5" s="13">
        <v>3</v>
      </c>
      <c r="Y5" s="13" t="s">
        <v>4</v>
      </c>
      <c r="Z5" s="14" t="s">
        <v>17</v>
      </c>
      <c r="AA5" s="15" t="s">
        <v>18</v>
      </c>
      <c r="AB5" s="82" t="s">
        <v>45</v>
      </c>
      <c r="AC5" s="83" t="s">
        <v>45</v>
      </c>
    </row>
    <row r="6" spans="1:29" x14ac:dyDescent="0.25">
      <c r="A6" s="5" t="s">
        <v>19</v>
      </c>
      <c r="B6" s="17">
        <v>42418.491666666669</v>
      </c>
      <c r="C6" s="18">
        <f>(B6-$B$6)*24</f>
        <v>0</v>
      </c>
      <c r="D6" s="19">
        <v>2.5000000000000001E-2</v>
      </c>
      <c r="E6" s="20">
        <v>2.5000000000000001E-2</v>
      </c>
      <c r="F6" s="20">
        <v>2.5000000000000001E-2</v>
      </c>
      <c r="G6" s="20">
        <v>1E-3</v>
      </c>
      <c r="H6" s="21">
        <f t="shared" ref="H6:H12" si="0">AVERAGE(D6:F6)</f>
        <v>2.5000000000000005E-2</v>
      </c>
      <c r="I6" s="22">
        <f t="shared" ref="I6:I12" si="1">STDEV(D6:F6)</f>
        <v>4.2491873609703695E-18</v>
      </c>
      <c r="J6" s="23">
        <v>7.02</v>
      </c>
      <c r="K6" s="24">
        <v>7</v>
      </c>
      <c r="L6" s="24">
        <v>7.01</v>
      </c>
      <c r="M6" s="24">
        <v>7.02</v>
      </c>
      <c r="N6" s="25">
        <f t="shared" ref="N6:N12" si="2">AVERAGE(J6:L6)</f>
        <v>7.0100000000000007</v>
      </c>
      <c r="O6" s="26">
        <f t="shared" ref="O6:O12" si="3">STDEV(J6:L6)</f>
        <v>9.9999999999997868E-3</v>
      </c>
      <c r="P6" s="23">
        <v>27.949489303750987</v>
      </c>
      <c r="Q6" s="24">
        <v>29.092950019285709</v>
      </c>
      <c r="R6" s="24">
        <v>29.130966163003716</v>
      </c>
      <c r="S6" s="24">
        <v>29.308130475840677</v>
      </c>
      <c r="T6" s="25">
        <f>AVERAGE(P6:R6)</f>
        <v>28.724468495346802</v>
      </c>
      <c r="U6" s="26">
        <f>STDEV(P6:R6)</f>
        <v>0.67142078263237936</v>
      </c>
      <c r="V6" s="84"/>
      <c r="W6" s="49"/>
      <c r="X6" s="49"/>
      <c r="Y6" s="49"/>
      <c r="Z6" s="85"/>
      <c r="AA6" s="86"/>
      <c r="AB6" s="87">
        <f>H6*0.46</f>
        <v>1.1500000000000003E-2</v>
      </c>
      <c r="AC6" s="88">
        <f>I6*0.46</f>
        <v>1.9546261860463699E-18</v>
      </c>
    </row>
    <row r="7" spans="1:29" x14ac:dyDescent="0.25">
      <c r="A7" s="5" t="s">
        <v>20</v>
      </c>
      <c r="B7" s="17">
        <v>42418.524305555555</v>
      </c>
      <c r="C7" s="28">
        <f t="shared" ref="C7:C12" si="4">(B7-$B$6)*24</f>
        <v>0.78333333326736465</v>
      </c>
      <c r="D7" s="29">
        <v>3.6999999999999998E-2</v>
      </c>
      <c r="E7" s="30">
        <v>3.9E-2</v>
      </c>
      <c r="F7" s="30">
        <v>3.7999999999999999E-2</v>
      </c>
      <c r="G7" s="30">
        <v>-1E-3</v>
      </c>
      <c r="H7" s="31">
        <f t="shared" si="0"/>
        <v>3.7999999999999999E-2</v>
      </c>
      <c r="I7" s="32">
        <f t="shared" si="1"/>
        <v>1.0000000000000009E-3</v>
      </c>
      <c r="J7" s="33">
        <v>6.94</v>
      </c>
      <c r="K7" s="34">
        <v>6.95</v>
      </c>
      <c r="L7" s="34">
        <v>6.95</v>
      </c>
      <c r="M7" s="34">
        <v>7.01</v>
      </c>
      <c r="N7" s="35">
        <f t="shared" si="2"/>
        <v>6.9466666666666663</v>
      </c>
      <c r="O7" s="36">
        <f t="shared" si="3"/>
        <v>5.7735026918961348E-3</v>
      </c>
      <c r="P7" s="33">
        <v>28.358697084926483</v>
      </c>
      <c r="Q7" s="34">
        <v>29.343024649385942</v>
      </c>
      <c r="R7" s="37">
        <v>29.615268275669944</v>
      </c>
      <c r="S7" s="37">
        <v>29.782291979739291</v>
      </c>
      <c r="T7" s="35">
        <f t="shared" ref="T7:T10" si="5">AVERAGE(P7:R7)</f>
        <v>29.105663336660793</v>
      </c>
      <c r="U7" s="36">
        <f t="shared" ref="U7:U10" si="6">STDEV(P7:R7)</f>
        <v>0.6610583060030073</v>
      </c>
      <c r="V7" s="89" t="s">
        <v>21</v>
      </c>
      <c r="W7" s="90" t="s">
        <v>21</v>
      </c>
      <c r="X7" s="90" t="s">
        <v>21</v>
      </c>
      <c r="Y7" s="90" t="s">
        <v>21</v>
      </c>
      <c r="Z7" s="91"/>
      <c r="AA7" s="92"/>
      <c r="AB7" s="87">
        <f t="shared" ref="AB7:AC12" si="7">H7*0.46</f>
        <v>1.7479999999999999E-2</v>
      </c>
      <c r="AC7" s="88">
        <f t="shared" si="7"/>
        <v>4.6000000000000045E-4</v>
      </c>
    </row>
    <row r="8" spans="1:29" x14ac:dyDescent="0.25">
      <c r="A8" s="5" t="s">
        <v>22</v>
      </c>
      <c r="B8" s="17">
        <v>42418.599305555559</v>
      </c>
      <c r="C8" s="28">
        <f t="shared" si="4"/>
        <v>2.5833333333721384</v>
      </c>
      <c r="D8" s="29">
        <v>7.9000000000000001E-2</v>
      </c>
      <c r="E8" s="30">
        <v>8.3000000000000004E-2</v>
      </c>
      <c r="F8" s="30">
        <v>8.6999999999999994E-2</v>
      </c>
      <c r="G8" s="30">
        <v>0</v>
      </c>
      <c r="H8" s="31">
        <f t="shared" si="0"/>
        <v>8.3000000000000004E-2</v>
      </c>
      <c r="I8" s="32">
        <f t="shared" si="1"/>
        <v>3.9999999999999966E-3</v>
      </c>
      <c r="J8" s="33">
        <v>6.81</v>
      </c>
      <c r="K8" s="34">
        <v>6.8</v>
      </c>
      <c r="L8" s="34">
        <v>6.78</v>
      </c>
      <c r="M8" s="34">
        <v>7</v>
      </c>
      <c r="N8" s="35">
        <f t="shared" si="2"/>
        <v>6.7966666666666669</v>
      </c>
      <c r="O8" s="36">
        <f t="shared" si="3"/>
        <v>1.5275252316519142E-2</v>
      </c>
      <c r="P8" s="33"/>
      <c r="Q8" s="34"/>
      <c r="R8" s="34"/>
      <c r="S8" s="34"/>
      <c r="T8" s="35"/>
      <c r="U8" s="36"/>
      <c r="V8" s="89"/>
      <c r="W8" s="90"/>
      <c r="X8" s="90"/>
      <c r="Y8" s="90"/>
      <c r="Z8" s="91"/>
      <c r="AA8" s="92"/>
      <c r="AB8" s="87">
        <f t="shared" si="7"/>
        <v>3.8180000000000006E-2</v>
      </c>
      <c r="AC8" s="88">
        <f t="shared" si="7"/>
        <v>1.8399999999999985E-3</v>
      </c>
    </row>
    <row r="9" spans="1:29" x14ac:dyDescent="0.25">
      <c r="A9" s="5" t="s">
        <v>23</v>
      </c>
      <c r="B9" s="17">
        <v>42418.65625</v>
      </c>
      <c r="C9" s="28">
        <f t="shared" si="4"/>
        <v>3.9499999999534339</v>
      </c>
      <c r="D9" s="29">
        <v>0.187</v>
      </c>
      <c r="E9" s="30">
        <v>0.19700000000000001</v>
      </c>
      <c r="F9" s="30">
        <v>0.21299999999999999</v>
      </c>
      <c r="G9" s="30">
        <v>0</v>
      </c>
      <c r="H9" s="31">
        <f t="shared" si="0"/>
        <v>0.19899999999999998</v>
      </c>
      <c r="I9" s="32">
        <f t="shared" si="1"/>
        <v>1.3114877048603998E-2</v>
      </c>
      <c r="J9" s="33">
        <v>6.53</v>
      </c>
      <c r="K9" s="34">
        <v>6.49</v>
      </c>
      <c r="L9" s="34">
        <v>6.44</v>
      </c>
      <c r="M9" s="34">
        <v>6.92</v>
      </c>
      <c r="N9" s="35">
        <f t="shared" si="2"/>
        <v>6.4866666666666672</v>
      </c>
      <c r="O9" s="36">
        <f t="shared" si="3"/>
        <v>4.5092497528228866E-2</v>
      </c>
      <c r="P9" s="33"/>
      <c r="Q9" s="34"/>
      <c r="R9" s="34"/>
      <c r="S9" s="34"/>
      <c r="T9" s="35"/>
      <c r="U9" s="36"/>
      <c r="V9" s="89"/>
      <c r="W9" s="90"/>
      <c r="X9" s="90"/>
      <c r="Y9" s="90"/>
      <c r="Z9" s="91"/>
      <c r="AA9" s="92"/>
      <c r="AB9" s="87">
        <f t="shared" si="7"/>
        <v>9.1539999999999996E-2</v>
      </c>
      <c r="AC9" s="88">
        <f t="shared" si="7"/>
        <v>6.0328434423578391E-3</v>
      </c>
    </row>
    <row r="10" spans="1:29" x14ac:dyDescent="0.25">
      <c r="A10" s="5" t="s">
        <v>24</v>
      </c>
      <c r="B10" s="17">
        <v>42418.725694444445</v>
      </c>
      <c r="C10" s="28">
        <f t="shared" si="4"/>
        <v>5.6166666666395031</v>
      </c>
      <c r="D10" s="29">
        <f>0.236*2</f>
        <v>0.47199999999999998</v>
      </c>
      <c r="E10" s="30">
        <f>0.228*2</f>
        <v>0.45600000000000002</v>
      </c>
      <c r="F10" s="30">
        <f>0.253*2</f>
        <v>0.50600000000000001</v>
      </c>
      <c r="G10" s="30">
        <v>0</v>
      </c>
      <c r="H10" s="31">
        <f t="shared" si="0"/>
        <v>0.47799999999999998</v>
      </c>
      <c r="I10" s="32">
        <f t="shared" si="1"/>
        <v>2.5534290669607409E-2</v>
      </c>
      <c r="J10" s="33">
        <v>5.49</v>
      </c>
      <c r="K10" s="34">
        <v>5.44</v>
      </c>
      <c r="L10" s="34">
        <v>5.28</v>
      </c>
      <c r="M10" s="34">
        <v>6.92</v>
      </c>
      <c r="N10" s="35">
        <f t="shared" si="2"/>
        <v>5.4033333333333333</v>
      </c>
      <c r="O10" s="36">
        <f t="shared" si="3"/>
        <v>0.1096965511460289</v>
      </c>
      <c r="P10" s="33">
        <v>25.550198748671669</v>
      </c>
      <c r="Q10" s="34">
        <v>26.747547363188204</v>
      </c>
      <c r="R10" s="34">
        <v>26.338073006360695</v>
      </c>
      <c r="S10" s="34">
        <v>29.978083557471294</v>
      </c>
      <c r="T10" s="35">
        <f t="shared" si="5"/>
        <v>26.211939706073522</v>
      </c>
      <c r="U10" s="36">
        <f t="shared" si="6"/>
        <v>0.60855824146269444</v>
      </c>
      <c r="V10" s="33">
        <v>1.4424762762614458</v>
      </c>
      <c r="W10" s="34">
        <v>1.5097462157599604</v>
      </c>
      <c r="X10" s="34">
        <v>1.5043392406948848</v>
      </c>
      <c r="Y10" s="90" t="s">
        <v>21</v>
      </c>
      <c r="Z10" s="35">
        <f>AVERAGE(V10:X10)</f>
        <v>1.485520577572097</v>
      </c>
      <c r="AA10" s="36">
        <f>STDEV(V10:X10)</f>
        <v>3.737536289228751E-2</v>
      </c>
      <c r="AB10" s="87">
        <f t="shared" si="7"/>
        <v>0.21987999999999999</v>
      </c>
      <c r="AC10" s="88">
        <f t="shared" si="7"/>
        <v>1.1745773708019408E-2</v>
      </c>
    </row>
    <row r="11" spans="1:29" x14ac:dyDescent="0.25">
      <c r="A11" s="5" t="s">
        <v>40</v>
      </c>
      <c r="B11" s="17">
        <v>42418.78402777778</v>
      </c>
      <c r="C11" s="18">
        <f t="shared" si="4"/>
        <v>7.0166666666627862</v>
      </c>
      <c r="D11" s="19">
        <f>0.206*3</f>
        <v>0.61799999999999999</v>
      </c>
      <c r="E11" s="20">
        <f>0.2*3</f>
        <v>0.60000000000000009</v>
      </c>
      <c r="F11" s="20">
        <f>0.209*3</f>
        <v>0.627</v>
      </c>
      <c r="G11" s="20">
        <v>3.0000000000000001E-3</v>
      </c>
      <c r="H11" s="21">
        <f t="shared" si="0"/>
        <v>0.61499999999999999</v>
      </c>
      <c r="I11" s="22">
        <f t="shared" si="1"/>
        <v>1.3747727084867472E-2</v>
      </c>
      <c r="J11" s="23">
        <v>4.75</v>
      </c>
      <c r="K11" s="24">
        <v>4.7699999999999996</v>
      </c>
      <c r="L11" s="24">
        <v>4.7</v>
      </c>
      <c r="M11" s="24">
        <v>6.97</v>
      </c>
      <c r="N11" s="25">
        <f t="shared" si="2"/>
        <v>4.7399999999999993</v>
      </c>
      <c r="O11" s="26">
        <f t="shared" si="3"/>
        <v>3.6055512754639613E-2</v>
      </c>
      <c r="P11" s="93">
        <v>25.324729039635589</v>
      </c>
      <c r="Q11" s="94">
        <v>25.490531237369517</v>
      </c>
      <c r="R11" s="94">
        <v>25.14216958798205</v>
      </c>
      <c r="S11" s="94">
        <v>29.558334643400222</v>
      </c>
      <c r="T11" s="70">
        <f>AVERAGE(P11:R11)</f>
        <v>25.319143288329055</v>
      </c>
      <c r="U11" s="95">
        <f>STDEV(P11:R11)</f>
        <v>0.17424798464898522</v>
      </c>
      <c r="V11" s="93">
        <v>1.715786764429476</v>
      </c>
      <c r="W11" s="94">
        <v>1.8014123147898744</v>
      </c>
      <c r="X11" s="94">
        <v>1.7342957359209583</v>
      </c>
      <c r="Y11" s="24"/>
      <c r="Z11" s="25">
        <f>AVERAGE(V11:X11)</f>
        <v>1.7504982717134361</v>
      </c>
      <c r="AA11" s="26">
        <f>STDEV(V11:X11)</f>
        <v>4.5053583022998042E-2</v>
      </c>
      <c r="AB11" s="87">
        <f t="shared" si="7"/>
        <v>0.28289999999999998</v>
      </c>
      <c r="AC11" s="88">
        <f t="shared" si="7"/>
        <v>6.3239544590390374E-3</v>
      </c>
    </row>
    <row r="12" spans="1:29" x14ac:dyDescent="0.25">
      <c r="A12" s="5" t="s">
        <v>46</v>
      </c>
      <c r="B12" s="17">
        <v>42418.861111111109</v>
      </c>
      <c r="C12" s="39">
        <f t="shared" si="4"/>
        <v>8.8666666665812954</v>
      </c>
      <c r="D12" s="64">
        <f>0.205*3</f>
        <v>0.61499999999999999</v>
      </c>
      <c r="E12" s="62">
        <f>0.197*3</f>
        <v>0.59099999999999997</v>
      </c>
      <c r="F12" s="62">
        <f>0.205*3</f>
        <v>0.61499999999999999</v>
      </c>
      <c r="G12" s="41">
        <v>0</v>
      </c>
      <c r="H12" s="42">
        <f t="shared" si="0"/>
        <v>0.60699999999999998</v>
      </c>
      <c r="I12" s="43">
        <f t="shared" si="1"/>
        <v>1.3856406460551033E-2</v>
      </c>
      <c r="J12" s="44">
        <v>4.5</v>
      </c>
      <c r="K12" s="45">
        <v>4.53</v>
      </c>
      <c r="L12" s="45">
        <v>4.43</v>
      </c>
      <c r="M12" s="45">
        <v>6.97</v>
      </c>
      <c r="N12" s="46">
        <f t="shared" si="2"/>
        <v>4.4866666666666672</v>
      </c>
      <c r="O12" s="47">
        <f t="shared" si="3"/>
        <v>5.1316014394469103E-2</v>
      </c>
      <c r="P12" s="44">
        <v>24.473701189909796</v>
      </c>
      <c r="Q12" s="45">
        <v>24.73217321698322</v>
      </c>
      <c r="R12" s="45">
        <v>24.359141940796473</v>
      </c>
      <c r="S12" s="45">
        <v>29.650289640645358</v>
      </c>
      <c r="T12" s="46">
        <f>AVERAGE(P12:R12)</f>
        <v>24.521672115896497</v>
      </c>
      <c r="U12" s="47">
        <f>STDEV(P12:R12)</f>
        <v>0.19108634320221432</v>
      </c>
      <c r="V12" s="44">
        <v>2.4730101571374683</v>
      </c>
      <c r="W12" s="45">
        <v>2.6025585723240061</v>
      </c>
      <c r="X12" s="45">
        <v>2.5733794352495947</v>
      </c>
      <c r="Y12" s="45"/>
      <c r="Z12" s="46">
        <f>AVERAGE(V12:X12)</f>
        <v>2.549649388237023</v>
      </c>
      <c r="AA12" s="47">
        <f>STDEV(V12:X12)</f>
        <v>6.7956120531928843E-2</v>
      </c>
      <c r="AB12" s="87">
        <f t="shared" si="7"/>
        <v>0.27922000000000002</v>
      </c>
      <c r="AC12" s="88">
        <f t="shared" si="7"/>
        <v>6.3739469718534754E-3</v>
      </c>
    </row>
    <row r="13" spans="1:29" ht="18.75" x14ac:dyDescent="0.35">
      <c r="B13" s="17"/>
      <c r="C13" s="48" t="s">
        <v>25</v>
      </c>
      <c r="D13" s="24">
        <f>LN(LOGEST(D7:D10,$C$7:$C$10))</f>
        <v>0.53381914157346622</v>
      </c>
      <c r="E13" s="24">
        <f t="shared" ref="E13:F13" si="8">LN(LOGEST(E7:E10,$C$7:$C$10))</f>
        <v>0.517499189587033</v>
      </c>
      <c r="F13" s="24">
        <f t="shared" si="8"/>
        <v>0.54420365156882766</v>
      </c>
      <c r="G13" s="20"/>
      <c r="H13" s="25">
        <f>AVERAGE(D13:F13)</f>
        <v>0.53184066090977566</v>
      </c>
      <c r="I13" s="26">
        <f>STDEV(D13:F13)</f>
        <v>1.3461718379788191E-2</v>
      </c>
      <c r="J13" s="24"/>
      <c r="K13" s="24"/>
      <c r="L13" s="24"/>
      <c r="O13" s="50" t="s">
        <v>26</v>
      </c>
      <c r="P13" s="23">
        <f>(P7-P10)</f>
        <v>2.8084983362548144</v>
      </c>
      <c r="Q13" s="24">
        <f t="shared" ref="Q13:R13" si="9">(Q7-Q10)</f>
        <v>2.5954772861977382</v>
      </c>
      <c r="R13" s="24">
        <f t="shared" si="9"/>
        <v>3.2771952693092494</v>
      </c>
      <c r="S13" s="49"/>
      <c r="T13" s="25">
        <f>AVERAGE(P13:R13)</f>
        <v>2.8937236305872673</v>
      </c>
      <c r="U13" s="51">
        <f>STDEV(P13:R13)</f>
        <v>0.34875831921252659</v>
      </c>
      <c r="V13" s="23">
        <f>V10</f>
        <v>1.4424762762614458</v>
      </c>
      <c r="W13" s="24">
        <f t="shared" ref="W13:X13" si="10">W10</f>
        <v>1.5097462157599604</v>
      </c>
      <c r="X13" s="24">
        <f t="shared" si="10"/>
        <v>1.5043392406948848</v>
      </c>
      <c r="Y13" s="24"/>
      <c r="Z13" s="25">
        <f>AVERAGE(V13:X13)</f>
        <v>1.485520577572097</v>
      </c>
      <c r="AA13" s="51">
        <f>STDEV(V13:X13)</f>
        <v>3.737536289228751E-2</v>
      </c>
    </row>
    <row r="14" spans="1:29" ht="18" x14ac:dyDescent="0.35">
      <c r="A14" s="52" t="s">
        <v>27</v>
      </c>
      <c r="B14" s="53"/>
      <c r="C14" s="54" t="s">
        <v>28</v>
      </c>
      <c r="D14" s="55">
        <f>D11*0.5</f>
        <v>0.309</v>
      </c>
      <c r="E14" s="55">
        <f t="shared" ref="E14:F14" si="11">E11*0.5</f>
        <v>0.30000000000000004</v>
      </c>
      <c r="F14" s="55">
        <f t="shared" si="11"/>
        <v>0.3135</v>
      </c>
      <c r="G14" s="55"/>
      <c r="H14" s="25">
        <f>AVERAGE(D14:F14)</f>
        <v>0.3075</v>
      </c>
      <c r="I14" s="26">
        <f>STDEV(D14:F14)</f>
        <v>6.873863542433736E-3</v>
      </c>
      <c r="J14" s="24"/>
      <c r="K14" s="24"/>
      <c r="L14" s="24"/>
      <c r="O14" s="50" t="s">
        <v>29</v>
      </c>
      <c r="P14" s="23">
        <f>(D10-D7)*0.5</f>
        <v>0.2175</v>
      </c>
      <c r="Q14" s="24">
        <f t="shared" ref="Q14:R14" si="12">(E10-E7)*0.5</f>
        <v>0.20850000000000002</v>
      </c>
      <c r="R14" s="24">
        <f t="shared" si="12"/>
        <v>0.23400000000000001</v>
      </c>
      <c r="S14" s="96"/>
      <c r="T14" s="25">
        <f>AVERAGE(P14:R14)</f>
        <v>0.22</v>
      </c>
      <c r="U14" s="26">
        <f>STDEV(P14:R14)</f>
        <v>1.2932517156377561E-2</v>
      </c>
      <c r="V14" s="23"/>
      <c r="W14" s="24"/>
      <c r="X14" s="24"/>
      <c r="Y14" s="24"/>
      <c r="Z14" s="25"/>
      <c r="AA14" s="26"/>
    </row>
    <row r="15" spans="1:29" ht="18" x14ac:dyDescent="0.35">
      <c r="B15" s="17"/>
      <c r="C15" s="56"/>
      <c r="D15" s="55"/>
      <c r="E15" s="55"/>
      <c r="F15" s="55"/>
      <c r="H15" s="97"/>
      <c r="I15" s="58"/>
      <c r="O15" s="50" t="s">
        <v>30</v>
      </c>
      <c r="P15" s="23">
        <f>P14/(P13/1000*180.16)</f>
        <v>0.42985968606760028</v>
      </c>
      <c r="Q15" s="24">
        <f t="shared" ref="Q15:R15" si="13">Q14/(Q13/1000*180.16)</f>
        <v>0.44589279369600276</v>
      </c>
      <c r="R15" s="24">
        <f t="shared" si="13"/>
        <v>0.39632837348946914</v>
      </c>
      <c r="S15" s="49"/>
      <c r="T15" s="25">
        <f>AVERAGE(P15:R15)</f>
        <v>0.42402695108435734</v>
      </c>
      <c r="U15" s="26">
        <f>STDEV(P15:R15)</f>
        <v>2.5291768139871492E-2</v>
      </c>
      <c r="V15" s="23">
        <f>(V13/1000*59.04)/(P13/1000*180.16)</f>
        <v>0.16831486920974534</v>
      </c>
      <c r="W15" s="24">
        <f>(W13/1000*59.04)/(Q13/1000*180.16)</f>
        <v>0.19062273340733871</v>
      </c>
      <c r="X15" s="24">
        <f>(X13/1000*59.04)/(R13/1000*180.16)</f>
        <v>0.15042895570511047</v>
      </c>
      <c r="Y15" s="24"/>
      <c r="Z15" s="25">
        <f>AVERAGE(V15:X15)</f>
        <v>0.16978885277406486</v>
      </c>
      <c r="AA15" s="26">
        <f>STDEV(V15:X15)</f>
        <v>2.013738841446298E-2</v>
      </c>
    </row>
    <row r="16" spans="1:29" ht="18" x14ac:dyDescent="0.35">
      <c r="B16" s="17"/>
      <c r="C16" s="56"/>
      <c r="D16" s="55"/>
      <c r="E16" s="55"/>
      <c r="F16" s="55"/>
      <c r="H16" s="20"/>
      <c r="I16" s="59"/>
      <c r="O16" s="98" t="s">
        <v>31</v>
      </c>
      <c r="P16" s="84"/>
      <c r="Q16" s="49"/>
      <c r="R16" s="49"/>
      <c r="S16" s="49"/>
      <c r="T16" s="25"/>
      <c r="U16" s="26"/>
      <c r="V16" s="23">
        <f>(V13/1000*59.04)/P14</f>
        <v>0.39155769816310693</v>
      </c>
      <c r="W16" s="24">
        <f>(W13/1000*59.04)/Q14</f>
        <v>0.42750799318210098</v>
      </c>
      <c r="X16" s="24">
        <f>(X13/1000*59.04)/R14</f>
        <v>0.37955636226763245</v>
      </c>
      <c r="Y16" s="24"/>
      <c r="Z16" s="25">
        <f>AVERAGE(V16:X16)</f>
        <v>0.39954068453761343</v>
      </c>
      <c r="AA16" s="26">
        <f>STDEV(V16:X16)</f>
        <v>2.4952670807571301E-2</v>
      </c>
    </row>
    <row r="17" spans="1:27" ht="18.75" x14ac:dyDescent="0.35">
      <c r="B17" s="17"/>
      <c r="C17" s="56"/>
      <c r="D17" s="55"/>
      <c r="E17" s="55"/>
      <c r="F17" s="55"/>
      <c r="H17" s="20"/>
      <c r="I17" s="59"/>
      <c r="O17" s="54" t="s">
        <v>32</v>
      </c>
      <c r="P17" s="23">
        <f>D13*(P13)</f>
        <v>1.4992301709700531</v>
      </c>
      <c r="Q17" s="24">
        <f t="shared" ref="Q17:R17" si="14">E13*(Q13)</f>
        <v>1.3431573921988813</v>
      </c>
      <c r="R17" s="24">
        <f t="shared" si="14"/>
        <v>1.783461632462181</v>
      </c>
      <c r="S17" s="49"/>
      <c r="T17" s="25">
        <f t="shared" ref="T17" si="15">AVERAGE(P17:R17)</f>
        <v>1.5419497318770385</v>
      </c>
      <c r="U17" s="26">
        <f t="shared" ref="U17" si="16">STDEV(P17:R17)</f>
        <v>0.22323905720443374</v>
      </c>
      <c r="V17" s="23">
        <f>D13*(V13)</f>
        <v>0.77002144753397506</v>
      </c>
      <c r="W17" s="24">
        <f t="shared" ref="W17:X17" si="17">E13*(W13)</f>
        <v>0.78129244313786939</v>
      </c>
      <c r="X17" s="24">
        <f t="shared" si="17"/>
        <v>0.81866690798443387</v>
      </c>
      <c r="Y17" s="24"/>
      <c r="Z17" s="25">
        <f>AVERAGE(V17:X17)</f>
        <v>0.78999359955209281</v>
      </c>
      <c r="AA17" s="26">
        <f>STDEV(V17:X17)</f>
        <v>2.5463263691402047E-2</v>
      </c>
    </row>
    <row r="18" spans="1:27" ht="18.75" x14ac:dyDescent="0.35">
      <c r="B18" s="17"/>
      <c r="C18" s="61"/>
      <c r="D18" s="45"/>
      <c r="E18" s="45"/>
      <c r="F18" s="45"/>
      <c r="G18" s="62"/>
      <c r="H18" s="62"/>
      <c r="I18" s="63"/>
      <c r="J18" s="62"/>
      <c r="K18" s="62"/>
      <c r="L18" s="62"/>
      <c r="M18" s="62"/>
      <c r="N18" s="62"/>
      <c r="O18" s="65" t="s">
        <v>33</v>
      </c>
      <c r="P18" s="66">
        <f>D13*(P13/P14)</f>
        <v>6.8930122803220826</v>
      </c>
      <c r="Q18" s="67">
        <f>E13*(Q13/Q14)</f>
        <v>6.4420018810497899</v>
      </c>
      <c r="R18" s="67">
        <f>F13*(R13/R14)</f>
        <v>7.6216309079580382</v>
      </c>
      <c r="S18" s="62"/>
      <c r="T18" s="46">
        <f>AVERAGE(P18:R18)</f>
        <v>6.9855483564433039</v>
      </c>
      <c r="U18" s="47">
        <f>STDEV(P18:R18)</f>
        <v>0.59523386523202748</v>
      </c>
      <c r="V18" s="44">
        <f>D13*(V13/P14)</f>
        <v>3.5403284944090809</v>
      </c>
      <c r="W18" s="45">
        <f>E13*(W13/Q14)</f>
        <v>3.7472059622919391</v>
      </c>
      <c r="X18" s="45">
        <f>F13*(X13/R14)</f>
        <v>3.4985765298480076</v>
      </c>
      <c r="Y18" s="45"/>
      <c r="Z18" s="46">
        <f>AVERAGE(V18:X18)</f>
        <v>3.5953703288496759</v>
      </c>
      <c r="AA18" s="47">
        <f>STDEV(V18:X18)</f>
        <v>0.13314034446135131</v>
      </c>
    </row>
    <row r="19" spans="1:27" x14ac:dyDescent="0.25">
      <c r="A19" s="9"/>
      <c r="C19" s="73"/>
      <c r="D19" s="1"/>
      <c r="E19" s="74"/>
      <c r="F19" s="73"/>
      <c r="G19" s="1"/>
      <c r="H19" s="74"/>
      <c r="I19" s="69" t="s">
        <v>34</v>
      </c>
      <c r="J19" s="55">
        <f>P14/(J7-J10)</f>
        <v>0.15</v>
      </c>
      <c r="K19" s="55">
        <f>Q14/(K7-K10)</f>
        <v>0.13807947019867553</v>
      </c>
      <c r="L19" s="55">
        <f>R14/(L7-L10)</f>
        <v>0.14011976047904193</v>
      </c>
      <c r="N19" s="25">
        <f>AVERAGE(J19:L19)</f>
        <v>0.1427330768925725</v>
      </c>
      <c r="O19" s="26">
        <f>STDEV(J19:L19)</f>
        <v>6.3754862319659452E-3</v>
      </c>
      <c r="T19" s="55"/>
      <c r="U19" s="55"/>
    </row>
    <row r="20" spans="1:27" x14ac:dyDescent="0.25">
      <c r="A20" s="9"/>
      <c r="C20" s="73"/>
      <c r="D20" s="1"/>
      <c r="E20" s="74"/>
      <c r="F20" s="73"/>
      <c r="G20" s="1"/>
      <c r="H20" s="74"/>
      <c r="I20" s="73"/>
      <c r="J20" s="1"/>
      <c r="K20" s="74"/>
      <c r="T20" s="55"/>
      <c r="U20" s="55"/>
    </row>
    <row r="21" spans="1:27" x14ac:dyDescent="0.25">
      <c r="A21" s="9"/>
      <c r="C21" s="73"/>
      <c r="D21" s="1"/>
      <c r="E21" s="74"/>
      <c r="F21" s="73"/>
      <c r="G21" s="1"/>
      <c r="H21" s="74"/>
      <c r="I21" s="73"/>
      <c r="J21" s="1"/>
      <c r="K21" s="99" t="s">
        <v>47</v>
      </c>
      <c r="O21" s="100" t="s">
        <v>48</v>
      </c>
      <c r="P21" s="55">
        <f>P13*6</f>
        <v>16.850990017528886</v>
      </c>
      <c r="Q21" s="55">
        <f>Q13*6</f>
        <v>15.572863717186429</v>
      </c>
      <c r="R21" s="55">
        <f>R13*6</f>
        <v>19.663171615855497</v>
      </c>
      <c r="T21" s="55"/>
      <c r="U21" s="100" t="s">
        <v>49</v>
      </c>
      <c r="V21" s="55">
        <f>V13*2</f>
        <v>2.8849525525228916</v>
      </c>
      <c r="W21" s="55">
        <f>W13*2</f>
        <v>3.0194924315199207</v>
      </c>
      <c r="X21" s="55">
        <f>X13*2</f>
        <v>3.0086784813897696</v>
      </c>
      <c r="Z21" s="55"/>
    </row>
    <row r="22" spans="1:27" x14ac:dyDescent="0.25">
      <c r="A22" s="9"/>
      <c r="C22" s="73"/>
      <c r="D22" s="1"/>
      <c r="E22" s="74"/>
      <c r="F22" s="73"/>
      <c r="G22" s="1"/>
      <c r="H22" s="74"/>
      <c r="I22" s="73"/>
      <c r="J22" s="1"/>
      <c r="K22" s="74"/>
      <c r="O22" s="100" t="s">
        <v>50</v>
      </c>
      <c r="P22" s="55">
        <f>P14*0.5/12.01*1000</f>
        <v>9.0549542048293077</v>
      </c>
      <c r="Q22" s="55">
        <f>Q14*0.5/12.01*1000</f>
        <v>8.6802664446294759</v>
      </c>
      <c r="R22" s="55">
        <f>R14*0.5/12.01*1000</f>
        <v>9.7418817651956715</v>
      </c>
      <c r="S22" s="71" t="s">
        <v>17</v>
      </c>
      <c r="T22" s="101" t="s">
        <v>18</v>
      </c>
      <c r="U22" s="51" t="s">
        <v>51</v>
      </c>
      <c r="Z22" s="55"/>
    </row>
    <row r="23" spans="1:27" x14ac:dyDescent="0.25">
      <c r="A23" s="9"/>
      <c r="C23" s="73"/>
      <c r="D23" s="1"/>
      <c r="E23" s="74"/>
      <c r="F23" s="73"/>
      <c r="G23" s="1"/>
      <c r="H23" s="74"/>
      <c r="I23" s="73"/>
      <c r="J23" s="1"/>
      <c r="K23" s="74"/>
      <c r="O23" s="100" t="s">
        <v>52</v>
      </c>
      <c r="P23" s="55">
        <f>P21-V21-P22</f>
        <v>4.9110832601766869</v>
      </c>
      <c r="Q23" s="55">
        <f t="shared" ref="Q23:R23" si="18">Q21-W21-Q22</f>
        <v>3.8731048410370317</v>
      </c>
      <c r="R23" s="55">
        <f t="shared" si="18"/>
        <v>6.9126113692700564</v>
      </c>
      <c r="S23" s="102">
        <f>AVERAGE(P23:R23)</f>
        <v>5.2322664901612583</v>
      </c>
      <c r="T23" s="85"/>
      <c r="U23" s="26">
        <f>MEDIAN(P23:R23)</f>
        <v>4.9110832601766869</v>
      </c>
      <c r="Z23" s="55"/>
    </row>
    <row r="24" spans="1:27" x14ac:dyDescent="0.25">
      <c r="A24" s="9"/>
      <c r="C24" s="73"/>
      <c r="D24" s="1"/>
      <c r="E24" s="74"/>
      <c r="F24" s="73"/>
      <c r="G24" s="1"/>
      <c r="H24" s="74"/>
      <c r="I24" s="73"/>
      <c r="J24" s="1"/>
      <c r="K24" s="74"/>
      <c r="O24" s="100" t="s">
        <v>53</v>
      </c>
      <c r="P24" s="55">
        <f>(P21-V21-P22)/P21*100</f>
        <v>29.144182360015858</v>
      </c>
      <c r="Q24" s="55">
        <f t="shared" ref="Q24:R24" si="19">(Q21-W21-Q22)/Q21*100</f>
        <v>24.870858124588988</v>
      </c>
      <c r="R24" s="55">
        <f t="shared" si="19"/>
        <v>35.155118941727778</v>
      </c>
      <c r="S24" s="103">
        <f>AVERAGE(P24:R24)</f>
        <v>29.723386475444205</v>
      </c>
      <c r="T24" s="104">
        <f>STDEV(P24:R24)</f>
        <v>5.1665378343946413</v>
      </c>
      <c r="U24" s="47">
        <f>MEDIAN(P24:R24)</f>
        <v>29.144182360015858</v>
      </c>
      <c r="Z24" s="55"/>
    </row>
    <row r="25" spans="1:27" x14ac:dyDescent="0.25">
      <c r="A25" s="9"/>
      <c r="C25" s="73"/>
      <c r="D25" s="1"/>
      <c r="E25" s="74"/>
      <c r="F25" s="73"/>
      <c r="G25" s="1"/>
      <c r="H25" s="74"/>
      <c r="I25" s="73"/>
      <c r="J25" s="1"/>
      <c r="K25" s="9" t="s">
        <v>54</v>
      </c>
      <c r="O25" s="100" t="s">
        <v>55</v>
      </c>
      <c r="P25" s="55">
        <f>P21*4</f>
        <v>67.403960070115545</v>
      </c>
      <c r="Q25" s="55">
        <f t="shared" ref="Q25:R25" si="20">Q21*4</f>
        <v>62.291454868745717</v>
      </c>
      <c r="R25" s="55">
        <f t="shared" si="20"/>
        <v>78.652686463421986</v>
      </c>
      <c r="T25" s="55"/>
      <c r="U25" s="100" t="s">
        <v>56</v>
      </c>
      <c r="V25" s="55">
        <f>V21*4</f>
        <v>11.539810210091566</v>
      </c>
      <c r="W25" s="55">
        <f t="shared" ref="W25:X25" si="21">W21*4</f>
        <v>12.077969726079683</v>
      </c>
      <c r="X25" s="55">
        <f t="shared" si="21"/>
        <v>12.034713925559078</v>
      </c>
      <c r="Z25" s="55"/>
    </row>
    <row r="26" spans="1:27" x14ac:dyDescent="0.25">
      <c r="A26" s="9"/>
      <c r="C26" s="73"/>
      <c r="D26" s="1"/>
      <c r="E26" s="74"/>
      <c r="F26" s="73"/>
      <c r="G26" s="1"/>
      <c r="H26" s="74"/>
      <c r="I26" s="73"/>
      <c r="J26" s="1"/>
      <c r="O26" s="100" t="s">
        <v>57</v>
      </c>
      <c r="P26" s="55">
        <f>P22*4.1</f>
        <v>37.125312239800159</v>
      </c>
      <c r="Q26" s="55">
        <f t="shared" ref="Q26:R26" si="22">Q22*4.1</f>
        <v>35.589092422980848</v>
      </c>
      <c r="R26" s="55">
        <f t="shared" si="22"/>
        <v>39.941715237302247</v>
      </c>
      <c r="S26" s="71" t="s">
        <v>17</v>
      </c>
      <c r="T26" s="51" t="s">
        <v>51</v>
      </c>
      <c r="U26" s="55"/>
      <c r="Z26" s="55"/>
    </row>
    <row r="27" spans="1:27" x14ac:dyDescent="0.25">
      <c r="O27" s="100" t="s">
        <v>58</v>
      </c>
      <c r="P27" s="105">
        <f>(P25-V25-P26)</f>
        <v>18.738837620223819</v>
      </c>
      <c r="Q27" s="105">
        <f t="shared" ref="Q27:R27" si="23">(Q25-W25-Q26)</f>
        <v>14.624392719685183</v>
      </c>
      <c r="R27" s="105">
        <f t="shared" si="23"/>
        <v>26.676257300560664</v>
      </c>
      <c r="S27" s="102">
        <f>AVERAGE(P27:R27)</f>
        <v>20.013162546823221</v>
      </c>
      <c r="T27" s="26">
        <f>MEDIAN(P27:R27)</f>
        <v>18.738837620223819</v>
      </c>
    </row>
    <row r="28" spans="1:27" x14ac:dyDescent="0.25">
      <c r="O28" s="100" t="s">
        <v>53</v>
      </c>
      <c r="P28" s="105">
        <f>(P25-V25-P26)/P25*100</f>
        <v>27.800796274775458</v>
      </c>
      <c r="Q28" s="105">
        <f t="shared" ref="Q28:R28" si="24">(Q25-W25-Q26)/Q25*100</f>
        <v>23.477365796801873</v>
      </c>
      <c r="R28" s="105">
        <f t="shared" si="24"/>
        <v>33.916524024855342</v>
      </c>
      <c r="S28" s="103">
        <f>AVERAGE(P28:R28)</f>
        <v>28.398228698810886</v>
      </c>
      <c r="T28" s="47">
        <f>MEDIAN(P28:R28)</f>
        <v>27.800796274775458</v>
      </c>
    </row>
    <row r="29" spans="1:27" x14ac:dyDescent="0.25">
      <c r="K29" s="9" t="s">
        <v>59</v>
      </c>
      <c r="O29" s="100" t="s">
        <v>60</v>
      </c>
      <c r="P29" s="105">
        <f>P27/4</f>
        <v>4.6847094050559548</v>
      </c>
      <c r="Q29" s="105">
        <f t="shared" ref="Q29:R29" si="25">Q27/4</f>
        <v>3.6560981799212957</v>
      </c>
      <c r="R29" s="105">
        <f t="shared" si="25"/>
        <v>6.669064325140166</v>
      </c>
      <c r="S29" s="24"/>
      <c r="T29" s="24"/>
    </row>
    <row r="30" spans="1:27" x14ac:dyDescent="0.25">
      <c r="O30" s="100" t="s">
        <v>61</v>
      </c>
      <c r="P30" s="105">
        <f>P29/P14</f>
        <v>21.538893816349219</v>
      </c>
      <c r="Q30" s="105">
        <f>Q29/Q14</f>
        <v>17.535243069166885</v>
      </c>
      <c r="R30" s="105">
        <f>R29/R14</f>
        <v>28.500274893761393</v>
      </c>
      <c r="S30" s="79" t="s">
        <v>17</v>
      </c>
      <c r="T30" s="51" t="s">
        <v>51</v>
      </c>
    </row>
    <row r="31" spans="1:27" x14ac:dyDescent="0.25">
      <c r="O31" s="100" t="s">
        <v>62</v>
      </c>
      <c r="P31" s="105">
        <f>D13*P30</f>
        <v>11.497873807485579</v>
      </c>
      <c r="Q31" s="105">
        <f>E13*Q30</f>
        <v>9.0744740775055011</v>
      </c>
      <c r="R31" s="105">
        <f>F13*R30</f>
        <v>15.509953667900332</v>
      </c>
      <c r="S31" s="103">
        <f>AVERAGE(P31:R31)</f>
        <v>12.027433850963805</v>
      </c>
      <c r="T31" s="47">
        <f>MEDIAN(P31:R31)</f>
        <v>11.497873807485579</v>
      </c>
    </row>
    <row r="32" spans="1:27" x14ac:dyDescent="0.25">
      <c r="O32" s="75"/>
      <c r="P32" s="76"/>
      <c r="Q32" s="76"/>
      <c r="R32" s="76"/>
    </row>
    <row r="36" spans="11:11" x14ac:dyDescent="0.25">
      <c r="K36" s="106"/>
    </row>
    <row r="50" spans="11:11" x14ac:dyDescent="0.25">
      <c r="K50" s="106"/>
    </row>
    <row r="65" spans="11:11" x14ac:dyDescent="0.25">
      <c r="K65" s="106"/>
    </row>
  </sheetData>
  <mergeCells count="4">
    <mergeCell ref="D4:I4"/>
    <mergeCell ref="J4:O4"/>
    <mergeCell ref="P4:U4"/>
    <mergeCell ref="V4:AA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A0AA-725F-4416-A6BF-2EA421E012B0}">
  <dimension ref="A1:AA25"/>
  <sheetViews>
    <sheetView zoomScaleNormal="100" workbookViewId="0"/>
  </sheetViews>
  <sheetFormatPr defaultColWidth="8.7109375" defaultRowHeight="15" x14ac:dyDescent="0.25"/>
  <cols>
    <col min="1" max="1" width="10.5703125" style="5" customWidth="1"/>
    <col min="2" max="2" width="14.85546875" style="5" bestFit="1" customWidth="1"/>
    <col min="3" max="9" width="8.7109375" style="5"/>
    <col min="10" max="10" width="11.85546875" style="5" bestFit="1" customWidth="1"/>
    <col min="11" max="16384" width="8.7109375" style="5"/>
  </cols>
  <sheetData>
    <row r="1" spans="1:27" x14ac:dyDescent="0.25">
      <c r="A1" s="8" t="s">
        <v>63</v>
      </c>
      <c r="D1" s="107">
        <v>20170117</v>
      </c>
    </row>
    <row r="2" spans="1:27" x14ac:dyDescent="0.25">
      <c r="A2" s="9" t="s">
        <v>10</v>
      </c>
    </row>
    <row r="3" spans="1:27" x14ac:dyDescent="0.25">
      <c r="A3" s="9" t="s">
        <v>64</v>
      </c>
    </row>
    <row r="4" spans="1:27" x14ac:dyDescent="0.25">
      <c r="A4" s="10"/>
      <c r="D4" s="382" t="s">
        <v>12</v>
      </c>
      <c r="E4" s="383"/>
      <c r="F4" s="383"/>
      <c r="G4" s="383"/>
      <c r="H4" s="383"/>
      <c r="I4" s="384"/>
      <c r="J4" s="382" t="s">
        <v>5</v>
      </c>
      <c r="K4" s="383"/>
      <c r="L4" s="383"/>
      <c r="M4" s="383"/>
      <c r="N4" s="383"/>
      <c r="O4" s="384"/>
      <c r="P4" s="382" t="s">
        <v>13</v>
      </c>
      <c r="Q4" s="383"/>
      <c r="R4" s="383"/>
      <c r="S4" s="383"/>
      <c r="T4" s="383"/>
      <c r="U4" s="383"/>
      <c r="V4" s="382" t="s">
        <v>14</v>
      </c>
      <c r="W4" s="383"/>
      <c r="X4" s="383"/>
      <c r="Y4" s="383"/>
      <c r="Z4" s="383"/>
      <c r="AA4" s="384"/>
    </row>
    <row r="5" spans="1:27" x14ac:dyDescent="0.25">
      <c r="B5" s="9" t="s">
        <v>15</v>
      </c>
      <c r="C5" s="11" t="s">
        <v>16</v>
      </c>
      <c r="D5" s="12">
        <v>1</v>
      </c>
      <c r="E5" s="13">
        <v>2</v>
      </c>
      <c r="F5" s="13">
        <v>3</v>
      </c>
      <c r="G5" s="13" t="s">
        <v>4</v>
      </c>
      <c r="H5" s="14" t="s">
        <v>17</v>
      </c>
      <c r="I5" s="15" t="s">
        <v>18</v>
      </c>
      <c r="J5" s="12">
        <v>1</v>
      </c>
      <c r="K5" s="13">
        <v>2</v>
      </c>
      <c r="L5" s="13">
        <v>3</v>
      </c>
      <c r="M5" s="13" t="s">
        <v>4</v>
      </c>
      <c r="N5" s="14" t="s">
        <v>17</v>
      </c>
      <c r="O5" s="15" t="s">
        <v>18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4" t="s">
        <v>18</v>
      </c>
      <c r="V5" s="12">
        <v>1</v>
      </c>
      <c r="W5" s="13">
        <v>2</v>
      </c>
      <c r="X5" s="13">
        <v>3</v>
      </c>
      <c r="Y5" s="13" t="s">
        <v>4</v>
      </c>
      <c r="Z5" s="14" t="s">
        <v>17</v>
      </c>
      <c r="AA5" s="15" t="s">
        <v>18</v>
      </c>
    </row>
    <row r="6" spans="1:27" x14ac:dyDescent="0.25">
      <c r="A6" s="5" t="s">
        <v>19</v>
      </c>
      <c r="B6" s="17">
        <v>42752.538194444445</v>
      </c>
      <c r="C6" s="108">
        <f t="shared" ref="C6:C14" si="0">(B6-$B$6)*24</f>
        <v>0</v>
      </c>
      <c r="D6" s="109">
        <v>2.5000000000000001E-2</v>
      </c>
      <c r="E6" s="109">
        <v>2.4E-2</v>
      </c>
      <c r="F6" s="109">
        <v>2.3E-2</v>
      </c>
      <c r="G6" s="109">
        <v>0</v>
      </c>
      <c r="H6" s="87">
        <f>AVERAGE(D6:F6)</f>
        <v>2.4000000000000004E-2</v>
      </c>
      <c r="I6" s="110">
        <f>STDEV(D6:F6)</f>
        <v>1.0000000000000009E-3</v>
      </c>
      <c r="J6" s="55">
        <v>7.5</v>
      </c>
      <c r="K6" s="55">
        <v>7.51</v>
      </c>
      <c r="L6" s="55">
        <v>7.52</v>
      </c>
      <c r="M6" s="55">
        <v>7.53</v>
      </c>
      <c r="N6" s="111">
        <f>AVERAGE(J6:L6)</f>
        <v>7.5100000000000007</v>
      </c>
      <c r="O6" s="51">
        <f>STDEV(J6:L6)</f>
        <v>9.9999999999997868E-3</v>
      </c>
      <c r="P6" s="84"/>
      <c r="Q6" s="49"/>
      <c r="R6" s="49"/>
      <c r="S6" s="49"/>
      <c r="T6" s="85"/>
      <c r="U6" s="85"/>
      <c r="V6" s="84"/>
      <c r="W6" s="49"/>
      <c r="X6" s="49"/>
      <c r="Y6" s="49"/>
      <c r="Z6" s="85"/>
      <c r="AA6" s="86"/>
    </row>
    <row r="7" spans="1:27" x14ac:dyDescent="0.25">
      <c r="A7" s="5" t="s">
        <v>20</v>
      </c>
      <c r="B7" s="17">
        <v>42752.572222222225</v>
      </c>
      <c r="C7" s="112">
        <f t="shared" si="0"/>
        <v>0.81666666670935228</v>
      </c>
      <c r="D7" s="113">
        <v>3.5000000000000003E-2</v>
      </c>
      <c r="E7" s="113">
        <v>3.3000000000000002E-2</v>
      </c>
      <c r="F7" s="113">
        <v>3.1E-2</v>
      </c>
      <c r="G7" s="113">
        <v>0</v>
      </c>
      <c r="H7" s="114">
        <f t="shared" ref="H7:H14" si="1">AVERAGE(D7:F7)</f>
        <v>3.3000000000000002E-2</v>
      </c>
      <c r="I7" s="32">
        <f t="shared" ref="I7:I14" si="2">STDEV(D7:F7)</f>
        <v>2.0000000000000018E-3</v>
      </c>
      <c r="J7" s="115">
        <v>7.41</v>
      </c>
      <c r="K7" s="115">
        <v>7.41</v>
      </c>
      <c r="L7" s="115">
        <v>7.37</v>
      </c>
      <c r="M7" s="115">
        <v>7.46</v>
      </c>
      <c r="N7" s="116">
        <f t="shared" ref="N7:N14" si="3">AVERAGE(J7:L7)</f>
        <v>7.3966666666666674</v>
      </c>
      <c r="O7" s="36">
        <f t="shared" ref="O7:O14" si="4">STDEV(J7:L7)</f>
        <v>2.3094010767585053E-2</v>
      </c>
      <c r="P7" s="115">
        <v>27.887814899648543</v>
      </c>
      <c r="Q7" s="115">
        <v>28.283260417213341</v>
      </c>
      <c r="R7" s="115">
        <v>28.379965247496767</v>
      </c>
      <c r="S7" s="115">
        <v>28.469768777326465</v>
      </c>
      <c r="T7" s="35">
        <f>AVERAGE(P7:R7)</f>
        <v>28.183680188119553</v>
      </c>
      <c r="U7" s="36">
        <f>STDEV(P7:R7)</f>
        <v>0.26074922385610438</v>
      </c>
      <c r="V7" s="90" t="s">
        <v>21</v>
      </c>
      <c r="W7" s="90" t="s">
        <v>21</v>
      </c>
      <c r="X7" s="90" t="s">
        <v>21</v>
      </c>
      <c r="Y7" s="90" t="s">
        <v>21</v>
      </c>
      <c r="Z7" s="91"/>
      <c r="AA7" s="92"/>
    </row>
    <row r="8" spans="1:27" x14ac:dyDescent="0.25">
      <c r="A8" s="5" t="s">
        <v>22</v>
      </c>
      <c r="B8" s="17">
        <v>42752.62777777778</v>
      </c>
      <c r="C8" s="112">
        <f t="shared" si="0"/>
        <v>2.1500000000232831</v>
      </c>
      <c r="D8" s="113">
        <v>4.9000000000000002E-2</v>
      </c>
      <c r="E8" s="113">
        <v>4.5999999999999999E-2</v>
      </c>
      <c r="F8" s="113">
        <v>4.2000000000000003E-2</v>
      </c>
      <c r="G8" s="113">
        <v>0</v>
      </c>
      <c r="H8" s="114">
        <f t="shared" si="1"/>
        <v>4.5666666666666668E-2</v>
      </c>
      <c r="I8" s="32">
        <f t="shared" si="2"/>
        <v>3.5118845842842458E-3</v>
      </c>
      <c r="J8" s="115">
        <v>7.24</v>
      </c>
      <c r="K8" s="115">
        <v>7.26</v>
      </c>
      <c r="L8" s="115">
        <v>7.24</v>
      </c>
      <c r="M8" s="115">
        <v>7.45</v>
      </c>
      <c r="N8" s="116">
        <f t="shared" si="3"/>
        <v>7.246666666666667</v>
      </c>
      <c r="O8" s="36">
        <f t="shared" si="4"/>
        <v>1.154700538379227E-2</v>
      </c>
      <c r="P8" s="33"/>
      <c r="Q8" s="34"/>
      <c r="R8" s="34"/>
      <c r="S8" s="34"/>
      <c r="T8" s="35"/>
      <c r="U8" s="36"/>
      <c r="V8" s="90"/>
      <c r="W8" s="90"/>
      <c r="X8" s="90"/>
      <c r="Y8" s="90"/>
      <c r="Z8" s="91"/>
      <c r="AA8" s="92"/>
    </row>
    <row r="9" spans="1:27" x14ac:dyDescent="0.25">
      <c r="A9" s="5" t="s">
        <v>23</v>
      </c>
      <c r="B9" s="17">
        <v>42752.6875</v>
      </c>
      <c r="C9" s="112">
        <f t="shared" si="0"/>
        <v>3.5833333333139308</v>
      </c>
      <c r="D9" s="113">
        <v>6.6000000000000003E-2</v>
      </c>
      <c r="E9" s="113">
        <v>5.8000000000000003E-2</v>
      </c>
      <c r="F9" s="113">
        <v>5.3999999999999999E-2</v>
      </c>
      <c r="G9" s="113">
        <v>0</v>
      </c>
      <c r="H9" s="114">
        <f t="shared" si="1"/>
        <v>5.9333333333333328E-2</v>
      </c>
      <c r="I9" s="32">
        <f t="shared" si="2"/>
        <v>6.1101009266077881E-3</v>
      </c>
      <c r="J9" s="115">
        <v>7.17</v>
      </c>
      <c r="K9" s="115">
        <v>7.19</v>
      </c>
      <c r="L9" s="115">
        <v>7.2</v>
      </c>
      <c r="M9" s="115">
        <v>7.42</v>
      </c>
      <c r="N9" s="116">
        <f t="shared" si="3"/>
        <v>7.1866666666666665</v>
      </c>
      <c r="O9" s="36">
        <f t="shared" si="4"/>
        <v>1.5275252316519626E-2</v>
      </c>
      <c r="P9" s="33"/>
      <c r="Q9" s="34"/>
      <c r="R9" s="34"/>
      <c r="S9" s="34"/>
      <c r="T9" s="35"/>
      <c r="U9" s="36"/>
      <c r="V9" s="90"/>
      <c r="W9" s="90"/>
      <c r="X9" s="90"/>
      <c r="Y9" s="90"/>
      <c r="Z9" s="91"/>
      <c r="AA9" s="92"/>
    </row>
    <row r="10" spans="1:27" x14ac:dyDescent="0.25">
      <c r="A10" s="5" t="s">
        <v>24</v>
      </c>
      <c r="B10" s="17">
        <v>42752.754166666666</v>
      </c>
      <c r="C10" s="112">
        <f t="shared" si="0"/>
        <v>5.1833333332906477</v>
      </c>
      <c r="D10" s="113">
        <v>0.183</v>
      </c>
      <c r="E10" s="113">
        <v>0.161</v>
      </c>
      <c r="F10" s="113">
        <v>0.157</v>
      </c>
      <c r="G10" s="113">
        <v>0</v>
      </c>
      <c r="H10" s="114">
        <f t="shared" si="1"/>
        <v>0.16700000000000001</v>
      </c>
      <c r="I10" s="32">
        <f t="shared" si="2"/>
        <v>1.3999999999999995E-2</v>
      </c>
      <c r="J10" s="115">
        <v>6.81</v>
      </c>
      <c r="K10" s="115">
        <v>6.9</v>
      </c>
      <c r="L10" s="115">
        <v>6.91</v>
      </c>
      <c r="M10" s="115">
        <v>7.4</v>
      </c>
      <c r="N10" s="116">
        <f t="shared" si="3"/>
        <v>6.873333333333334</v>
      </c>
      <c r="O10" s="36">
        <f t="shared" si="4"/>
        <v>5.5075705472861378E-2</v>
      </c>
      <c r="P10" s="33"/>
      <c r="Q10" s="34"/>
      <c r="R10" s="34"/>
      <c r="S10" s="34"/>
      <c r="T10" s="35"/>
      <c r="U10" s="36"/>
      <c r="V10" s="90"/>
      <c r="W10" s="90"/>
      <c r="X10" s="90"/>
      <c r="Y10" s="90"/>
      <c r="Z10" s="91"/>
      <c r="AA10" s="92"/>
    </row>
    <row r="11" spans="1:27" x14ac:dyDescent="0.25">
      <c r="A11" s="5" t="s">
        <v>40</v>
      </c>
      <c r="B11" s="17">
        <v>42752.807638888888</v>
      </c>
      <c r="C11" s="112">
        <f t="shared" si="0"/>
        <v>6.46666666661622</v>
      </c>
      <c r="D11" s="113">
        <v>0.251</v>
      </c>
      <c r="E11" s="113">
        <v>0.22700000000000001</v>
      </c>
      <c r="F11" s="113">
        <v>0.22900000000000001</v>
      </c>
      <c r="G11" s="113">
        <v>0</v>
      </c>
      <c r="H11" s="114">
        <f t="shared" si="1"/>
        <v>0.23566666666666666</v>
      </c>
      <c r="I11" s="32">
        <f t="shared" si="2"/>
        <v>1.3316656236958782E-2</v>
      </c>
      <c r="J11" s="115">
        <v>6.55</v>
      </c>
      <c r="K11" s="115">
        <v>6.62</v>
      </c>
      <c r="L11" s="115">
        <v>6.61</v>
      </c>
      <c r="M11" s="115">
        <v>7.4</v>
      </c>
      <c r="N11" s="116">
        <f t="shared" si="3"/>
        <v>6.5933333333333337</v>
      </c>
      <c r="O11" s="36">
        <f t="shared" si="4"/>
        <v>3.7859388972002035E-2</v>
      </c>
      <c r="P11" s="115">
        <v>25.789563502238927</v>
      </c>
      <c r="Q11" s="115">
        <v>26.155178352395815</v>
      </c>
      <c r="R11" s="115">
        <v>27.035516906992509</v>
      </c>
      <c r="S11" s="115">
        <v>29.02680917909893</v>
      </c>
      <c r="T11" s="35">
        <f t="shared" ref="T11" si="5">AVERAGE(P11:R11)</f>
        <v>26.326752920542418</v>
      </c>
      <c r="U11" s="36">
        <f t="shared" ref="U11" si="6">STDEV(P11:R11)</f>
        <v>0.64045167345419629</v>
      </c>
      <c r="V11" s="34">
        <v>2.0317703694799767</v>
      </c>
      <c r="W11" s="34">
        <v>1.8607015453322808</v>
      </c>
      <c r="X11" s="34">
        <v>1.940878176505699</v>
      </c>
      <c r="Y11" s="90" t="s">
        <v>21</v>
      </c>
      <c r="Z11" s="35">
        <f>AVERAGE(V11:X11)</f>
        <v>1.9444500304393191</v>
      </c>
      <c r="AA11" s="36">
        <f>STDEV(V11:X11)</f>
        <v>8.5590328041263861E-2</v>
      </c>
    </row>
    <row r="12" spans="1:27" x14ac:dyDescent="0.25">
      <c r="A12" s="5" t="s">
        <v>46</v>
      </c>
      <c r="B12" s="17">
        <v>42752.87222222222</v>
      </c>
      <c r="C12" s="117">
        <f t="shared" si="0"/>
        <v>8.0166666666045785</v>
      </c>
      <c r="D12" s="109">
        <f>0.133*2</f>
        <v>0.26600000000000001</v>
      </c>
      <c r="E12" s="109">
        <f>0.123*2</f>
        <v>0.246</v>
      </c>
      <c r="F12" s="109">
        <f>0.123*2</f>
        <v>0.246</v>
      </c>
      <c r="G12" s="109">
        <f>0.002</f>
        <v>2E-3</v>
      </c>
      <c r="H12" s="87">
        <f t="shared" si="1"/>
        <v>0.25266666666666665</v>
      </c>
      <c r="I12" s="22">
        <f t="shared" si="2"/>
        <v>1.1547005383792526E-2</v>
      </c>
      <c r="J12" s="55">
        <v>6.11</v>
      </c>
      <c r="K12" s="55">
        <v>6.14</v>
      </c>
      <c r="L12" s="55">
        <v>6.09</v>
      </c>
      <c r="M12" s="55">
        <v>7.38</v>
      </c>
      <c r="N12" s="111">
        <f t="shared" si="3"/>
        <v>6.1133333333333333</v>
      </c>
      <c r="O12" s="26">
        <f t="shared" si="4"/>
        <v>2.5166114784235707E-2</v>
      </c>
      <c r="P12" s="23"/>
      <c r="Q12" s="24"/>
      <c r="R12" s="24"/>
      <c r="S12" s="24"/>
      <c r="T12" s="85"/>
      <c r="U12" s="85"/>
      <c r="V12" s="84"/>
      <c r="W12" s="49"/>
      <c r="X12" s="49"/>
      <c r="Y12" s="49"/>
      <c r="Z12" s="25"/>
      <c r="AA12" s="26"/>
    </row>
    <row r="13" spans="1:27" x14ac:dyDescent="0.25">
      <c r="A13" s="5" t="s">
        <v>65</v>
      </c>
      <c r="B13" s="17">
        <v>42752.95208333333</v>
      </c>
      <c r="C13" s="117">
        <f t="shared" si="0"/>
        <v>9.9333333332324401</v>
      </c>
      <c r="D13" s="109">
        <v>0.26700000000000002</v>
      </c>
      <c r="E13" s="109">
        <v>0.25</v>
      </c>
      <c r="F13" s="109">
        <v>0.249</v>
      </c>
      <c r="G13" s="109">
        <v>0</v>
      </c>
      <c r="H13" s="87">
        <f t="shared" si="1"/>
        <v>0.25533333333333336</v>
      </c>
      <c r="I13" s="22">
        <f t="shared" si="2"/>
        <v>1.0115993936995688E-2</v>
      </c>
      <c r="J13" s="55">
        <v>5.42</v>
      </c>
      <c r="K13" s="55">
        <v>5.57</v>
      </c>
      <c r="L13" s="55">
        <v>5.52</v>
      </c>
      <c r="M13" s="55">
        <v>7.33</v>
      </c>
      <c r="N13" s="111">
        <f t="shared" si="3"/>
        <v>5.503333333333333</v>
      </c>
      <c r="O13" s="26">
        <f t="shared" si="4"/>
        <v>7.6376261582597457E-2</v>
      </c>
      <c r="P13" s="84"/>
      <c r="Q13" s="49"/>
      <c r="R13" s="49"/>
      <c r="S13" s="49"/>
      <c r="T13" s="85"/>
      <c r="U13" s="85"/>
      <c r="V13" s="84"/>
      <c r="W13" s="49"/>
      <c r="X13" s="49"/>
      <c r="Y13" s="49"/>
      <c r="Z13" s="25"/>
      <c r="AA13" s="26"/>
    </row>
    <row r="14" spans="1:27" x14ac:dyDescent="0.25">
      <c r="A14" s="5" t="s">
        <v>66</v>
      </c>
      <c r="B14" s="17">
        <v>42753.324999999997</v>
      </c>
      <c r="C14" s="118">
        <f t="shared" si="0"/>
        <v>18.883333333244082</v>
      </c>
      <c r="D14" s="41">
        <v>0.245</v>
      </c>
      <c r="E14" s="41">
        <v>0.23400000000000001</v>
      </c>
      <c r="F14" s="41">
        <v>0.23100000000000001</v>
      </c>
      <c r="G14" s="41">
        <v>0</v>
      </c>
      <c r="H14" s="42">
        <f t="shared" si="1"/>
        <v>0.23666666666666666</v>
      </c>
      <c r="I14" s="43">
        <f t="shared" si="2"/>
        <v>7.3711147958319843E-3</v>
      </c>
      <c r="J14" s="45">
        <v>4.6100000000000003</v>
      </c>
      <c r="K14" s="45">
        <v>4.57</v>
      </c>
      <c r="L14" s="45">
        <v>4.5199999999999996</v>
      </c>
      <c r="M14" s="45">
        <v>7.22</v>
      </c>
      <c r="N14" s="46">
        <f t="shared" si="3"/>
        <v>4.5666666666666664</v>
      </c>
      <c r="O14" s="47">
        <f t="shared" si="4"/>
        <v>4.5092497528229324E-2</v>
      </c>
      <c r="P14" s="64"/>
      <c r="Q14" s="49"/>
      <c r="R14" s="62"/>
      <c r="S14" s="62"/>
      <c r="T14" s="104"/>
      <c r="U14" s="104"/>
      <c r="V14" s="64"/>
      <c r="W14" s="49"/>
      <c r="X14" s="62"/>
      <c r="Y14" s="62"/>
      <c r="Z14" s="46"/>
      <c r="AA14" s="47"/>
    </row>
    <row r="15" spans="1:27" ht="18.75" x14ac:dyDescent="0.35">
      <c r="C15" s="48" t="s">
        <v>25</v>
      </c>
      <c r="D15" s="55">
        <f>LN(LOGEST(D7:D11,$C$7:$C$11))</f>
        <v>0.36877684835686325</v>
      </c>
      <c r="E15" s="55">
        <f t="shared" ref="E15:F15" si="7">LN(LOGEST(E7:E11,$C$7:$C$11))</f>
        <v>0.35836298002353079</v>
      </c>
      <c r="F15" s="55">
        <f t="shared" si="7"/>
        <v>0.37305100917923678</v>
      </c>
      <c r="G15" s="55"/>
      <c r="H15" s="70">
        <f>AVERAGE(D15:F15)</f>
        <v>0.36673027918654361</v>
      </c>
      <c r="I15" s="95">
        <f>STDEV(D15:F15)</f>
        <v>7.5548583141177754E-3</v>
      </c>
      <c r="O15" s="50" t="s">
        <v>26</v>
      </c>
      <c r="P15" s="23">
        <f>P7-P11</f>
        <v>2.0982513974096157</v>
      </c>
      <c r="Q15" s="119">
        <f t="shared" ref="Q15:R15" si="8">Q7-Q11</f>
        <v>2.1280820648175265</v>
      </c>
      <c r="R15" s="24">
        <f t="shared" si="8"/>
        <v>1.3444483405042575</v>
      </c>
      <c r="S15" s="49"/>
      <c r="T15" s="25">
        <f>AVERAGE(P15:R15)</f>
        <v>1.8569272675771333</v>
      </c>
      <c r="U15" s="25">
        <f>STDEV(P15:R15)</f>
        <v>0.44407032686256431</v>
      </c>
      <c r="V15" s="23">
        <f>V11</f>
        <v>2.0317703694799767</v>
      </c>
      <c r="W15" s="119">
        <f t="shared" ref="W15:X15" si="9">W11</f>
        <v>1.8607015453322808</v>
      </c>
      <c r="X15" s="24">
        <f t="shared" si="9"/>
        <v>1.940878176505699</v>
      </c>
      <c r="Y15" s="49"/>
      <c r="Z15" s="25">
        <f>AVERAGE(V15:X15)</f>
        <v>1.9444500304393191</v>
      </c>
      <c r="AA15" s="26">
        <f t="shared" ref="AA15" si="10">STDEV(V15:X15)</f>
        <v>8.5590328041263861E-2</v>
      </c>
    </row>
    <row r="16" spans="1:27" ht="18" x14ac:dyDescent="0.35">
      <c r="A16" s="52" t="s">
        <v>27</v>
      </c>
      <c r="B16" s="53"/>
      <c r="C16" s="54" t="s">
        <v>28</v>
      </c>
      <c r="D16" s="55">
        <f>D13*0.5</f>
        <v>0.13350000000000001</v>
      </c>
      <c r="E16" s="55">
        <f t="shared" ref="E16:F16" si="11">E13*0.5</f>
        <v>0.125</v>
      </c>
      <c r="F16" s="55">
        <f t="shared" si="11"/>
        <v>0.1245</v>
      </c>
      <c r="G16" s="55"/>
      <c r="H16" s="70">
        <f>AVERAGE(D16:F16)</f>
        <v>0.12766666666666668</v>
      </c>
      <c r="I16" s="95">
        <f>STDEV(D16:F16)</f>
        <v>5.0579969684978439E-3</v>
      </c>
      <c r="O16" s="50" t="s">
        <v>29</v>
      </c>
      <c r="P16" s="23">
        <f>(D11-D7)*0.5</f>
        <v>0.108</v>
      </c>
      <c r="Q16" s="24">
        <f t="shared" ref="Q16:R16" si="12">(E11-E7)*0.5</f>
        <v>9.7000000000000003E-2</v>
      </c>
      <c r="R16" s="24">
        <f t="shared" si="12"/>
        <v>9.9000000000000005E-2</v>
      </c>
      <c r="S16" s="24"/>
      <c r="T16" s="25">
        <f>AVERAGE(P16:R16)</f>
        <v>0.10133333333333334</v>
      </c>
      <c r="U16" s="25">
        <f>STDEV(P16:R16)</f>
        <v>5.8594652770823132E-3</v>
      </c>
      <c r="V16" s="84"/>
      <c r="W16" s="49"/>
      <c r="X16" s="49"/>
      <c r="Y16" s="49"/>
      <c r="Z16" s="25"/>
      <c r="AA16" s="26"/>
    </row>
    <row r="17" spans="3:27" ht="18" x14ac:dyDescent="0.35">
      <c r="C17" s="59"/>
      <c r="H17" s="55"/>
      <c r="I17" s="59"/>
      <c r="O17" s="50" t="s">
        <v>30</v>
      </c>
      <c r="P17" s="23">
        <f>P16/(P15/1000*180.16)</f>
        <v>0.2856984349252833</v>
      </c>
      <c r="Q17" s="24">
        <f t="shared" ref="Q17:R17" si="13">Q16/(Q15/1000*180.16)</f>
        <v>0.25300260307394917</v>
      </c>
      <c r="R17" s="24">
        <f t="shared" si="13"/>
        <v>0.40872641122601217</v>
      </c>
      <c r="S17" s="49"/>
      <c r="T17" s="25">
        <f>AVERAGE(P17:R17)</f>
        <v>0.31580914974174823</v>
      </c>
      <c r="U17" s="25">
        <f>STDEV(P17:R17)</f>
        <v>8.2112529290078284E-2</v>
      </c>
      <c r="V17" s="23">
        <f>(V15/1000*59.04)/(P15/1000*180.16)</f>
        <v>0.31732557602943662</v>
      </c>
      <c r="W17" s="24">
        <f>(W15/1000*59.04)/(Q15/1000*180.16)</f>
        <v>0.28653410546015395</v>
      </c>
      <c r="X17" s="24">
        <f>(X15/1000*59.04)/(R15/1000*180.16)</f>
        <v>0.47308821876527268</v>
      </c>
      <c r="Y17" s="49"/>
      <c r="Z17" s="25">
        <f t="shared" ref="Z17:Z20" si="14">AVERAGE(V17:X17)</f>
        <v>0.35898263341828773</v>
      </c>
      <c r="AA17" s="26">
        <f t="shared" ref="AA17:AA20" si="15">STDEV(V17:X17)</f>
        <v>0.10001046005537786</v>
      </c>
    </row>
    <row r="18" spans="3:27" ht="18" x14ac:dyDescent="0.35">
      <c r="C18" s="59"/>
      <c r="I18" s="59"/>
      <c r="O18" s="98" t="s">
        <v>31</v>
      </c>
      <c r="P18" s="84"/>
      <c r="Q18" s="49"/>
      <c r="R18" s="49"/>
      <c r="S18" s="49"/>
      <c r="T18" s="25"/>
      <c r="U18" s="25"/>
      <c r="V18" s="23">
        <f>(V15/1000*59.04)/P16</f>
        <v>1.1107011353157206</v>
      </c>
      <c r="W18" s="24">
        <f>(W15/1000*59.04)/Q16</f>
        <v>1.132534218932143</v>
      </c>
      <c r="X18" s="24">
        <f>(X15/1000*59.04)/R16</f>
        <v>1.1574691670797621</v>
      </c>
      <c r="Y18" s="49"/>
      <c r="Z18" s="25">
        <f t="shared" si="14"/>
        <v>1.1335681737758752</v>
      </c>
      <c r="AA18" s="26">
        <f t="shared" si="15"/>
        <v>2.3401153726574201E-2</v>
      </c>
    </row>
    <row r="19" spans="3:27" ht="18.75" x14ac:dyDescent="0.35">
      <c r="C19" s="59"/>
      <c r="I19" s="59"/>
      <c r="O19" s="54" t="s">
        <v>32</v>
      </c>
      <c r="P19" s="24">
        <f>D15*(P15)</f>
        <v>0.77378653739710224</v>
      </c>
      <c r="Q19" s="24">
        <f t="shared" ref="Q19:R19" si="16">E15*(Q15)</f>
        <v>0.76262583048263743</v>
      </c>
      <c r="R19" s="24">
        <f t="shared" si="16"/>
        <v>0.50154781021446349</v>
      </c>
      <c r="S19" s="49"/>
      <c r="T19" s="25">
        <f t="shared" ref="T19" si="17">AVERAGE(P19:R19)</f>
        <v>0.6793200593647345</v>
      </c>
      <c r="U19" s="25">
        <f t="shared" ref="U19:U20" si="18">STDEV(P19:R19)</f>
        <v>0.15405638503699504</v>
      </c>
      <c r="V19" s="23">
        <f>D15*(V15)</f>
        <v>0.74926987344168539</v>
      </c>
      <c r="W19" s="24">
        <f t="shared" ref="W19:X19" si="19">E15*(W15)</f>
        <v>0.66680655071966499</v>
      </c>
      <c r="X19" s="24">
        <f t="shared" si="19"/>
        <v>0.7240465624394079</v>
      </c>
      <c r="Y19" s="49"/>
      <c r="Z19" s="25">
        <f t="shared" si="14"/>
        <v>0.71337432886691943</v>
      </c>
      <c r="AA19" s="26">
        <f t="shared" si="15"/>
        <v>4.2254849729449206E-2</v>
      </c>
    </row>
    <row r="20" spans="3:27" ht="18.75" x14ac:dyDescent="0.35">
      <c r="C20" s="63"/>
      <c r="D20" s="62"/>
      <c r="E20" s="62"/>
      <c r="F20" s="62"/>
      <c r="G20" s="62"/>
      <c r="H20" s="62"/>
      <c r="I20" s="63"/>
      <c r="J20" s="62"/>
      <c r="K20" s="62"/>
      <c r="L20" s="62"/>
      <c r="M20" s="62"/>
      <c r="N20" s="62"/>
      <c r="O20" s="65" t="s">
        <v>33</v>
      </c>
      <c r="P20" s="44">
        <f>D15*(P15/P16)</f>
        <v>7.1646901610842804</v>
      </c>
      <c r="Q20" s="45">
        <f t="shared" ref="Q20:R20" si="20">E15*(Q15/Q16)</f>
        <v>7.8621219637385291</v>
      </c>
      <c r="R20" s="45">
        <f t="shared" si="20"/>
        <v>5.0661394971157918</v>
      </c>
      <c r="S20" s="45"/>
      <c r="T20" s="46">
        <f>AVERAGE(P20:R20)</f>
        <v>6.697650540646201</v>
      </c>
      <c r="U20" s="46">
        <f t="shared" si="18"/>
        <v>1.4553260781383806</v>
      </c>
      <c r="V20" s="44">
        <f>D15*(V15/P16)</f>
        <v>6.9376840133489388</v>
      </c>
      <c r="W20" s="45">
        <f>E15*(W15/Q16)</f>
        <v>6.8742943373161332</v>
      </c>
      <c r="X20" s="45">
        <f>F15*(X15/R16)</f>
        <v>7.3136016408021005</v>
      </c>
      <c r="Y20" s="62"/>
      <c r="Z20" s="46">
        <f t="shared" si="14"/>
        <v>7.0418599971557247</v>
      </c>
      <c r="AA20" s="47">
        <f t="shared" si="15"/>
        <v>0.2374598985631293</v>
      </c>
    </row>
    <row r="21" spans="3:27" x14ac:dyDescent="0.25">
      <c r="C21" s="49"/>
      <c r="D21" s="49"/>
      <c r="E21" s="49"/>
      <c r="F21" s="49"/>
      <c r="G21" s="49"/>
      <c r="H21" s="49"/>
      <c r="I21" s="69" t="s">
        <v>34</v>
      </c>
      <c r="J21" s="55">
        <f>P16/(J7-J11)</f>
        <v>0.12558139534883717</v>
      </c>
      <c r="K21" s="55">
        <f>Q16/(K7-K11)</f>
        <v>0.12278481012658228</v>
      </c>
      <c r="L21" s="55">
        <f>R16/(L7-L11)</f>
        <v>0.13026315789473689</v>
      </c>
      <c r="N21" s="111">
        <f>AVERAGE(J21:L21)</f>
        <v>0.1262097877900521</v>
      </c>
      <c r="O21" s="26">
        <f>STDEV(J21:L21)</f>
        <v>3.7785683969590654E-3</v>
      </c>
      <c r="P21" s="24"/>
      <c r="Q21" s="24"/>
      <c r="R21" s="24"/>
      <c r="S21" s="24"/>
      <c r="T21" s="25"/>
      <c r="U21" s="25"/>
      <c r="V21" s="24"/>
      <c r="W21" s="24"/>
      <c r="X21" s="24"/>
      <c r="Y21" s="49"/>
      <c r="Z21" s="25"/>
      <c r="AA21" s="25"/>
    </row>
    <row r="22" spans="3:27" x14ac:dyDescent="0.25">
      <c r="T22" s="55"/>
      <c r="U22" s="55"/>
    </row>
    <row r="23" spans="3:27" x14ac:dyDescent="0.25">
      <c r="O23" s="9" t="s">
        <v>35</v>
      </c>
      <c r="P23" s="5">
        <f>P15/1000*6</f>
        <v>1.2589508384457694E-2</v>
      </c>
      <c r="Q23" s="5">
        <f>Q15/1000*6</f>
        <v>1.2768492388905161E-2</v>
      </c>
      <c r="R23" s="5">
        <f>R15/1000*6</f>
        <v>8.0666900430255463E-3</v>
      </c>
      <c r="V23" s="5">
        <f>V15/1000*2</f>
        <v>4.0635407389599532E-3</v>
      </c>
      <c r="W23" s="5">
        <f>W15/1000*2</f>
        <v>3.7214030906645617E-3</v>
      </c>
      <c r="X23" s="5">
        <f>X15/1000*2</f>
        <v>3.881756353011398E-3</v>
      </c>
    </row>
    <row r="24" spans="3:27" x14ac:dyDescent="0.25">
      <c r="O24" s="9" t="s">
        <v>36</v>
      </c>
      <c r="P24" s="5">
        <f>P16*0.5/12.01</f>
        <v>4.4962531223980019E-3</v>
      </c>
      <c r="Q24" s="5">
        <f>Q16*0.5/12.01</f>
        <v>4.0383014154870946E-3</v>
      </c>
      <c r="R24" s="5">
        <f>R16*0.5/12.01</f>
        <v>4.1215653621981688E-3</v>
      </c>
      <c r="T24" s="71" t="s">
        <v>17</v>
      </c>
      <c r="U24" s="120" t="s">
        <v>18</v>
      </c>
    </row>
    <row r="25" spans="3:27" x14ac:dyDescent="0.25">
      <c r="O25" s="9" t="s">
        <v>37</v>
      </c>
      <c r="P25" s="5">
        <f>(P23-V23-P24)/P23</f>
        <v>0.32008513756379875</v>
      </c>
      <c r="Q25" s="5">
        <f t="shared" ref="Q25" si="21">(Q23-W23-Q24)/Q23</f>
        <v>0.39227715615868303</v>
      </c>
      <c r="R25" s="5">
        <f>(R23-X23-R24)/R23</f>
        <v>7.8555550638477432E-3</v>
      </c>
      <c r="T25" s="72">
        <f>AVERAGE(P25:R25)</f>
        <v>0.24007261626210985</v>
      </c>
      <c r="U25" s="80">
        <f>STDEV(P25:R25)</f>
        <v>0.20431958917555862</v>
      </c>
    </row>
  </sheetData>
  <mergeCells count="4">
    <mergeCell ref="D4:I4"/>
    <mergeCell ref="J4:O4"/>
    <mergeCell ref="P4:U4"/>
    <mergeCell ref="V4:AA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710E-E10E-4341-AA1C-BE80FD8FC4F4}">
  <dimension ref="A1:AA27"/>
  <sheetViews>
    <sheetView zoomScaleNormal="100" workbookViewId="0"/>
  </sheetViews>
  <sheetFormatPr defaultColWidth="8.7109375" defaultRowHeight="15" x14ac:dyDescent="0.25"/>
  <cols>
    <col min="1" max="1" width="8.7109375" style="5"/>
    <col min="2" max="2" width="14.85546875" style="5" customWidth="1"/>
    <col min="3" max="16384" width="8.7109375" style="5"/>
  </cols>
  <sheetData>
    <row r="1" spans="1:27" x14ac:dyDescent="0.25">
      <c r="A1" s="8" t="s">
        <v>67</v>
      </c>
      <c r="D1" s="5">
        <v>20160310</v>
      </c>
    </row>
    <row r="2" spans="1:27" x14ac:dyDescent="0.25">
      <c r="A2" s="9" t="s">
        <v>68</v>
      </c>
    </row>
    <row r="3" spans="1:27" x14ac:dyDescent="0.25">
      <c r="A3" s="9" t="s">
        <v>11</v>
      </c>
    </row>
    <row r="4" spans="1:27" x14ac:dyDescent="0.25">
      <c r="D4" s="382" t="s">
        <v>12</v>
      </c>
      <c r="E4" s="383"/>
      <c r="F4" s="383"/>
      <c r="G4" s="383"/>
      <c r="H4" s="383"/>
      <c r="I4" s="384"/>
      <c r="J4" s="382" t="s">
        <v>5</v>
      </c>
      <c r="K4" s="383"/>
      <c r="L4" s="383"/>
      <c r="M4" s="383"/>
      <c r="N4" s="383"/>
      <c r="O4" s="384"/>
      <c r="P4" s="382" t="s">
        <v>13</v>
      </c>
      <c r="Q4" s="383"/>
      <c r="R4" s="383"/>
      <c r="S4" s="383"/>
      <c r="T4" s="383"/>
      <c r="U4" s="384"/>
      <c r="V4" s="382" t="s">
        <v>69</v>
      </c>
      <c r="W4" s="383"/>
      <c r="X4" s="383"/>
      <c r="Y4" s="383"/>
      <c r="Z4" s="383"/>
      <c r="AA4" s="384"/>
    </row>
    <row r="5" spans="1:27" x14ac:dyDescent="0.25">
      <c r="B5" s="73" t="s">
        <v>15</v>
      </c>
      <c r="C5" s="13" t="s">
        <v>16</v>
      </c>
      <c r="D5" s="12">
        <v>1</v>
      </c>
      <c r="E5" s="13">
        <v>2</v>
      </c>
      <c r="F5" s="13">
        <v>3</v>
      </c>
      <c r="G5" s="13" t="s">
        <v>4</v>
      </c>
      <c r="H5" s="14" t="s">
        <v>17</v>
      </c>
      <c r="I5" s="15" t="s">
        <v>18</v>
      </c>
      <c r="J5" s="12">
        <v>1</v>
      </c>
      <c r="K5" s="13">
        <v>2</v>
      </c>
      <c r="L5" s="13">
        <v>3</v>
      </c>
      <c r="M5" s="13" t="s">
        <v>4</v>
      </c>
      <c r="N5" s="14" t="s">
        <v>17</v>
      </c>
      <c r="O5" s="15" t="s">
        <v>18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5" t="s">
        <v>18</v>
      </c>
      <c r="V5" s="12">
        <v>1</v>
      </c>
      <c r="W5" s="13">
        <v>2</v>
      </c>
      <c r="X5" s="13">
        <v>3</v>
      </c>
      <c r="Y5" s="13" t="s">
        <v>4</v>
      </c>
      <c r="Z5" s="14" t="s">
        <v>17</v>
      </c>
      <c r="AA5" s="15" t="s">
        <v>18</v>
      </c>
    </row>
    <row r="6" spans="1:27" x14ac:dyDescent="0.25">
      <c r="A6" s="5" t="s">
        <v>19</v>
      </c>
      <c r="B6" s="17">
        <v>42439.338888888888</v>
      </c>
      <c r="C6" s="18">
        <f>(B6-$B$6)*24</f>
        <v>0</v>
      </c>
      <c r="D6" s="19">
        <v>2.1000000000000001E-2</v>
      </c>
      <c r="E6" s="20">
        <v>1.7999999999999999E-2</v>
      </c>
      <c r="F6" s="20">
        <v>2.3E-2</v>
      </c>
      <c r="G6" s="20">
        <v>0</v>
      </c>
      <c r="H6" s="21">
        <f t="shared" ref="H6:H12" si="0">AVERAGE(D6:F6)</f>
        <v>2.0666666666666667E-2</v>
      </c>
      <c r="I6" s="22">
        <f t="shared" ref="I6:I12" si="1">STDEV(D6:F6)</f>
        <v>2.5166114784235839E-3</v>
      </c>
      <c r="J6" s="23">
        <v>5.96</v>
      </c>
      <c r="K6" s="24">
        <v>5.96</v>
      </c>
      <c r="L6" s="24">
        <v>5.96</v>
      </c>
      <c r="M6" s="24">
        <v>6</v>
      </c>
      <c r="N6" s="25">
        <f>AVERAGE(J6:L6)</f>
        <v>5.96</v>
      </c>
      <c r="O6" s="26">
        <f>STDEV(J6:L6)</f>
        <v>0</v>
      </c>
      <c r="P6" s="23">
        <v>27.875906381300993</v>
      </c>
      <c r="Q6" s="24">
        <v>27.756970733729666</v>
      </c>
      <c r="R6" s="24">
        <v>29.050726006483618</v>
      </c>
      <c r="S6" s="24">
        <v>28.920910885655054</v>
      </c>
      <c r="T6" s="25">
        <f>AVERAGE(P6:R6)</f>
        <v>28.227867707171427</v>
      </c>
      <c r="U6" s="25">
        <f>STDEV(P6:R6)</f>
        <v>0.71509318107923381</v>
      </c>
      <c r="V6" s="23"/>
      <c r="W6" s="24"/>
      <c r="X6" s="24"/>
      <c r="Y6" s="24"/>
      <c r="Z6" s="25"/>
      <c r="AA6" s="26"/>
    </row>
    <row r="7" spans="1:27" x14ac:dyDescent="0.25">
      <c r="A7" s="5" t="s">
        <v>20</v>
      </c>
      <c r="B7" s="17">
        <v>42439.421527777777</v>
      </c>
      <c r="C7" s="28">
        <f>(B7-$B$6)*24</f>
        <v>1.9833333333372138</v>
      </c>
      <c r="D7" s="29">
        <v>2.4E-2</v>
      </c>
      <c r="E7" s="30">
        <v>2.1999999999999999E-2</v>
      </c>
      <c r="F7" s="30">
        <v>2.3E-2</v>
      </c>
      <c r="G7" s="30">
        <v>-1E-3</v>
      </c>
      <c r="H7" s="31">
        <f t="shared" si="0"/>
        <v>2.3000000000000003E-2</v>
      </c>
      <c r="I7" s="32">
        <f t="shared" si="1"/>
        <v>1.0000000000000009E-3</v>
      </c>
      <c r="J7" s="33">
        <v>5.64</v>
      </c>
      <c r="K7" s="34">
        <v>5.65</v>
      </c>
      <c r="L7" s="34">
        <v>5.61</v>
      </c>
      <c r="M7" s="34">
        <v>5.98</v>
      </c>
      <c r="N7" s="35">
        <f>AVERAGE(J7:L7)</f>
        <v>5.6333333333333329</v>
      </c>
      <c r="O7" s="36">
        <f>STDEV(J7:L7)</f>
        <v>2.081665999466124E-2</v>
      </c>
      <c r="P7" s="115">
        <v>28.666440789642856</v>
      </c>
      <c r="Q7" s="115">
        <v>29.65457518592293</v>
      </c>
      <c r="R7" s="115">
        <v>29.84295367113419</v>
      </c>
      <c r="S7" s="121">
        <v>30.316621249141534</v>
      </c>
      <c r="T7" s="35">
        <f t="shared" ref="T7:T8" si="2">AVERAGE(P7:R7)</f>
        <v>29.387989882233324</v>
      </c>
      <c r="U7" s="36">
        <f t="shared" ref="U7:U8" si="3">STDEV(P7:R7)</f>
        <v>0.63193863087029223</v>
      </c>
      <c r="V7" s="115">
        <v>0.4700344656025115</v>
      </c>
      <c r="W7" s="115">
        <v>0.44502303340379568</v>
      </c>
      <c r="X7" s="115">
        <v>0.47670172529083299</v>
      </c>
      <c r="Y7" s="34" t="s">
        <v>21</v>
      </c>
      <c r="Z7" s="35">
        <f>AVERAGE(V7:X7)</f>
        <v>0.46391974143238007</v>
      </c>
      <c r="AA7" s="36">
        <f>STDEV(V7:X7)</f>
        <v>1.6701115791349187E-2</v>
      </c>
    </row>
    <row r="8" spans="1:27" x14ac:dyDescent="0.25">
      <c r="A8" s="5" t="s">
        <v>22</v>
      </c>
      <c r="B8" s="17">
        <v>42439.525000000001</v>
      </c>
      <c r="C8" s="28">
        <f>(B8-$B$6)*24</f>
        <v>4.4666666667326353</v>
      </c>
      <c r="D8" s="29">
        <v>3.1E-2</v>
      </c>
      <c r="E8" s="30">
        <v>2.9000000000000001E-2</v>
      </c>
      <c r="F8" s="30">
        <v>0.03</v>
      </c>
      <c r="G8" s="30">
        <v>-2E-3</v>
      </c>
      <c r="H8" s="31">
        <f t="shared" si="0"/>
        <v>0.03</v>
      </c>
      <c r="I8" s="32">
        <f t="shared" si="1"/>
        <v>9.9999999999999915E-4</v>
      </c>
      <c r="J8" s="33">
        <v>4.55</v>
      </c>
      <c r="K8" s="34">
        <v>4.46</v>
      </c>
      <c r="L8" s="34">
        <v>4.42</v>
      </c>
      <c r="M8" s="34">
        <v>5.97</v>
      </c>
      <c r="N8" s="35">
        <f>AVERAGE(J8:L8)</f>
        <v>4.4766666666666666</v>
      </c>
      <c r="O8" s="36">
        <f>STDEV(J8:L8)</f>
        <v>6.6583281184793869E-2</v>
      </c>
      <c r="P8" s="33">
        <v>28.717129906741924</v>
      </c>
      <c r="Q8" s="34">
        <v>28.418422833074352</v>
      </c>
      <c r="R8" s="34">
        <v>28.168744048803294</v>
      </c>
      <c r="S8" s="34">
        <v>28.934209318776873</v>
      </c>
      <c r="T8" s="35">
        <f t="shared" si="2"/>
        <v>28.434765596206521</v>
      </c>
      <c r="U8" s="35">
        <f t="shared" si="3"/>
        <v>0.27455796605975125</v>
      </c>
      <c r="V8" s="33">
        <v>1.1297481492949726</v>
      </c>
      <c r="W8" s="34">
        <v>1.0898549199539054</v>
      </c>
      <c r="X8" s="34">
        <v>1.0870101595232331</v>
      </c>
      <c r="Y8" s="34"/>
      <c r="Z8" s="35">
        <f>AVERAGE(V8:X8)</f>
        <v>1.1022044095907038</v>
      </c>
      <c r="AA8" s="36">
        <f>STDEV(V8:X8)</f>
        <v>2.3895948676488421E-2</v>
      </c>
    </row>
    <row r="9" spans="1:27" x14ac:dyDescent="0.25">
      <c r="A9" s="5" t="s">
        <v>23</v>
      </c>
      <c r="B9" s="17">
        <v>42439.64166666667</v>
      </c>
      <c r="C9" s="122">
        <f>(B9-$B$6)*24</f>
        <v>7.2666666667792015</v>
      </c>
      <c r="D9" s="19">
        <v>3.1E-2</v>
      </c>
      <c r="E9" s="20">
        <v>2.9000000000000001E-2</v>
      </c>
      <c r="F9" s="20">
        <v>0.03</v>
      </c>
      <c r="G9" s="20">
        <v>-1E-3</v>
      </c>
      <c r="H9" s="21">
        <f t="shared" si="0"/>
        <v>0.03</v>
      </c>
      <c r="I9" s="22">
        <f t="shared" si="1"/>
        <v>9.9999999999999915E-4</v>
      </c>
      <c r="J9" s="23">
        <v>4.34</v>
      </c>
      <c r="K9" s="24">
        <v>4.25</v>
      </c>
      <c r="L9" s="24">
        <v>4.21</v>
      </c>
      <c r="M9" s="24">
        <v>5.97</v>
      </c>
      <c r="N9" s="25">
        <f>AVERAGE(J9:L9)</f>
        <v>4.2666666666666666</v>
      </c>
      <c r="O9" s="26">
        <f>STDEV(J9:L9)</f>
        <v>6.6583281184793869E-2</v>
      </c>
      <c r="P9" s="23">
        <v>28.221314529099999</v>
      </c>
      <c r="Q9" s="24">
        <v>28.13039828131782</v>
      </c>
      <c r="R9" s="24">
        <v>27.908980212107117</v>
      </c>
      <c r="S9" s="24">
        <v>28.618693001348881</v>
      </c>
      <c r="T9" s="25">
        <f>AVERAGE(P9:R9)</f>
        <v>28.086897674174981</v>
      </c>
      <c r="U9" s="25">
        <f>STDEV(P9:R9)</f>
        <v>0.16064684406859453</v>
      </c>
      <c r="V9" s="23">
        <v>1.3037197078036999</v>
      </c>
      <c r="W9" s="24">
        <v>1.2695792303508409</v>
      </c>
      <c r="X9" s="24">
        <v>1.2745571998669329</v>
      </c>
      <c r="Y9" s="24"/>
      <c r="Z9" s="25">
        <f>AVERAGE(V9:X9)</f>
        <v>1.2826187126738247</v>
      </c>
      <c r="AA9" s="26">
        <f>STDEV(V9:X9)</f>
        <v>1.8442723273124642E-2</v>
      </c>
    </row>
    <row r="10" spans="1:27" x14ac:dyDescent="0.25">
      <c r="A10" s="5" t="s">
        <v>24</v>
      </c>
      <c r="B10" s="17">
        <v>42439.804166666669</v>
      </c>
      <c r="C10" s="39">
        <f>(B10-$B$6)*24</f>
        <v>11.166666666744277</v>
      </c>
      <c r="D10" s="40">
        <v>3.1E-2</v>
      </c>
      <c r="E10" s="41">
        <v>2.9000000000000001E-2</v>
      </c>
      <c r="F10" s="41">
        <v>3.2000000000000001E-2</v>
      </c>
      <c r="G10" s="41">
        <v>-1E-3</v>
      </c>
      <c r="H10" s="42">
        <f t="shared" si="0"/>
        <v>3.0666666666666665E-2</v>
      </c>
      <c r="I10" s="43">
        <f t="shared" si="1"/>
        <v>1.5275252316519462E-3</v>
      </c>
      <c r="J10" s="44">
        <v>4.1500000000000004</v>
      </c>
      <c r="K10" s="45">
        <v>4.12</v>
      </c>
      <c r="L10" s="45">
        <v>4.0999999999999996</v>
      </c>
      <c r="M10" s="45">
        <v>5.96</v>
      </c>
      <c r="N10" s="46">
        <f>AVERAGE(J10:L10)</f>
        <v>4.1233333333333331</v>
      </c>
      <c r="O10" s="47">
        <f>STDEV(J10:L10)</f>
        <v>2.5166114784236179E-2</v>
      </c>
      <c r="P10" s="44"/>
      <c r="Q10" s="45"/>
      <c r="R10" s="45"/>
      <c r="S10" s="45"/>
      <c r="T10" s="46"/>
      <c r="U10" s="46"/>
      <c r="V10" s="44"/>
      <c r="W10" s="45"/>
      <c r="X10" s="45"/>
      <c r="Y10" s="45"/>
      <c r="Z10" s="46"/>
      <c r="AA10" s="47"/>
    </row>
    <row r="11" spans="1:27" ht="18.75" x14ac:dyDescent="0.35">
      <c r="B11" s="17"/>
      <c r="C11" s="48" t="s">
        <v>25</v>
      </c>
      <c r="D11" s="24">
        <f>LN(LOGEST(D7:D8,$C$7:$C$8))</f>
        <v>0.10306041911307449</v>
      </c>
      <c r="E11" s="24">
        <f t="shared" ref="E11:F11" si="4">LN(LOGEST(E7:E8,$C$7:$C$8))</f>
        <v>0.11124297045151055</v>
      </c>
      <c r="F11" s="24">
        <f t="shared" si="4"/>
        <v>0.10699456337974328</v>
      </c>
      <c r="G11" s="20"/>
      <c r="H11" s="25">
        <f t="shared" si="0"/>
        <v>0.10709931764810944</v>
      </c>
      <c r="I11" s="26">
        <f t="shared" si="1"/>
        <v>4.0922813556854946E-3</v>
      </c>
      <c r="K11" s="24"/>
      <c r="L11" s="24"/>
      <c r="M11" s="50"/>
      <c r="N11" s="49"/>
      <c r="O11" s="123" t="s">
        <v>26</v>
      </c>
      <c r="P11" s="55">
        <f>(P7-P8)</f>
        <v>-5.0689117099068426E-2</v>
      </c>
      <c r="Q11" s="55">
        <f t="shared" ref="Q11:R11" si="5">(Q7-Q8)</f>
        <v>1.2361523528485776</v>
      </c>
      <c r="R11" s="55">
        <f t="shared" si="5"/>
        <v>1.6742096223308955</v>
      </c>
      <c r="S11" s="55"/>
      <c r="T11" s="111">
        <f>AVERAGE(P11:R11)</f>
        <v>0.95322428602680154</v>
      </c>
      <c r="U11" s="51">
        <f>STDEV(P11:R11)</f>
        <v>0.89657968612299055</v>
      </c>
      <c r="V11" s="55">
        <f>V8-V7</f>
        <v>0.65971368369246108</v>
      </c>
      <c r="W11" s="55">
        <f t="shared" ref="W11:X11" si="6">W8-W7</f>
        <v>0.6448318865501097</v>
      </c>
      <c r="X11" s="55">
        <f t="shared" si="6"/>
        <v>0.61030843423240011</v>
      </c>
      <c r="Y11" s="55"/>
      <c r="Z11" s="111">
        <f>AVERAGE(V11:X11)</f>
        <v>0.63828466815832363</v>
      </c>
      <c r="AA11" s="51">
        <f>STDEV(V11:X11)</f>
        <v>2.5345003847997736E-2</v>
      </c>
    </row>
    <row r="12" spans="1:27" ht="18" x14ac:dyDescent="0.35">
      <c r="A12" s="52" t="s">
        <v>27</v>
      </c>
      <c r="B12" s="53"/>
      <c r="C12" s="54" t="s">
        <v>28</v>
      </c>
      <c r="D12" s="55">
        <f>D10*0.46</f>
        <v>1.426E-2</v>
      </c>
      <c r="E12" s="55">
        <f t="shared" ref="E12:F12" si="7">E10*0.46</f>
        <v>1.3340000000000001E-2</v>
      </c>
      <c r="F12" s="55">
        <f t="shared" si="7"/>
        <v>1.472E-2</v>
      </c>
      <c r="G12" s="55"/>
      <c r="H12" s="25">
        <f t="shared" si="0"/>
        <v>1.4106666666666665E-2</v>
      </c>
      <c r="I12" s="26">
        <f t="shared" si="1"/>
        <v>7.0266160655989513E-4</v>
      </c>
      <c r="K12" s="24"/>
      <c r="L12" s="24"/>
      <c r="M12" s="50"/>
      <c r="N12" s="49"/>
      <c r="O12" s="54" t="s">
        <v>29</v>
      </c>
      <c r="P12" s="55">
        <f>(D8-D7)*0.46</f>
        <v>3.2199999999999998E-3</v>
      </c>
      <c r="Q12" s="55">
        <f t="shared" ref="Q12:R12" si="8">(E8-E7)*0.46</f>
        <v>3.2200000000000015E-3</v>
      </c>
      <c r="R12" s="55">
        <f t="shared" si="8"/>
        <v>3.2199999999999998E-3</v>
      </c>
      <c r="S12" s="55"/>
      <c r="T12" s="111">
        <f>AVERAGE(P12:R12)</f>
        <v>3.2200000000000006E-3</v>
      </c>
      <c r="U12" s="26">
        <f>STDEV(P12:R12)</f>
        <v>1.0622968402425924E-18</v>
      </c>
      <c r="V12" s="55"/>
      <c r="W12" s="55"/>
      <c r="X12" s="55"/>
      <c r="Y12" s="55"/>
      <c r="Z12" s="111"/>
      <c r="AA12" s="26"/>
    </row>
    <row r="13" spans="1:27" ht="18" x14ac:dyDescent="0.35">
      <c r="B13" s="17"/>
      <c r="C13" s="56"/>
      <c r="D13" s="55"/>
      <c r="E13" s="55"/>
      <c r="F13" s="55"/>
      <c r="H13" s="20"/>
      <c r="I13" s="58"/>
      <c r="M13" s="50"/>
      <c r="N13" s="49"/>
      <c r="O13" s="54" t="s">
        <v>30</v>
      </c>
      <c r="P13" s="55">
        <f>P12/(P11/1000*180.16)</f>
        <v>-0.35260037655158544</v>
      </c>
      <c r="Q13" s="55">
        <f t="shared" ref="Q13:R13" si="9">Q12/(Q11/1000*180.16)</f>
        <v>1.4458575219318695E-2</v>
      </c>
      <c r="R13" s="55">
        <f t="shared" si="9"/>
        <v>1.06754862341046E-2</v>
      </c>
      <c r="S13" s="55"/>
      <c r="T13" s="111">
        <f>AVERAGE(P13:R13)</f>
        <v>-0.10915543836605406</v>
      </c>
      <c r="U13" s="26">
        <f>STDEV(P13:R13)</f>
        <v>0.21083798610944238</v>
      </c>
      <c r="V13" s="55">
        <f>(V11/1000*90.08)/(P11/1000*180.16)</f>
        <v>-6.5074489500684702</v>
      </c>
      <c r="W13" s="55">
        <f t="shared" ref="W13:X13" si="10">(W11/1000*90.08)/(Q11/1000*180.16)</f>
        <v>0.26082217336081803</v>
      </c>
      <c r="X13" s="55">
        <f t="shared" si="10"/>
        <v>0.18226762828620785</v>
      </c>
      <c r="Y13" s="55"/>
      <c r="Z13" s="111">
        <f>AVERAGE(V13:X13)</f>
        <v>-2.021453049473815</v>
      </c>
      <c r="AA13" s="26">
        <f>STDEV(V13:X13)</f>
        <v>3.8851849530301656</v>
      </c>
    </row>
    <row r="14" spans="1:27" ht="18" x14ac:dyDescent="0.35">
      <c r="B14" s="17"/>
      <c r="C14" s="56"/>
      <c r="D14" s="55"/>
      <c r="E14" s="55"/>
      <c r="F14" s="55"/>
      <c r="H14" s="20"/>
      <c r="I14" s="59"/>
      <c r="M14" s="98"/>
      <c r="O14" s="60" t="s">
        <v>31</v>
      </c>
      <c r="P14" s="24"/>
      <c r="Q14" s="24"/>
      <c r="R14" s="24"/>
      <c r="S14" s="24"/>
      <c r="T14" s="111"/>
      <c r="U14" s="26"/>
      <c r="V14" s="24">
        <f>(V11/1000*90.08)/P12</f>
        <v>18.455592741309594</v>
      </c>
      <c r="W14" s="24">
        <f t="shared" ref="W14:X14" si="11">(W11/1000*90.08)/Q12</f>
        <v>18.039272155414238</v>
      </c>
      <c r="X14" s="24">
        <f t="shared" si="11"/>
        <v>17.073473216041801</v>
      </c>
      <c r="Y14" s="24"/>
      <c r="Z14" s="25">
        <f>AVERAGE(V14:X14)</f>
        <v>17.85611270425521</v>
      </c>
      <c r="AA14" s="26">
        <f>STDEV(V14:X14)</f>
        <v>0.70903041820733925</v>
      </c>
    </row>
    <row r="15" spans="1:27" ht="18.75" x14ac:dyDescent="0.35">
      <c r="B15" s="17"/>
      <c r="C15" s="56"/>
      <c r="D15" s="55"/>
      <c r="E15" s="55"/>
      <c r="F15" s="55"/>
      <c r="H15" s="20"/>
      <c r="I15" s="59"/>
      <c r="M15" s="98"/>
      <c r="O15" s="54" t="s">
        <v>32</v>
      </c>
      <c r="P15" s="24">
        <f>D11*(P11)</f>
        <v>-5.224041652701703E-3</v>
      </c>
      <c r="Q15" s="24">
        <f t="shared" ref="Q15:R15" si="12">E11*(Q11)</f>
        <v>0.13751325966149955</v>
      </c>
      <c r="R15" s="24">
        <f t="shared" si="12"/>
        <v>0.17913132754745906</v>
      </c>
      <c r="S15" s="24"/>
      <c r="T15" s="111">
        <f t="shared" ref="T15" si="13">AVERAGE(P15:R15)</f>
        <v>0.10380684851875228</v>
      </c>
      <c r="U15" s="26">
        <f t="shared" ref="U15" si="14">STDEV(P15:R15)</f>
        <v>9.6689281475894909E-2</v>
      </c>
      <c r="V15" s="24">
        <f>D11*(V11)</f>
        <v>6.7990368735975304E-2</v>
      </c>
      <c r="W15" s="24">
        <f t="shared" ref="W15:X15" si="15">E11*(W11)</f>
        <v>7.1733014501685649E-2</v>
      </c>
      <c r="X15" s="24">
        <f t="shared" si="15"/>
        <v>6.5299684447670411E-2</v>
      </c>
      <c r="Y15" s="24"/>
      <c r="Z15" s="25">
        <f>AVERAGE(V15:X15)</f>
        <v>6.8341022561777112E-2</v>
      </c>
      <c r="AA15" s="26">
        <f>STDEV(V15:X15)</f>
        <v>3.2309677304386709E-3</v>
      </c>
    </row>
    <row r="16" spans="1:27" ht="18.75" x14ac:dyDescent="0.35">
      <c r="B16" s="17"/>
      <c r="C16" s="61"/>
      <c r="D16" s="45"/>
      <c r="E16" s="45"/>
      <c r="F16" s="45"/>
      <c r="G16" s="62"/>
      <c r="H16" s="62"/>
      <c r="I16" s="63"/>
      <c r="J16" s="64"/>
      <c r="K16" s="62"/>
      <c r="L16" s="62"/>
      <c r="M16" s="65"/>
      <c r="N16" s="62"/>
      <c r="O16" s="124" t="s">
        <v>33</v>
      </c>
      <c r="P16" s="45">
        <f>D11*(P11/P12)</f>
        <v>-1.622373184068852</v>
      </c>
      <c r="Q16" s="45">
        <f>E11*(Q11/Q12)</f>
        <v>42.705981261335246</v>
      </c>
      <c r="R16" s="45">
        <f>F11*(R11/R12)</f>
        <v>55.630847064428281</v>
      </c>
      <c r="S16" s="45"/>
      <c r="T16" s="46">
        <f>AVERAGE(P16:R16)</f>
        <v>32.238151713898226</v>
      </c>
      <c r="U16" s="47">
        <f>STDEV(P16:R16)</f>
        <v>30.027727166426981</v>
      </c>
      <c r="V16" s="45">
        <f>D11*(V11/P12)</f>
        <v>21.115021346576182</v>
      </c>
      <c r="W16" s="45">
        <f>E11*(W11/Q12)</f>
        <v>22.277333696175656</v>
      </c>
      <c r="X16" s="45">
        <f>F11*(X11/R12)</f>
        <v>20.279405107972178</v>
      </c>
      <c r="Y16" s="45"/>
      <c r="Z16" s="46">
        <f>AVERAGE(V16:X16)</f>
        <v>21.223920050241336</v>
      </c>
      <c r="AA16" s="47">
        <f>STDEV(V16:X16)</f>
        <v>1.0034061274654198</v>
      </c>
    </row>
    <row r="17" spans="1:27" x14ac:dyDescent="0.25">
      <c r="B17" s="17"/>
      <c r="C17" s="125"/>
      <c r="D17" s="24"/>
      <c r="E17" s="24"/>
      <c r="F17" s="24"/>
      <c r="G17" s="49"/>
      <c r="H17" s="49"/>
      <c r="I17" s="59"/>
      <c r="J17" s="49"/>
      <c r="K17" s="49"/>
      <c r="L17" s="49"/>
      <c r="M17" s="50"/>
      <c r="N17" s="49"/>
      <c r="O17" s="54"/>
      <c r="P17" s="24"/>
      <c r="Q17" s="24"/>
      <c r="R17" s="24"/>
      <c r="S17" s="24"/>
      <c r="T17" s="25"/>
      <c r="U17" s="25"/>
      <c r="V17" s="24"/>
      <c r="W17" s="24"/>
      <c r="X17" s="24"/>
      <c r="Y17" s="24"/>
      <c r="Z17" s="25"/>
      <c r="AA17" s="25"/>
    </row>
    <row r="18" spans="1:27" x14ac:dyDescent="0.25">
      <c r="B18" s="17"/>
      <c r="C18" s="68"/>
      <c r="D18" s="55"/>
      <c r="E18" s="55"/>
      <c r="F18" s="55"/>
      <c r="I18" s="69" t="s">
        <v>34</v>
      </c>
      <c r="J18" s="55">
        <f>P12/(J7-J8)</f>
        <v>2.9541284403669728E-3</v>
      </c>
      <c r="K18" s="55">
        <f>Q12/(K7-K8)</f>
        <v>2.7058823529411769E-3</v>
      </c>
      <c r="L18" s="55">
        <f>R12/(L7-L8)</f>
        <v>2.7058823529411756E-3</v>
      </c>
      <c r="N18" s="70">
        <f>AVERAGE(J18:L18)</f>
        <v>2.7886310487497752E-3</v>
      </c>
      <c r="O18" s="26">
        <f>STDEV(J18:L18)</f>
        <v>1.4332494540055503E-4</v>
      </c>
      <c r="T18" s="55"/>
      <c r="U18" s="55"/>
    </row>
    <row r="19" spans="1:27" x14ac:dyDescent="0.25">
      <c r="B19" s="17"/>
      <c r="C19" s="68"/>
      <c r="D19" s="55"/>
      <c r="E19" s="55"/>
      <c r="F19" s="55"/>
      <c r="T19" s="55"/>
      <c r="U19" s="55"/>
    </row>
    <row r="20" spans="1:27" x14ac:dyDescent="0.25">
      <c r="B20" s="17"/>
      <c r="C20" s="68"/>
      <c r="D20" s="55"/>
      <c r="E20" s="55"/>
      <c r="F20" s="55"/>
      <c r="O20" s="9" t="s">
        <v>35</v>
      </c>
      <c r="P20" s="5">
        <f>P11/1000*6</f>
        <v>-3.0413470259441056E-4</v>
      </c>
      <c r="Q20" s="5">
        <f>Q11/1000*6</f>
        <v>7.4169141170914651E-3</v>
      </c>
      <c r="R20" s="5">
        <f>R11/1000*6</f>
        <v>1.0045257733985373E-2</v>
      </c>
      <c r="T20" s="55"/>
      <c r="U20" s="55"/>
      <c r="V20" s="5">
        <f>V11/1000*3</f>
        <v>1.979141051077383E-3</v>
      </c>
      <c r="W20" s="5">
        <f>W11/1000*3</f>
        <v>1.9344956596503292E-3</v>
      </c>
      <c r="X20" s="5">
        <f>X11/1000*3</f>
        <v>1.8309253026972004E-3</v>
      </c>
      <c r="Z20" s="55"/>
    </row>
    <row r="21" spans="1:27" x14ac:dyDescent="0.25">
      <c r="B21" s="17"/>
      <c r="C21" s="68"/>
      <c r="D21" s="55"/>
      <c r="E21" s="55"/>
      <c r="F21" s="55"/>
      <c r="O21" s="9" t="s">
        <v>36</v>
      </c>
      <c r="P21" s="5">
        <f>P12*0.5/12.01</f>
        <v>1.3405495420482931E-4</v>
      </c>
      <c r="Q21" s="5">
        <f>Q12*0.5/12.01</f>
        <v>1.3405495420482937E-4</v>
      </c>
      <c r="R21" s="5">
        <f>R12*0.5/12.01</f>
        <v>1.3405495420482931E-4</v>
      </c>
      <c r="T21" s="71" t="s">
        <v>17</v>
      </c>
      <c r="U21" s="51" t="s">
        <v>18</v>
      </c>
      <c r="Z21" s="55"/>
    </row>
    <row r="22" spans="1:27" x14ac:dyDescent="0.25">
      <c r="B22" s="17"/>
      <c r="C22" s="68"/>
      <c r="D22" s="55"/>
      <c r="E22" s="55"/>
      <c r="F22" s="55"/>
      <c r="O22" s="9" t="s">
        <v>37</v>
      </c>
      <c r="P22" s="5">
        <f>(P20-V20-P21)/P20</f>
        <v>7.9482238865070878</v>
      </c>
      <c r="Q22" s="5">
        <f t="shared" ref="Q22:R22" si="16">(Q20-W20-Q21)/Q20</f>
        <v>0.72110360438333643</v>
      </c>
      <c r="R22" s="5">
        <f t="shared" si="16"/>
        <v>0.80438727318523073</v>
      </c>
      <c r="T22" s="72">
        <f>AVERAGE(P22:R22)</f>
        <v>3.1579049213585519</v>
      </c>
      <c r="U22" s="47">
        <f>STDEV(P22:R22)</f>
        <v>4.1487469051833692</v>
      </c>
      <c r="Z22" s="55"/>
    </row>
    <row r="23" spans="1:27" x14ac:dyDescent="0.25">
      <c r="B23" s="17"/>
      <c r="C23" s="68"/>
      <c r="D23" s="55"/>
      <c r="E23" s="55"/>
      <c r="F23" s="55"/>
      <c r="T23" s="55"/>
      <c r="U23" s="55"/>
      <c r="Z23" s="55"/>
    </row>
    <row r="24" spans="1:27" x14ac:dyDescent="0.25">
      <c r="B24" s="17"/>
      <c r="C24" s="68"/>
      <c r="D24" s="55"/>
      <c r="E24" s="55"/>
      <c r="F24" s="55"/>
      <c r="T24" s="55"/>
      <c r="U24" s="55"/>
      <c r="Z24" s="55"/>
    </row>
    <row r="25" spans="1:27" x14ac:dyDescent="0.25">
      <c r="B25" s="17"/>
      <c r="C25" s="68"/>
      <c r="D25" s="55"/>
      <c r="E25" s="55"/>
      <c r="F25" s="55"/>
      <c r="T25" s="55"/>
      <c r="U25" s="55"/>
      <c r="Z25" s="55"/>
    </row>
    <row r="26" spans="1:27" x14ac:dyDescent="0.25">
      <c r="A26" s="9"/>
      <c r="C26" s="73"/>
      <c r="D26" s="1"/>
      <c r="E26" s="74"/>
      <c r="F26" s="73"/>
      <c r="G26" s="1"/>
      <c r="H26" s="74"/>
      <c r="I26" s="73"/>
      <c r="J26" s="1"/>
      <c r="K26" s="74"/>
    </row>
    <row r="27" spans="1:27" x14ac:dyDescent="0.25">
      <c r="E27" s="55"/>
      <c r="H27" s="55"/>
      <c r="K27" s="55"/>
    </row>
  </sheetData>
  <mergeCells count="4">
    <mergeCell ref="D4:I4"/>
    <mergeCell ref="J4:O4"/>
    <mergeCell ref="P4:U4"/>
    <mergeCell ref="V4:AA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DFA1-028C-408A-A6DD-F7843FD02D1D}">
  <dimension ref="A1:AA26"/>
  <sheetViews>
    <sheetView zoomScaleNormal="100" workbookViewId="0"/>
  </sheetViews>
  <sheetFormatPr defaultColWidth="8.7109375" defaultRowHeight="15" x14ac:dyDescent="0.25"/>
  <cols>
    <col min="1" max="1" width="8.7109375" style="5"/>
    <col min="2" max="2" width="13.85546875" style="5" customWidth="1"/>
    <col min="3" max="16384" width="8.7109375" style="5"/>
  </cols>
  <sheetData>
    <row r="1" spans="1:27" x14ac:dyDescent="0.25">
      <c r="A1" s="8" t="s">
        <v>70</v>
      </c>
      <c r="D1" s="5">
        <v>20160506</v>
      </c>
    </row>
    <row r="2" spans="1:27" x14ac:dyDescent="0.25">
      <c r="A2" s="9" t="s">
        <v>68</v>
      </c>
    </row>
    <row r="3" spans="1:27" x14ac:dyDescent="0.25">
      <c r="A3" s="9" t="s">
        <v>39</v>
      </c>
    </row>
    <row r="4" spans="1:27" x14ac:dyDescent="0.25">
      <c r="D4" s="382" t="s">
        <v>12</v>
      </c>
      <c r="E4" s="383"/>
      <c r="F4" s="383"/>
      <c r="G4" s="383"/>
      <c r="H4" s="383"/>
      <c r="I4" s="384"/>
      <c r="J4" s="382" t="s">
        <v>5</v>
      </c>
      <c r="K4" s="383"/>
      <c r="L4" s="383"/>
      <c r="M4" s="383"/>
      <c r="N4" s="383"/>
      <c r="O4" s="384"/>
      <c r="P4" s="382" t="s">
        <v>13</v>
      </c>
      <c r="Q4" s="383"/>
      <c r="R4" s="383"/>
      <c r="S4" s="383"/>
      <c r="T4" s="383"/>
      <c r="U4" s="384"/>
      <c r="V4" s="383" t="s">
        <v>69</v>
      </c>
      <c r="W4" s="383"/>
      <c r="X4" s="383"/>
      <c r="Y4" s="383"/>
      <c r="Z4" s="383"/>
      <c r="AA4" s="384"/>
    </row>
    <row r="5" spans="1:27" x14ac:dyDescent="0.25">
      <c r="B5" s="73" t="s">
        <v>15</v>
      </c>
      <c r="C5" s="13" t="s">
        <v>16</v>
      </c>
      <c r="D5" s="12">
        <v>1</v>
      </c>
      <c r="E5" s="13">
        <v>2</v>
      </c>
      <c r="F5" s="13">
        <v>3</v>
      </c>
      <c r="G5" s="13" t="s">
        <v>4</v>
      </c>
      <c r="H5" s="14" t="s">
        <v>71</v>
      </c>
      <c r="I5" s="15" t="s">
        <v>72</v>
      </c>
      <c r="J5" s="12">
        <v>1</v>
      </c>
      <c r="K5" s="13">
        <v>2</v>
      </c>
      <c r="L5" s="13">
        <v>3</v>
      </c>
      <c r="M5" s="13" t="s">
        <v>4</v>
      </c>
      <c r="N5" s="14" t="s">
        <v>73</v>
      </c>
      <c r="O5" s="15" t="s">
        <v>74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5" t="s">
        <v>18</v>
      </c>
      <c r="V5" s="13">
        <v>1</v>
      </c>
      <c r="W5" s="13">
        <v>2</v>
      </c>
      <c r="X5" s="13">
        <v>3</v>
      </c>
      <c r="Y5" s="13" t="s">
        <v>4</v>
      </c>
      <c r="Z5" s="14" t="s">
        <v>17</v>
      </c>
      <c r="AA5" s="15" t="s">
        <v>18</v>
      </c>
    </row>
    <row r="6" spans="1:27" x14ac:dyDescent="0.25">
      <c r="A6" s="5" t="s">
        <v>19</v>
      </c>
      <c r="B6" s="17">
        <v>42496.318055555559</v>
      </c>
      <c r="C6" s="18">
        <f>(B6-$B$6)*24</f>
        <v>0</v>
      </c>
      <c r="D6" s="19">
        <v>1.6E-2</v>
      </c>
      <c r="E6" s="20">
        <v>1.7000000000000001E-2</v>
      </c>
      <c r="F6" s="20">
        <v>1.7999999999999999E-2</v>
      </c>
      <c r="G6" s="20">
        <v>0</v>
      </c>
      <c r="H6" s="21">
        <f t="shared" ref="H6:H12" si="0">AVERAGE(D6:F6)</f>
        <v>1.7000000000000001E-2</v>
      </c>
      <c r="I6" s="22">
        <f t="shared" ref="I6:I12" si="1">STDEV(D6:F6)</f>
        <v>9.9999999999999915E-4</v>
      </c>
      <c r="J6" s="23">
        <v>6.51</v>
      </c>
      <c r="K6" s="24">
        <v>6.5</v>
      </c>
      <c r="L6" s="24">
        <v>6.5</v>
      </c>
      <c r="M6" s="24">
        <v>6.52</v>
      </c>
      <c r="N6" s="25">
        <f>AVERAGE(J6:L6)</f>
        <v>6.503333333333333</v>
      </c>
      <c r="O6" s="26">
        <f>STDEV(J6:L6)</f>
        <v>5.7735026918961348E-3</v>
      </c>
      <c r="P6" s="23">
        <v>27.93859903131009</v>
      </c>
      <c r="Q6" s="24">
        <v>28.937015613348795</v>
      </c>
      <c r="R6" s="24">
        <v>29.129835900395598</v>
      </c>
      <c r="S6" s="24">
        <v>29.184644224371194</v>
      </c>
      <c r="T6" s="25">
        <f>AVERAGE(P6:R6)</f>
        <v>28.668483515018163</v>
      </c>
      <c r="U6" s="26">
        <f>STDEV(P6:R6)</f>
        <v>0.63940866075034553</v>
      </c>
      <c r="V6" s="24"/>
      <c r="W6" s="24"/>
      <c r="X6" s="24"/>
      <c r="Y6" s="24"/>
      <c r="Z6" s="25"/>
      <c r="AA6" s="26"/>
    </row>
    <row r="7" spans="1:27" x14ac:dyDescent="0.25">
      <c r="A7" s="5" t="s">
        <v>20</v>
      </c>
      <c r="B7" s="17">
        <v>42496.44027777778</v>
      </c>
      <c r="C7" s="28">
        <f>(B7-$B$6)*24</f>
        <v>2.9333333332906477</v>
      </c>
      <c r="D7" s="29">
        <v>2.1000000000000001E-2</v>
      </c>
      <c r="E7" s="30">
        <v>2.1999999999999999E-2</v>
      </c>
      <c r="F7" s="30">
        <v>2.3E-2</v>
      </c>
      <c r="G7" s="30">
        <v>0</v>
      </c>
      <c r="H7" s="31">
        <f t="shared" si="0"/>
        <v>2.2000000000000002E-2</v>
      </c>
      <c r="I7" s="32">
        <f t="shared" si="1"/>
        <v>9.9999999999999915E-4</v>
      </c>
      <c r="J7" s="33">
        <v>6.32</v>
      </c>
      <c r="K7" s="34">
        <v>6.29</v>
      </c>
      <c r="L7" s="34">
        <v>6.28</v>
      </c>
      <c r="M7" s="34">
        <v>6.5</v>
      </c>
      <c r="N7" s="35">
        <f>AVERAGE(J7:L7)</f>
        <v>6.2966666666666669</v>
      </c>
      <c r="O7" s="36">
        <f>STDEV(J7:L7)</f>
        <v>2.0816659994661382E-2</v>
      </c>
      <c r="P7" s="33">
        <v>30.008349893885843</v>
      </c>
      <c r="Q7" s="34">
        <v>30.119101997617847</v>
      </c>
      <c r="R7" s="34">
        <v>30.170324552849635</v>
      </c>
      <c r="S7" s="37">
        <v>30.415744551585149</v>
      </c>
      <c r="T7" s="35">
        <f t="shared" ref="T7:T12" si="2">AVERAGE(P7:R7)</f>
        <v>30.099258814784445</v>
      </c>
      <c r="U7" s="36">
        <f t="shared" ref="U7:U12" si="3">STDEV(P7:R7)</f>
        <v>8.2790467237050885E-2</v>
      </c>
      <c r="V7" s="34">
        <v>0.60306301774720994</v>
      </c>
      <c r="W7" s="34">
        <v>0.65421779418579917</v>
      </c>
      <c r="X7" s="34">
        <v>0.67838201354383543</v>
      </c>
      <c r="Y7" s="34" t="s">
        <v>21</v>
      </c>
      <c r="Z7" s="35">
        <f t="shared" ref="Z7:Z8" si="4">AVERAGE(V7:X7)</f>
        <v>0.64522094182561485</v>
      </c>
      <c r="AA7" s="36">
        <f t="shared" ref="AA7:AA8" si="5">STDEV(V7:X7)</f>
        <v>3.8457057820980502E-2</v>
      </c>
    </row>
    <row r="8" spans="1:27" x14ac:dyDescent="0.25">
      <c r="A8" s="5" t="s">
        <v>22</v>
      </c>
      <c r="B8" s="17">
        <v>42496.583333333336</v>
      </c>
      <c r="C8" s="28">
        <f>(B8-$B$6)*24</f>
        <v>6.3666666666395031</v>
      </c>
      <c r="D8" s="29">
        <v>3.7999999999999999E-2</v>
      </c>
      <c r="E8" s="30">
        <v>3.9E-2</v>
      </c>
      <c r="F8" s="30">
        <v>4.2000000000000003E-2</v>
      </c>
      <c r="G8" s="30">
        <v>0</v>
      </c>
      <c r="H8" s="31">
        <f t="shared" si="0"/>
        <v>3.9666666666666663E-2</v>
      </c>
      <c r="I8" s="32">
        <f t="shared" si="1"/>
        <v>2.0816659994661348E-3</v>
      </c>
      <c r="J8" s="33">
        <v>5.53</v>
      </c>
      <c r="K8" s="34">
        <v>5.37</v>
      </c>
      <c r="L8" s="34">
        <v>5.21</v>
      </c>
      <c r="M8" s="34">
        <v>6.51</v>
      </c>
      <c r="N8" s="35">
        <f>AVERAGE(J8:L8)</f>
        <v>5.37</v>
      </c>
      <c r="O8" s="36">
        <f>STDEV(J8:L8)</f>
        <v>0.16000000000000014</v>
      </c>
      <c r="P8" s="126">
        <v>28.244919685166657</v>
      </c>
      <c r="Q8" s="34">
        <v>29.630235033838709</v>
      </c>
      <c r="R8" s="34">
        <v>29.720353042956365</v>
      </c>
      <c r="S8" s="34">
        <v>30.75979728192188</v>
      </c>
      <c r="T8" s="35">
        <f t="shared" si="2"/>
        <v>29.198502587320576</v>
      </c>
      <c r="U8" s="36">
        <f t="shared" si="3"/>
        <v>0.82705536534868784</v>
      </c>
      <c r="V8" s="34">
        <v>1.8405151710204448</v>
      </c>
      <c r="W8" s="34">
        <v>2.025480809231043</v>
      </c>
      <c r="X8" s="34">
        <v>2.14665741785472</v>
      </c>
      <c r="Y8" s="34" t="s">
        <v>21</v>
      </c>
      <c r="Z8" s="35">
        <f t="shared" si="4"/>
        <v>2.0042177993687358</v>
      </c>
      <c r="AA8" s="36">
        <f t="shared" si="5"/>
        <v>0.15417475641455702</v>
      </c>
    </row>
    <row r="9" spans="1:27" x14ac:dyDescent="0.25">
      <c r="A9" s="5" t="s">
        <v>23</v>
      </c>
      <c r="B9" s="17">
        <v>42496.689583333333</v>
      </c>
      <c r="C9" s="18">
        <f>(B9-$B$6)*24</f>
        <v>8.9166666665696539</v>
      </c>
      <c r="D9" s="19">
        <v>4.3999999999999997E-2</v>
      </c>
      <c r="E9" s="20">
        <v>4.3999999999999997E-2</v>
      </c>
      <c r="F9" s="20">
        <v>4.4999999999999998E-2</v>
      </c>
      <c r="G9" s="20">
        <v>0</v>
      </c>
      <c r="H9" s="21">
        <f t="shared" si="0"/>
        <v>4.4333333333333336E-2</v>
      </c>
      <c r="I9" s="22">
        <f t="shared" si="1"/>
        <v>5.7735026918962634E-4</v>
      </c>
      <c r="J9" s="23">
        <v>4.62</v>
      </c>
      <c r="K9" s="24">
        <v>4.59</v>
      </c>
      <c r="L9" s="24">
        <v>4.57</v>
      </c>
      <c r="M9" s="24">
        <v>6.49</v>
      </c>
      <c r="N9" s="25">
        <f>AVERAGE(J9:L9)</f>
        <v>4.5933333333333337</v>
      </c>
      <c r="O9" s="26">
        <f>STDEV(J9:L9)</f>
        <v>2.5166114784235766E-2</v>
      </c>
      <c r="P9" s="23">
        <v>27.865825770975633</v>
      </c>
      <c r="Q9" s="24">
        <v>27.868414343752001</v>
      </c>
      <c r="R9" s="24">
        <v>27.974502277251091</v>
      </c>
      <c r="S9" s="24">
        <v>29.393274728600275</v>
      </c>
      <c r="T9" s="25">
        <f t="shared" si="2"/>
        <v>27.902914130659571</v>
      </c>
      <c r="U9" s="26">
        <f t="shared" si="3"/>
        <v>6.201066220063231E-2</v>
      </c>
      <c r="V9" s="24">
        <v>2.6048284994326982</v>
      </c>
      <c r="W9" s="24">
        <v>2.6026764015156596</v>
      </c>
      <c r="X9" s="24">
        <v>2.6345463891495013</v>
      </c>
      <c r="Y9" s="24"/>
      <c r="Z9" s="25">
        <f>AVERAGE(V9:X9)</f>
        <v>2.6140170966992864</v>
      </c>
      <c r="AA9" s="26">
        <f>STDEV(V9:X9)</f>
        <v>1.7811422395220714E-2</v>
      </c>
    </row>
    <row r="10" spans="1:27" x14ac:dyDescent="0.25">
      <c r="A10" s="5" t="s">
        <v>24</v>
      </c>
      <c r="B10" s="17">
        <v>42496.805555555555</v>
      </c>
      <c r="C10" s="39">
        <f>(B10-$B$6)*24</f>
        <v>11.699999999895226</v>
      </c>
      <c r="D10" s="40">
        <v>4.3999999999999997E-2</v>
      </c>
      <c r="E10" s="41">
        <v>4.4999999999999998E-2</v>
      </c>
      <c r="F10" s="41">
        <v>4.5999999999999999E-2</v>
      </c>
      <c r="G10" s="41">
        <v>0</v>
      </c>
      <c r="H10" s="42">
        <f t="shared" si="0"/>
        <v>4.5000000000000005E-2</v>
      </c>
      <c r="I10" s="43">
        <f t="shared" si="1"/>
        <v>1.0000000000000009E-3</v>
      </c>
      <c r="J10" s="45">
        <v>4.47</v>
      </c>
      <c r="K10" s="45">
        <v>4.45</v>
      </c>
      <c r="L10" s="45">
        <v>4.45</v>
      </c>
      <c r="M10" s="45">
        <v>6.48</v>
      </c>
      <c r="N10" s="46">
        <f>AVERAGE(J10:L10)</f>
        <v>4.456666666666667</v>
      </c>
      <c r="O10" s="47">
        <f>STDEV(J10:L10)</f>
        <v>1.154700538379227E-2</v>
      </c>
      <c r="P10" s="44">
        <v>27.812113614356431</v>
      </c>
      <c r="Q10" s="45">
        <v>27.720045795488051</v>
      </c>
      <c r="R10" s="45">
        <v>27.72129891607792</v>
      </c>
      <c r="S10" s="45">
        <v>29.329254951425202</v>
      </c>
      <c r="T10" s="46">
        <f t="shared" si="2"/>
        <v>27.751152775307464</v>
      </c>
      <c r="U10" s="47">
        <f t="shared" si="3"/>
        <v>5.2797353162525075E-2</v>
      </c>
      <c r="V10" s="45">
        <v>2.7855149676334801</v>
      </c>
      <c r="W10" s="45">
        <v>2.7830085483153804</v>
      </c>
      <c r="X10" s="45">
        <v>2.7788770942074446</v>
      </c>
      <c r="Y10" s="45"/>
      <c r="Z10" s="46">
        <f>AVERAGE(V10:X10)</f>
        <v>2.7824668700521014</v>
      </c>
      <c r="AA10" s="47">
        <f>STDEV(V10:X10)</f>
        <v>3.3519251797584242E-3</v>
      </c>
    </row>
    <row r="11" spans="1:27" ht="18.75" x14ac:dyDescent="0.35">
      <c r="B11" s="17"/>
      <c r="C11" s="48" t="s">
        <v>25</v>
      </c>
      <c r="D11" s="24">
        <f>LN(LOGEST(D7:D8,$C$7:$C$8))</f>
        <v>0.17273700640784889</v>
      </c>
      <c r="E11" s="24">
        <f t="shared" ref="E11:F11" si="6">LN(LOGEST(E7:E8,$C$7:$C$8))</f>
        <v>0.16675316294235218</v>
      </c>
      <c r="F11" s="24">
        <f t="shared" si="6"/>
        <v>0.17539089388878532</v>
      </c>
      <c r="G11" s="20"/>
      <c r="H11" s="25">
        <f t="shared" si="0"/>
        <v>0.17162702107966213</v>
      </c>
      <c r="I11" s="26">
        <f t="shared" si="1"/>
        <v>4.4245507735062306E-3</v>
      </c>
      <c r="K11" s="55"/>
      <c r="M11" s="50"/>
      <c r="N11" s="49"/>
      <c r="O11" s="50" t="s">
        <v>26</v>
      </c>
      <c r="P11" s="23">
        <f>(P7-P8)</f>
        <v>1.7634302087191855</v>
      </c>
      <c r="Q11" s="24">
        <f t="shared" ref="Q11:R11" si="7">(Q7-Q8)</f>
        <v>0.48886696377913808</v>
      </c>
      <c r="R11" s="24">
        <f t="shared" si="7"/>
        <v>0.44997150989327039</v>
      </c>
      <c r="S11" s="24"/>
      <c r="T11" s="25">
        <f t="shared" si="2"/>
        <v>0.90075622746386463</v>
      </c>
      <c r="U11" s="51">
        <f t="shared" si="3"/>
        <v>0.74735066236300773</v>
      </c>
      <c r="V11" s="24">
        <f>V8-V7</f>
        <v>1.2374521532732348</v>
      </c>
      <c r="W11" s="24">
        <f t="shared" ref="W11:X11" si="8">W8-W7</f>
        <v>1.3712630150452438</v>
      </c>
      <c r="X11" s="24">
        <f t="shared" si="8"/>
        <v>1.4682754043108845</v>
      </c>
      <c r="Y11" s="24"/>
      <c r="Z11" s="25">
        <f>AVERAGE(V11:X11)</f>
        <v>1.3589968575431211</v>
      </c>
      <c r="AA11" s="51">
        <f>STDEV(V11:X11)</f>
        <v>0.11589947053286151</v>
      </c>
    </row>
    <row r="12" spans="1:27" ht="18" x14ac:dyDescent="0.35">
      <c r="A12" s="52" t="s">
        <v>27</v>
      </c>
      <c r="B12" s="53"/>
      <c r="C12" s="54" t="s">
        <v>28</v>
      </c>
      <c r="D12" s="55">
        <f>D10*0.46</f>
        <v>2.0240000000000001E-2</v>
      </c>
      <c r="E12" s="55">
        <f t="shared" ref="E12:F12" si="9">E10*0.46</f>
        <v>2.07E-2</v>
      </c>
      <c r="F12" s="55">
        <f t="shared" si="9"/>
        <v>2.1160000000000002E-2</v>
      </c>
      <c r="G12" s="55"/>
      <c r="H12" s="25">
        <f t="shared" si="0"/>
        <v>2.07E-2</v>
      </c>
      <c r="I12" s="26">
        <f t="shared" si="1"/>
        <v>4.6000000000000034E-4</v>
      </c>
      <c r="K12" s="55"/>
      <c r="M12" s="50"/>
      <c r="N12" s="49"/>
      <c r="O12" s="50" t="s">
        <v>29</v>
      </c>
      <c r="P12" s="23">
        <f>(D8-D7)*0.46</f>
        <v>7.8199999999999988E-3</v>
      </c>
      <c r="Q12" s="24">
        <f t="shared" ref="Q12:R12" si="10">(E8-E7)*0.46</f>
        <v>7.8200000000000006E-3</v>
      </c>
      <c r="R12" s="24">
        <f t="shared" si="10"/>
        <v>8.7400000000000012E-3</v>
      </c>
      <c r="S12" s="24"/>
      <c r="T12" s="25">
        <f t="shared" si="2"/>
        <v>8.1266666666666675E-3</v>
      </c>
      <c r="U12" s="26">
        <f t="shared" si="3"/>
        <v>5.3116224765445657E-4</v>
      </c>
      <c r="V12" s="24"/>
      <c r="W12" s="24"/>
      <c r="X12" s="24"/>
      <c r="Y12" s="24"/>
      <c r="Z12" s="25"/>
      <c r="AA12" s="26"/>
    </row>
    <row r="13" spans="1:27" ht="18" x14ac:dyDescent="0.35">
      <c r="B13" s="17"/>
      <c r="C13" s="56"/>
      <c r="D13" s="55"/>
      <c r="E13" s="55"/>
      <c r="F13" s="55"/>
      <c r="H13" s="20"/>
      <c r="I13" s="58"/>
      <c r="M13" s="50"/>
      <c r="N13" s="49"/>
      <c r="O13" s="50" t="s">
        <v>30</v>
      </c>
      <c r="P13" s="23">
        <f>P12/(P11/1000*180.16)</f>
        <v>2.4614448160105901E-2</v>
      </c>
      <c r="Q13" s="24">
        <f t="shared" ref="Q13:R13" si="11">Q12/(Q11/1000*180.16)</f>
        <v>8.8788698505905109E-2</v>
      </c>
      <c r="R13" s="24">
        <f t="shared" si="11"/>
        <v>0.10781223327682841</v>
      </c>
      <c r="S13" s="24"/>
      <c r="T13" s="25">
        <f>AVERAGE(P13:R13)</f>
        <v>7.3738459980946469E-2</v>
      </c>
      <c r="U13" s="26">
        <f>STDEV(P13:R13)</f>
        <v>4.3593005423183402E-2</v>
      </c>
      <c r="V13" s="24">
        <f>(V11/1000*90.08)/(P11/1000*180.16)</f>
        <v>0.35086507738007416</v>
      </c>
      <c r="W13" s="24">
        <f>(W11/1000*90.08)/(Q11/1000*180.16)</f>
        <v>1.4024909808231156</v>
      </c>
      <c r="X13" s="24">
        <f>(X11/1000*90.08)/(R11/1000*180.16)</f>
        <v>1.6315204096578775</v>
      </c>
      <c r="Y13" s="24"/>
      <c r="Z13" s="25">
        <f>AVERAGE(V13:X13)</f>
        <v>1.1282921559536891</v>
      </c>
      <c r="AA13" s="26">
        <f>STDEV(V13:X13)</f>
        <v>0.68294089546074421</v>
      </c>
    </row>
    <row r="14" spans="1:27" ht="18" x14ac:dyDescent="0.35">
      <c r="B14" s="17"/>
      <c r="C14" s="56"/>
      <c r="D14" s="55"/>
      <c r="E14" s="55"/>
      <c r="F14" s="55"/>
      <c r="H14" s="20"/>
      <c r="I14" s="59"/>
      <c r="M14" s="98"/>
      <c r="O14" s="98" t="s">
        <v>31</v>
      </c>
      <c r="P14" s="23"/>
      <c r="Q14" s="24"/>
      <c r="R14" s="24"/>
      <c r="S14" s="24"/>
      <c r="T14" s="25"/>
      <c r="U14" s="26"/>
      <c r="V14" s="24">
        <f>(V11/1000*90.08)/P12</f>
        <v>14.254436057142327</v>
      </c>
      <c r="W14" s="24">
        <f>(W11/1000*90.08)/Q12</f>
        <v>15.795827672030123</v>
      </c>
      <c r="X14" s="24">
        <f>(X11/1000*90.08)/R12</f>
        <v>15.132980368458176</v>
      </c>
      <c r="Y14" s="24"/>
      <c r="Z14" s="25">
        <f>AVERAGE(V14:X14)</f>
        <v>15.061081365876875</v>
      </c>
      <c r="AA14" s="26">
        <f>STDEV(V14:X14)</f>
        <v>0.7732070405400755</v>
      </c>
    </row>
    <row r="15" spans="1:27" ht="18.75" x14ac:dyDescent="0.35">
      <c r="B15" s="17"/>
      <c r="C15" s="56"/>
      <c r="D15" s="55"/>
      <c r="E15" s="55"/>
      <c r="F15" s="55"/>
      <c r="H15" s="20"/>
      <c r="I15" s="59"/>
      <c r="M15" s="98"/>
      <c r="O15" s="54" t="s">
        <v>32</v>
      </c>
      <c r="P15" s="23">
        <f>D11*(P11)</f>
        <v>0.30460965526332029</v>
      </c>
      <c r="Q15" s="24">
        <f t="shared" ref="Q15:R15" si="12">E11*(Q11)</f>
        <v>8.1520112468195585E-2</v>
      </c>
      <c r="R15" s="24">
        <f t="shared" si="12"/>
        <v>7.89209053446671E-2</v>
      </c>
      <c r="S15" s="24"/>
      <c r="T15" s="25">
        <f t="shared" ref="T15" si="13">AVERAGE(P15:R15)</f>
        <v>0.15501689102539432</v>
      </c>
      <c r="U15" s="26">
        <f t="shared" ref="U15" si="14">STDEV(P15:R15)</f>
        <v>0.12955765243194059</v>
      </c>
      <c r="V15" s="24">
        <f>D11*(V11)</f>
        <v>0.21375378052936517</v>
      </c>
      <c r="W15" s="24">
        <f t="shared" ref="W15:X15" si="15">E11*(W11)</f>
        <v>0.22866244498466068</v>
      </c>
      <c r="X15" s="24">
        <f t="shared" si="15"/>
        <v>0.25752213563700371</v>
      </c>
      <c r="Y15" s="24"/>
      <c r="Z15" s="25">
        <f>AVERAGE(V15:X15)</f>
        <v>0.23331278705034317</v>
      </c>
      <c r="AA15" s="26">
        <f>STDEV(V15:X15)</f>
        <v>2.2251662594129442E-2</v>
      </c>
    </row>
    <row r="16" spans="1:27" ht="18.75" x14ac:dyDescent="0.35">
      <c r="B16" s="17"/>
      <c r="C16" s="61"/>
      <c r="D16" s="45"/>
      <c r="E16" s="45"/>
      <c r="F16" s="45"/>
      <c r="G16" s="62"/>
      <c r="H16" s="62"/>
      <c r="I16" s="63"/>
      <c r="J16" s="64"/>
      <c r="K16" s="62"/>
      <c r="L16" s="62"/>
      <c r="M16" s="65"/>
      <c r="N16" s="62"/>
      <c r="O16" s="65" t="s">
        <v>33</v>
      </c>
      <c r="P16" s="66">
        <f>D11*(P11/P12)</f>
        <v>38.952641338020499</v>
      </c>
      <c r="Q16" s="67">
        <f>E11*(Q11/Q12)</f>
        <v>10.424566811789717</v>
      </c>
      <c r="R16" s="67">
        <f>F11*(R11/R12)</f>
        <v>9.0298518700992094</v>
      </c>
      <c r="S16" s="45"/>
      <c r="T16" s="46">
        <f>AVERAGE(P16:R16)</f>
        <v>19.469020006636473</v>
      </c>
      <c r="U16" s="47">
        <f>STDEV(P16:R16)</f>
        <v>16.887715434028237</v>
      </c>
      <c r="V16" s="45">
        <f>D11*(V11/P12)</f>
        <v>27.334243034445677</v>
      </c>
      <c r="W16" s="45">
        <f>E11*(W11/Q12)</f>
        <v>29.240721865046119</v>
      </c>
      <c r="X16" s="45">
        <f>F11*(X11/R12)</f>
        <v>29.464775244508427</v>
      </c>
      <c r="Y16" s="45"/>
      <c r="Z16" s="46">
        <f>AVERAGE(V16:X16)</f>
        <v>28.679913381333407</v>
      </c>
      <c r="AA16" s="47">
        <f>STDEV(V16:X16)</f>
        <v>1.1707568027057667</v>
      </c>
    </row>
    <row r="17" spans="1:26" x14ac:dyDescent="0.25">
      <c r="B17" s="17"/>
      <c r="C17" s="68"/>
      <c r="D17" s="55"/>
      <c r="E17" s="55"/>
      <c r="F17" s="55"/>
      <c r="I17" s="69" t="s">
        <v>34</v>
      </c>
      <c r="J17" s="55">
        <f>P12/(J7-J8)</f>
        <v>9.898734177215188E-3</v>
      </c>
      <c r="K17" s="55">
        <f>Q12/(K7-K8)</f>
        <v>8.5000000000000006E-3</v>
      </c>
      <c r="L17" s="55">
        <f>R12/(L7-L8)</f>
        <v>8.16822429906542E-3</v>
      </c>
      <c r="N17" s="70">
        <f>AVERAGE(J17:L17)</f>
        <v>8.8556528254268695E-3</v>
      </c>
      <c r="O17" s="26">
        <f>STDEV(J17:L17)</f>
        <v>9.184404220030102E-4</v>
      </c>
      <c r="T17" s="55"/>
      <c r="U17" s="55"/>
    </row>
    <row r="18" spans="1:26" x14ac:dyDescent="0.25">
      <c r="B18" s="17"/>
      <c r="C18" s="68"/>
      <c r="D18" s="55"/>
      <c r="E18" s="55"/>
      <c r="F18" s="55"/>
      <c r="I18" s="127"/>
      <c r="T18" s="55"/>
      <c r="U18" s="55"/>
    </row>
    <row r="19" spans="1:26" x14ac:dyDescent="0.25">
      <c r="B19" s="17"/>
      <c r="C19" s="68"/>
      <c r="D19" s="55"/>
      <c r="E19" s="55"/>
      <c r="F19" s="55"/>
      <c r="O19" s="9" t="s">
        <v>35</v>
      </c>
      <c r="P19" s="5">
        <f>P11/1000*6</f>
        <v>1.0580581252315112E-2</v>
      </c>
      <c r="Q19" s="5">
        <f>Q11/1000*6</f>
        <v>2.9332017826748285E-3</v>
      </c>
      <c r="R19" s="5">
        <f>R11/1000*6</f>
        <v>2.6998290593596226E-3</v>
      </c>
      <c r="T19" s="55"/>
      <c r="U19" s="55"/>
      <c r="V19" s="5">
        <f>V11/1000*3</f>
        <v>3.7123564598197044E-3</v>
      </c>
      <c r="W19" s="5">
        <f>W11/1000*3</f>
        <v>4.1137890451357316E-3</v>
      </c>
      <c r="X19" s="5">
        <f>X11/1000*3</f>
        <v>4.404826212932653E-3</v>
      </c>
      <c r="Z19" s="55"/>
    </row>
    <row r="20" spans="1:26" x14ac:dyDescent="0.25">
      <c r="B20" s="17"/>
      <c r="C20" s="68"/>
      <c r="D20" s="55"/>
      <c r="E20" s="55"/>
      <c r="F20" s="55"/>
      <c r="O20" s="9" t="s">
        <v>36</v>
      </c>
      <c r="P20" s="5">
        <f>P12*0.5/12.01</f>
        <v>3.255620316402997E-4</v>
      </c>
      <c r="Q20" s="5">
        <f>Q12*0.5/12.01</f>
        <v>3.2556203164029975E-4</v>
      </c>
      <c r="R20" s="5">
        <f>R12*0.5/12.01</f>
        <v>3.6386344712739389E-4</v>
      </c>
      <c r="T20" s="71" t="s">
        <v>17</v>
      </c>
      <c r="U20" s="51" t="s">
        <v>18</v>
      </c>
      <c r="Z20" s="55"/>
    </row>
    <row r="21" spans="1:26" x14ac:dyDescent="0.25">
      <c r="B21" s="17"/>
      <c r="C21" s="68"/>
      <c r="D21" s="55"/>
      <c r="E21" s="55"/>
      <c r="F21" s="55"/>
      <c r="O21" s="9" t="s">
        <v>37</v>
      </c>
      <c r="P21" s="5">
        <f>(P19-V19-P20)/P19</f>
        <v>0.61836515450637675</v>
      </c>
      <c r="Q21" s="5">
        <f t="shared" ref="Q21:R21" si="16">(Q19-W19-Q20)/Q19</f>
        <v>-0.5134830147033812</v>
      </c>
      <c r="R21" s="5">
        <f t="shared" si="16"/>
        <v>-0.76629318198061813</v>
      </c>
      <c r="T21" s="72">
        <f>AVERAGE(P21:R21)</f>
        <v>-0.22047034739254087</v>
      </c>
      <c r="U21" s="47">
        <f>STDEV(P21:R21)</f>
        <v>0.73736828966547852</v>
      </c>
      <c r="Z21" s="55"/>
    </row>
    <row r="22" spans="1:26" x14ac:dyDescent="0.25">
      <c r="B22" s="17"/>
      <c r="C22" s="68"/>
      <c r="D22" s="55"/>
      <c r="E22" s="55"/>
      <c r="F22" s="55"/>
      <c r="T22" s="55"/>
      <c r="U22" s="55"/>
      <c r="Z22" s="55"/>
    </row>
    <row r="23" spans="1:26" x14ac:dyDescent="0.25">
      <c r="B23" s="17"/>
      <c r="C23" s="68"/>
      <c r="D23" s="55"/>
      <c r="E23" s="55"/>
      <c r="F23" s="55"/>
      <c r="T23" s="55"/>
      <c r="U23" s="55"/>
      <c r="Z23" s="55"/>
    </row>
    <row r="24" spans="1:26" x14ac:dyDescent="0.25">
      <c r="B24" s="17"/>
      <c r="C24" s="68"/>
      <c r="D24" s="55"/>
      <c r="E24" s="55"/>
      <c r="F24" s="55"/>
      <c r="T24" s="55"/>
      <c r="U24" s="55"/>
      <c r="Z24" s="55"/>
    </row>
    <row r="25" spans="1:26" x14ac:dyDescent="0.25">
      <c r="A25" s="9"/>
      <c r="C25" s="73"/>
      <c r="D25" s="1"/>
      <c r="E25" s="74"/>
      <c r="F25" s="73"/>
      <c r="G25" s="1"/>
      <c r="H25" s="74"/>
      <c r="I25" s="73"/>
      <c r="J25" s="1"/>
      <c r="K25" s="74"/>
    </row>
    <row r="26" spans="1:26" x14ac:dyDescent="0.25">
      <c r="E26" s="55"/>
      <c r="H26" s="55"/>
      <c r="K26" s="55"/>
    </row>
  </sheetData>
  <mergeCells count="4">
    <mergeCell ref="D4:I4"/>
    <mergeCell ref="J4:O4"/>
    <mergeCell ref="P4:U4"/>
    <mergeCell ref="V4:AA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545EA-0B57-4A3C-87BE-2F1DE51B8289}">
  <dimension ref="A1:AC35"/>
  <sheetViews>
    <sheetView zoomScaleNormal="100" workbookViewId="0"/>
  </sheetViews>
  <sheetFormatPr defaultColWidth="8.7109375" defaultRowHeight="15" x14ac:dyDescent="0.25"/>
  <cols>
    <col min="1" max="1" width="8.7109375" style="5"/>
    <col min="2" max="2" width="14.85546875" style="5" customWidth="1"/>
    <col min="3" max="9" width="8.7109375" style="5"/>
    <col min="10" max="10" width="9.140625" style="5" customWidth="1"/>
    <col min="11" max="14" width="8.7109375" style="5"/>
    <col min="15" max="15" width="11.85546875" style="5" bestFit="1" customWidth="1"/>
    <col min="16" max="16384" width="8.7109375" style="5"/>
  </cols>
  <sheetData>
    <row r="1" spans="1:29" x14ac:dyDescent="0.25">
      <c r="A1" s="8" t="s">
        <v>75</v>
      </c>
      <c r="D1" s="5">
        <v>20160219</v>
      </c>
    </row>
    <row r="2" spans="1:29" x14ac:dyDescent="0.25">
      <c r="A2" s="9" t="s">
        <v>68</v>
      </c>
    </row>
    <row r="3" spans="1:29" x14ac:dyDescent="0.25">
      <c r="A3" s="9" t="s">
        <v>42</v>
      </c>
    </row>
    <row r="4" spans="1:29" x14ac:dyDescent="0.25">
      <c r="D4" s="382" t="s">
        <v>12</v>
      </c>
      <c r="E4" s="383"/>
      <c r="F4" s="383"/>
      <c r="G4" s="383"/>
      <c r="H4" s="383"/>
      <c r="I4" s="384"/>
      <c r="J4" s="382" t="s">
        <v>5</v>
      </c>
      <c r="K4" s="383"/>
      <c r="L4" s="383"/>
      <c r="M4" s="383"/>
      <c r="N4" s="383"/>
      <c r="O4" s="384"/>
      <c r="P4" s="382" t="s">
        <v>13</v>
      </c>
      <c r="Q4" s="383"/>
      <c r="R4" s="383"/>
      <c r="S4" s="383"/>
      <c r="T4" s="383"/>
      <c r="U4" s="384"/>
      <c r="V4" s="383" t="s">
        <v>69</v>
      </c>
      <c r="W4" s="383"/>
      <c r="X4" s="383"/>
      <c r="Y4" s="383"/>
      <c r="Z4" s="383"/>
      <c r="AA4" s="384"/>
      <c r="AB4" s="81" t="s">
        <v>76</v>
      </c>
      <c r="AC4" s="81" t="s">
        <v>77</v>
      </c>
    </row>
    <row r="5" spans="1:29" x14ac:dyDescent="0.25">
      <c r="B5" s="73" t="s">
        <v>15</v>
      </c>
      <c r="C5" s="13" t="s">
        <v>16</v>
      </c>
      <c r="D5" s="12">
        <v>1</v>
      </c>
      <c r="E5" s="13">
        <v>2</v>
      </c>
      <c r="F5" s="13">
        <v>3</v>
      </c>
      <c r="G5" s="13" t="s">
        <v>4</v>
      </c>
      <c r="H5" s="14" t="s">
        <v>17</v>
      </c>
      <c r="I5" s="15" t="s">
        <v>18</v>
      </c>
      <c r="J5" s="12">
        <v>1</v>
      </c>
      <c r="K5" s="13">
        <v>2</v>
      </c>
      <c r="L5" s="13">
        <v>3</v>
      </c>
      <c r="M5" s="13" t="s">
        <v>4</v>
      </c>
      <c r="N5" s="14" t="s">
        <v>17</v>
      </c>
      <c r="O5" s="15" t="s">
        <v>18</v>
      </c>
      <c r="P5" s="12">
        <v>1</v>
      </c>
      <c r="Q5" s="13">
        <v>2</v>
      </c>
      <c r="R5" s="13">
        <v>3</v>
      </c>
      <c r="S5" s="13" t="s">
        <v>4</v>
      </c>
      <c r="T5" s="14" t="s">
        <v>17</v>
      </c>
      <c r="U5" s="15" t="s">
        <v>18</v>
      </c>
      <c r="V5" s="13">
        <v>1</v>
      </c>
      <c r="W5" s="13">
        <v>2</v>
      </c>
      <c r="X5" s="13">
        <v>3</v>
      </c>
      <c r="Y5" s="13" t="s">
        <v>4</v>
      </c>
      <c r="Z5" s="14" t="s">
        <v>17</v>
      </c>
      <c r="AA5" s="15" t="s">
        <v>18</v>
      </c>
      <c r="AB5" s="82" t="s">
        <v>45</v>
      </c>
      <c r="AC5" s="82" t="s">
        <v>45</v>
      </c>
    </row>
    <row r="6" spans="1:29" x14ac:dyDescent="0.25">
      <c r="A6" s="5" t="s">
        <v>19</v>
      </c>
      <c r="B6" s="17">
        <v>42419.27847222222</v>
      </c>
      <c r="C6" s="18">
        <f>(B6-$B$6)*24</f>
        <v>0</v>
      </c>
      <c r="D6" s="19">
        <v>2.3E-2</v>
      </c>
      <c r="E6" s="20">
        <v>2.1999999999999999E-2</v>
      </c>
      <c r="F6" s="20">
        <v>2.1000000000000001E-2</v>
      </c>
      <c r="G6" s="20">
        <v>1E-3</v>
      </c>
      <c r="H6" s="21">
        <f>AVERAGE(D6:F6)</f>
        <v>2.2000000000000002E-2</v>
      </c>
      <c r="I6" s="22">
        <f t="shared" ref="I6:I12" si="0">STDEV(D6:F6)</f>
        <v>9.9999999999999915E-4</v>
      </c>
      <c r="J6" s="23">
        <v>7.01</v>
      </c>
      <c r="K6" s="24">
        <v>7</v>
      </c>
      <c r="L6" s="24">
        <v>7.01</v>
      </c>
      <c r="M6" s="24">
        <v>7.02</v>
      </c>
      <c r="N6" s="25">
        <f>AVERAGE(J6:L6)</f>
        <v>7.0066666666666668</v>
      </c>
      <c r="O6" s="26">
        <f>STDEV(J6:L6)</f>
        <v>5.7735026918961348E-3</v>
      </c>
      <c r="P6" s="23">
        <v>28.392777394545924</v>
      </c>
      <c r="Q6" s="24">
        <v>29.373517657034903</v>
      </c>
      <c r="R6" s="24">
        <v>29.154057666268457</v>
      </c>
      <c r="S6" s="24">
        <v>29.330265891619327</v>
      </c>
      <c r="T6" s="25">
        <f>AVERAGE(P6:R6)</f>
        <v>28.973450905949761</v>
      </c>
      <c r="U6" s="26">
        <f>STDEV(P6:R6)</f>
        <v>0.51471056626161182</v>
      </c>
      <c r="V6" s="24"/>
      <c r="W6" s="24"/>
      <c r="X6" s="24"/>
      <c r="Y6" s="24"/>
      <c r="Z6" s="25"/>
      <c r="AA6" s="26"/>
      <c r="AB6" s="87">
        <f>H6*0.46</f>
        <v>1.0120000000000002E-2</v>
      </c>
      <c r="AC6" s="88">
        <f>I6*0.46</f>
        <v>4.5999999999999963E-4</v>
      </c>
    </row>
    <row r="7" spans="1:29" x14ac:dyDescent="0.25">
      <c r="A7" s="5" t="s">
        <v>20</v>
      </c>
      <c r="B7" s="17">
        <v>42419.399305555555</v>
      </c>
      <c r="C7" s="28">
        <f>(B7-$B$6)*24</f>
        <v>2.9000000000232831</v>
      </c>
      <c r="D7" s="29">
        <v>2.7E-2</v>
      </c>
      <c r="E7" s="30">
        <v>2.8000000000000001E-2</v>
      </c>
      <c r="F7" s="30">
        <v>2.9000000000000001E-2</v>
      </c>
      <c r="G7" s="30">
        <v>0</v>
      </c>
      <c r="H7" s="31">
        <f t="shared" ref="H7:H12" si="1">AVERAGE(D7:F7)</f>
        <v>2.8000000000000001E-2</v>
      </c>
      <c r="I7" s="32">
        <f t="shared" si="0"/>
        <v>1.0000000000000009E-3</v>
      </c>
      <c r="J7" s="33">
        <v>6.78</v>
      </c>
      <c r="K7" s="34">
        <v>6.78</v>
      </c>
      <c r="L7" s="34">
        <v>6.77</v>
      </c>
      <c r="M7" s="34">
        <v>6.99</v>
      </c>
      <c r="N7" s="35">
        <f>AVERAGE(J7:L7)</f>
        <v>6.7766666666666664</v>
      </c>
      <c r="O7" s="36">
        <f>STDEV(J7:L7)</f>
        <v>5.7735026918966474E-3</v>
      </c>
      <c r="P7" s="33">
        <v>28.78427746835451</v>
      </c>
      <c r="Q7" s="34">
        <v>29.664788084625044</v>
      </c>
      <c r="R7" s="34">
        <v>29.747763892036232</v>
      </c>
      <c r="S7" s="37">
        <v>29.768730561972198</v>
      </c>
      <c r="T7" s="35">
        <f>AVERAGE(P7:R7)</f>
        <v>29.398943148338599</v>
      </c>
      <c r="U7" s="36">
        <f>STDEV(P7:R7)</f>
        <v>0.53393039786718299</v>
      </c>
      <c r="V7" s="34">
        <v>0.83025458617300574</v>
      </c>
      <c r="W7" s="34">
        <v>0.85034830548055518</v>
      </c>
      <c r="X7" s="34">
        <v>0.85116667404232071</v>
      </c>
      <c r="Y7" s="34" t="s">
        <v>21</v>
      </c>
      <c r="Z7" s="35">
        <f t="shared" ref="Z7" si="2">AVERAGE(V7:X7)</f>
        <v>0.84392318856529391</v>
      </c>
      <c r="AA7" s="36">
        <f t="shared" ref="AA7" si="3">STDEV(V7:X7)</f>
        <v>1.1844426971980127E-2</v>
      </c>
      <c r="AB7" s="87">
        <f t="shared" ref="AB7:AC10" si="4">H7*0.46</f>
        <v>1.2880000000000001E-2</v>
      </c>
      <c r="AC7" s="88">
        <f t="shared" si="4"/>
        <v>4.6000000000000045E-4</v>
      </c>
    </row>
    <row r="8" spans="1:29" x14ac:dyDescent="0.25">
      <c r="A8" s="5" t="s">
        <v>22</v>
      </c>
      <c r="B8" s="17">
        <v>42419.52847222222</v>
      </c>
      <c r="C8" s="28">
        <f>(B8-$B$6)*24</f>
        <v>6</v>
      </c>
      <c r="D8" s="29">
        <v>4.8000000000000001E-2</v>
      </c>
      <c r="E8" s="30">
        <v>4.8000000000000001E-2</v>
      </c>
      <c r="F8" s="30">
        <v>4.9000000000000002E-2</v>
      </c>
      <c r="G8" s="30">
        <v>0</v>
      </c>
      <c r="H8" s="31">
        <f t="shared" si="1"/>
        <v>4.8333333333333339E-2</v>
      </c>
      <c r="I8" s="32">
        <f t="shared" si="0"/>
        <v>5.7735026918962634E-4</v>
      </c>
      <c r="J8" s="33">
        <v>6.29</v>
      </c>
      <c r="K8" s="34">
        <v>6.31</v>
      </c>
      <c r="L8" s="34">
        <v>6.3</v>
      </c>
      <c r="M8" s="34">
        <v>6.99</v>
      </c>
      <c r="N8" s="35">
        <f>AVERAGE(J8:L8)</f>
        <v>6.3</v>
      </c>
      <c r="O8" s="36">
        <f>STDEV(J8:L8)</f>
        <v>9.9999999999997868E-3</v>
      </c>
      <c r="P8" s="33"/>
      <c r="Q8" s="34"/>
      <c r="R8" s="34"/>
      <c r="S8" s="34"/>
      <c r="T8" s="35"/>
      <c r="U8" s="36"/>
      <c r="V8" s="34"/>
      <c r="W8" s="34"/>
      <c r="X8" s="34"/>
      <c r="Y8" s="34"/>
      <c r="Z8" s="35"/>
      <c r="AA8" s="36"/>
      <c r="AB8" s="87">
        <f t="shared" si="4"/>
        <v>2.2233333333333338E-2</v>
      </c>
      <c r="AC8" s="88">
        <f t="shared" si="4"/>
        <v>2.6558112382722812E-4</v>
      </c>
    </row>
    <row r="9" spans="1:29" x14ac:dyDescent="0.25">
      <c r="A9" s="5" t="s">
        <v>23</v>
      </c>
      <c r="B9" s="17">
        <v>42419.686111111114</v>
      </c>
      <c r="C9" s="28">
        <f>(B9-$B$6)*24</f>
        <v>9.7833333334419876</v>
      </c>
      <c r="D9" s="29">
        <v>6.9000000000000006E-2</v>
      </c>
      <c r="E9" s="30">
        <v>6.8000000000000005E-2</v>
      </c>
      <c r="F9" s="30">
        <v>6.9000000000000006E-2</v>
      </c>
      <c r="G9" s="30">
        <v>0</v>
      </c>
      <c r="H9" s="31">
        <f t="shared" si="1"/>
        <v>6.8666666666666668E-2</v>
      </c>
      <c r="I9" s="32">
        <f t="shared" si="0"/>
        <v>5.7735026918962634E-4</v>
      </c>
      <c r="J9" s="33">
        <v>4.8</v>
      </c>
      <c r="K9" s="34">
        <v>4.7699999999999996</v>
      </c>
      <c r="L9" s="34">
        <v>4.78</v>
      </c>
      <c r="M9" s="34">
        <v>6.97</v>
      </c>
      <c r="N9" s="35">
        <f>AVERAGE(J9:L9)</f>
        <v>4.7833333333333341</v>
      </c>
      <c r="O9" s="36">
        <f>STDEV(J9:L9)</f>
        <v>1.5275252316519527E-2</v>
      </c>
      <c r="P9" s="33">
        <v>27.836191553064346</v>
      </c>
      <c r="Q9" s="34">
        <v>27.375907402463092</v>
      </c>
      <c r="R9" s="34">
        <v>27.444753999258829</v>
      </c>
      <c r="S9" s="34">
        <v>29.635522794979408</v>
      </c>
      <c r="T9" s="35">
        <f t="shared" ref="T9:T12" si="5">AVERAGE(P9:R9)</f>
        <v>27.552284318262092</v>
      </c>
      <c r="U9" s="36">
        <f t="shared" ref="U9:U12" si="6">STDEV(P9:R9)</f>
        <v>0.24826891056349881</v>
      </c>
      <c r="V9" s="34">
        <v>4.465394359613267</v>
      </c>
      <c r="W9" s="34">
        <v>4.3916295780403107</v>
      </c>
      <c r="X9" s="34">
        <v>4.3627260435768394</v>
      </c>
      <c r="Y9" s="34"/>
      <c r="Z9" s="35">
        <f>AVERAGE(V9:X9)</f>
        <v>4.406583327076806</v>
      </c>
      <c r="AA9" s="36">
        <f>STDEV(V9:X9)</f>
        <v>5.294248518084322E-2</v>
      </c>
      <c r="AB9" s="87">
        <f t="shared" si="4"/>
        <v>3.1586666666666666E-2</v>
      </c>
      <c r="AC9" s="88">
        <f t="shared" si="4"/>
        <v>2.6558112382722812E-4</v>
      </c>
    </row>
    <row r="10" spans="1:29" x14ac:dyDescent="0.25">
      <c r="A10" s="5" t="s">
        <v>24</v>
      </c>
      <c r="B10" s="17">
        <v>42419.832638888889</v>
      </c>
      <c r="C10" s="39">
        <f>(B10-$B$6)*24</f>
        <v>13.300000000046566</v>
      </c>
      <c r="D10" s="40">
        <v>7.0000000000000007E-2</v>
      </c>
      <c r="E10" s="41">
        <v>6.9000000000000006E-2</v>
      </c>
      <c r="F10" s="41">
        <v>7.0000000000000007E-2</v>
      </c>
      <c r="G10" s="41">
        <v>-1E-3</v>
      </c>
      <c r="H10" s="42">
        <f t="shared" si="1"/>
        <v>6.9666666666666668E-2</v>
      </c>
      <c r="I10" s="43">
        <f t="shared" si="0"/>
        <v>5.7735026918962634E-4</v>
      </c>
      <c r="J10" s="44">
        <v>4.6399999999999997</v>
      </c>
      <c r="K10" s="45">
        <v>4.63</v>
      </c>
      <c r="L10" s="45">
        <v>4.63</v>
      </c>
      <c r="M10" s="45">
        <v>6.96</v>
      </c>
      <c r="N10" s="46">
        <f>AVERAGE(J10:L10)</f>
        <v>4.6333333333333329</v>
      </c>
      <c r="O10" s="47">
        <f>STDEV(J10:L10)</f>
        <v>5.7735026918961348E-3</v>
      </c>
      <c r="P10" s="44">
        <v>27.538300959325557</v>
      </c>
      <c r="Q10" s="45">
        <v>27.541526371467413</v>
      </c>
      <c r="R10" s="45">
        <v>27.594061563325283</v>
      </c>
      <c r="S10" s="45">
        <v>29.467748458247943</v>
      </c>
      <c r="T10" s="46">
        <f t="shared" si="5"/>
        <v>27.557962964706082</v>
      </c>
      <c r="U10" s="47">
        <f t="shared" si="6"/>
        <v>3.1303872565127296E-2</v>
      </c>
      <c r="V10" s="128">
        <v>4.5709709754740873</v>
      </c>
      <c r="W10" s="45">
        <v>4.6448783414904176</v>
      </c>
      <c r="X10" s="45">
        <v>4.5844838464617315</v>
      </c>
      <c r="Y10" s="45"/>
      <c r="Z10" s="46">
        <f>AVERAGE(V10:X10)</f>
        <v>4.6001110544754118</v>
      </c>
      <c r="AA10" s="47">
        <f>STDEV(V10:X10)</f>
        <v>3.9353931323250116E-2</v>
      </c>
      <c r="AB10" s="87">
        <f t="shared" si="4"/>
        <v>3.2046666666666668E-2</v>
      </c>
      <c r="AC10" s="88">
        <f t="shared" si="4"/>
        <v>2.6558112382722812E-4</v>
      </c>
    </row>
    <row r="11" spans="1:29" ht="18.75" x14ac:dyDescent="0.35">
      <c r="B11" s="17"/>
      <c r="C11" s="48" t="s">
        <v>25</v>
      </c>
      <c r="D11" s="24">
        <f>LN(LOGEST(D7:D9,$C$7:$C$9))</f>
        <v>0.13484599688729881</v>
      </c>
      <c r="E11" s="24">
        <f t="shared" ref="E11:F11" si="7">LN(LOGEST(E7:E9,$C$7:$C$9))</f>
        <v>0.12757022484259467</v>
      </c>
      <c r="F11" s="24">
        <f t="shared" si="7"/>
        <v>0.12464334855116825</v>
      </c>
      <c r="G11" s="20"/>
      <c r="H11" s="25">
        <f t="shared" si="1"/>
        <v>0.12901985676035391</v>
      </c>
      <c r="I11" s="26">
        <f t="shared" si="0"/>
        <v>5.2535305072328922E-3</v>
      </c>
      <c r="K11" s="24"/>
      <c r="M11" s="50"/>
      <c r="N11" s="49"/>
      <c r="O11" s="50" t="s">
        <v>26</v>
      </c>
      <c r="P11" s="23">
        <f>(P7-P9)</f>
        <v>0.94808591529016439</v>
      </c>
      <c r="Q11" s="24">
        <f t="shared" ref="Q11:R11" si="8">(Q7-Q9)</f>
        <v>2.2888806821619525</v>
      </c>
      <c r="R11" s="24">
        <f t="shared" si="8"/>
        <v>2.3030098927774034</v>
      </c>
      <c r="S11" s="24"/>
      <c r="T11" s="25">
        <f>AVERAGE(P11:R11)</f>
        <v>1.8466588300765068</v>
      </c>
      <c r="U11" s="51">
        <f t="shared" si="6"/>
        <v>0.77821903795709846</v>
      </c>
      <c r="V11" s="24">
        <f>V9-V7</f>
        <v>3.6351397734402613</v>
      </c>
      <c r="W11" s="24">
        <f t="shared" ref="W11:X11" si="9">W9-W7</f>
        <v>3.5412812725597558</v>
      </c>
      <c r="X11" s="24">
        <f t="shared" si="9"/>
        <v>3.5115593695345186</v>
      </c>
      <c r="Y11" s="24"/>
      <c r="Z11" s="25">
        <f>AVERAGE(V11:X11)</f>
        <v>3.5626601385115122</v>
      </c>
      <c r="AA11" s="51">
        <f>STDEV(V11:X11)</f>
        <v>6.4504426122662245E-2</v>
      </c>
    </row>
    <row r="12" spans="1:29" ht="18" x14ac:dyDescent="0.35">
      <c r="A12" s="52" t="s">
        <v>27</v>
      </c>
      <c r="B12" s="53"/>
      <c r="C12" s="54" t="s">
        <v>28</v>
      </c>
      <c r="D12" s="55">
        <f>D10*0.46</f>
        <v>3.2200000000000006E-2</v>
      </c>
      <c r="E12" s="55">
        <f t="shared" ref="E12:F12" si="10">E10*0.46</f>
        <v>3.1740000000000004E-2</v>
      </c>
      <c r="F12" s="55">
        <f t="shared" si="10"/>
        <v>3.2200000000000006E-2</v>
      </c>
      <c r="G12" s="55"/>
      <c r="H12" s="25">
        <f t="shared" si="1"/>
        <v>3.2046666666666675E-2</v>
      </c>
      <c r="I12" s="26">
        <f t="shared" si="0"/>
        <v>2.6558112382722905E-4</v>
      </c>
      <c r="K12" s="24"/>
      <c r="M12" s="50"/>
      <c r="N12" s="49"/>
      <c r="O12" s="50" t="s">
        <v>29</v>
      </c>
      <c r="P12" s="23">
        <f>(D9-D7)*0.46</f>
        <v>1.9320000000000004E-2</v>
      </c>
      <c r="Q12" s="24">
        <f t="shared" ref="Q12:R12" si="11">(E9-E7)*0.46</f>
        <v>1.8400000000000003E-2</v>
      </c>
      <c r="R12" s="24">
        <f t="shared" si="11"/>
        <v>1.8400000000000003E-2</v>
      </c>
      <c r="S12" s="24"/>
      <c r="T12" s="25">
        <f t="shared" si="5"/>
        <v>1.8706666666666667E-2</v>
      </c>
      <c r="U12" s="26">
        <f t="shared" si="6"/>
        <v>5.3116224765445614E-4</v>
      </c>
      <c r="V12" s="24"/>
      <c r="W12" s="24"/>
      <c r="X12" s="24"/>
      <c r="Y12" s="24"/>
      <c r="Z12" s="25"/>
      <c r="AA12" s="26"/>
    </row>
    <row r="13" spans="1:29" ht="18" x14ac:dyDescent="0.35">
      <c r="B13" s="17"/>
      <c r="C13" s="56"/>
      <c r="D13" s="24"/>
      <c r="E13" s="24"/>
      <c r="F13" s="24"/>
      <c r="G13" s="20"/>
      <c r="H13" s="20"/>
      <c r="I13" s="58"/>
      <c r="K13" s="24"/>
      <c r="M13" s="50"/>
      <c r="N13" s="49"/>
      <c r="O13" s="50" t="s">
        <v>30</v>
      </c>
      <c r="P13" s="23">
        <f>P12/(P11/1000*180.16)</f>
        <v>0.11311001347844424</v>
      </c>
      <c r="Q13" s="24">
        <f t="shared" ref="Q13:R13" si="12">Q12/(Q11/1000*180.16)</f>
        <v>4.4620691465956618E-2</v>
      </c>
      <c r="R13" s="24">
        <f t="shared" si="12"/>
        <v>4.4346938778438087E-2</v>
      </c>
      <c r="S13" s="24"/>
      <c r="T13" s="25">
        <f>AVERAGE(P13:R13)</f>
        <v>6.7359214574279652E-2</v>
      </c>
      <c r="U13" s="26">
        <f>STDEV(P13:R13)</f>
        <v>3.9621590520957907E-2</v>
      </c>
      <c r="V13" s="24">
        <f>(V11/1000*90.08)/(P11/1000*180.16)</f>
        <v>1.9170940707033481</v>
      </c>
      <c r="W13" s="24">
        <f>(W11/1000*90.08)/(Q11/1000*180.16)</f>
        <v>0.77358363416629772</v>
      </c>
      <c r="X13" s="24">
        <f>(X11/1000*90.08)/(R11/1000*180.16)</f>
        <v>0.76238477753554457</v>
      </c>
      <c r="Y13" s="24"/>
      <c r="Z13" s="25">
        <f>AVERAGE(V13:X13)</f>
        <v>1.1510208274683968</v>
      </c>
      <c r="AA13" s="26">
        <f>STDEV(V13:X13)</f>
        <v>0.66346251898494335</v>
      </c>
    </row>
    <row r="14" spans="1:29" ht="18" x14ac:dyDescent="0.35">
      <c r="B14" s="17"/>
      <c r="C14" s="56"/>
      <c r="D14" s="24"/>
      <c r="E14" s="24"/>
      <c r="F14" s="24"/>
      <c r="G14" s="20"/>
      <c r="H14" s="20"/>
      <c r="I14" s="59"/>
      <c r="M14" s="98"/>
      <c r="O14" s="98" t="s">
        <v>31</v>
      </c>
      <c r="P14" s="23"/>
      <c r="Q14" s="24"/>
      <c r="R14" s="24"/>
      <c r="S14" s="24"/>
      <c r="T14" s="25"/>
      <c r="U14" s="26"/>
      <c r="V14" s="24">
        <f>(V11/1000*90.08)/P12</f>
        <v>16.948933270781506</v>
      </c>
      <c r="W14" s="24">
        <f>(W11/1000*90.08)/Q12</f>
        <v>17.336881360444714</v>
      </c>
      <c r="X14" s="24">
        <f>(X11/1000*90.08)/R12</f>
        <v>17.19137326128638</v>
      </c>
      <c r="Y14" s="24"/>
      <c r="Z14" s="25">
        <f>AVERAGE(V14:X14)</f>
        <v>17.159062630837532</v>
      </c>
      <c r="AA14" s="26">
        <f>STDEV(V14:X14)</f>
        <v>0.19598191931485567</v>
      </c>
    </row>
    <row r="15" spans="1:29" ht="18.75" x14ac:dyDescent="0.35">
      <c r="B15" s="17"/>
      <c r="C15" s="56"/>
      <c r="D15" s="24"/>
      <c r="E15" s="24"/>
      <c r="F15" s="24"/>
      <c r="G15" s="20"/>
      <c r="H15" s="20"/>
      <c r="I15" s="59"/>
      <c r="M15" s="98"/>
      <c r="O15" s="54" t="s">
        <v>32</v>
      </c>
      <c r="P15" s="23">
        <f>D11*(P11)</f>
        <v>0.12784559038210935</v>
      </c>
      <c r="Q15" s="24">
        <f t="shared" ref="Q15:R15" si="13">E11*(Q11)</f>
        <v>0.29199302326127174</v>
      </c>
      <c r="R15" s="24">
        <f t="shared" si="13"/>
        <v>0.28705486478224251</v>
      </c>
      <c r="S15" s="24"/>
      <c r="T15" s="25">
        <f t="shared" ref="T15" si="14">AVERAGE(P15:R15)</f>
        <v>0.23563115947520785</v>
      </c>
      <c r="U15" s="26">
        <f t="shared" ref="U15" si="15">STDEV(P15:R15)</f>
        <v>9.337769022005929E-2</v>
      </c>
      <c r="V15" s="24">
        <f>D11*(V11)</f>
        <v>0.4901840465742216</v>
      </c>
      <c r="W15" s="24">
        <f t="shared" ref="W15:X15" si="16">E11*(W11)</f>
        <v>0.45176204817131782</v>
      </c>
      <c r="X15" s="24">
        <f t="shared" si="16"/>
        <v>0.43769251845501161</v>
      </c>
      <c r="Y15" s="24"/>
      <c r="Z15" s="25">
        <f>AVERAGE(V15:X15)</f>
        <v>0.45987953773351697</v>
      </c>
      <c r="AA15" s="26">
        <f>STDEV(V15:X15)</f>
        <v>2.717094695933071E-2</v>
      </c>
    </row>
    <row r="16" spans="1:29" ht="18.75" x14ac:dyDescent="0.35">
      <c r="B16" s="17"/>
      <c r="C16" s="61"/>
      <c r="D16" s="45"/>
      <c r="E16" s="45"/>
      <c r="F16" s="45"/>
      <c r="G16" s="41"/>
      <c r="H16" s="41"/>
      <c r="I16" s="63"/>
      <c r="J16" s="64"/>
      <c r="K16" s="45"/>
      <c r="L16" s="62"/>
      <c r="M16" s="65"/>
      <c r="N16" s="62"/>
      <c r="O16" s="65" t="s">
        <v>33</v>
      </c>
      <c r="P16" s="66">
        <f>D11*(P11/P12)</f>
        <v>6.6172665829249135</v>
      </c>
      <c r="Q16" s="67">
        <f>E11*(Q11/Q12)</f>
        <v>15.869186046808245</v>
      </c>
      <c r="R16" s="67">
        <f>F11*(R11/R12)</f>
        <v>15.600807868600134</v>
      </c>
      <c r="S16" s="45"/>
      <c r="T16" s="46">
        <f>AVERAGE(P16:R16)</f>
        <v>12.695753499444431</v>
      </c>
      <c r="U16" s="47">
        <f>STDEV(P16:R16)</f>
        <v>5.2658341321540716</v>
      </c>
      <c r="V16" s="45">
        <f>D11*(V11/P12)</f>
        <v>25.37184506077751</v>
      </c>
      <c r="W16" s="45">
        <f>E11*(W11/Q12)</f>
        <v>24.552285226702054</v>
      </c>
      <c r="X16" s="45">
        <f>F11*(X11/R12)</f>
        <v>23.787636872554977</v>
      </c>
      <c r="Y16" s="45"/>
      <c r="Z16" s="46">
        <f>AVERAGE(V16:X16)</f>
        <v>24.570589053344847</v>
      </c>
      <c r="AA16" s="47">
        <f>STDEV(V16:X16)</f>
        <v>0.79226268904963404</v>
      </c>
    </row>
    <row r="17" spans="2:26" x14ac:dyDescent="0.25">
      <c r="B17" s="17"/>
      <c r="C17" s="68"/>
      <c r="D17" s="24"/>
      <c r="E17" s="24"/>
      <c r="F17" s="24"/>
      <c r="G17" s="20"/>
      <c r="H17" s="20"/>
      <c r="I17" s="123" t="s">
        <v>34</v>
      </c>
      <c r="J17" s="55">
        <f>P12/(J7-J9)</f>
        <v>9.7575757575757566E-3</v>
      </c>
      <c r="K17" s="55">
        <f>Q12/(K7-K9)</f>
        <v>9.1542288557213917E-3</v>
      </c>
      <c r="L17" s="55">
        <f>R12/(L7-L9)</f>
        <v>9.246231155778899E-3</v>
      </c>
      <c r="N17" s="70">
        <f>AVERAGE(J17:L17)</f>
        <v>9.3860119230253485E-3</v>
      </c>
      <c r="O17" s="51">
        <f>STDEV(J17:L17)</f>
        <v>3.2505517710585666E-4</v>
      </c>
      <c r="T17" s="55"/>
      <c r="U17" s="55"/>
    </row>
    <row r="18" spans="2:26" x14ac:dyDescent="0.25">
      <c r="B18" s="17"/>
      <c r="C18" s="68"/>
      <c r="D18" s="24"/>
      <c r="E18" s="24"/>
      <c r="F18" s="24"/>
      <c r="G18" s="20"/>
      <c r="H18" s="20"/>
      <c r="I18" s="49"/>
      <c r="J18" s="24"/>
      <c r="K18" s="24"/>
      <c r="L18" s="24"/>
      <c r="M18" s="24"/>
      <c r="T18" s="55"/>
      <c r="U18" s="55"/>
      <c r="Z18" s="55"/>
    </row>
    <row r="19" spans="2:26" x14ac:dyDescent="0.25">
      <c r="B19" s="17"/>
      <c r="C19" s="68"/>
      <c r="D19" s="24"/>
      <c r="E19" s="24"/>
      <c r="F19" s="24"/>
      <c r="G19" s="20"/>
      <c r="H19" s="20"/>
      <c r="I19" s="49"/>
      <c r="J19" s="24"/>
      <c r="K19" s="129" t="s">
        <v>47</v>
      </c>
      <c r="L19" s="24"/>
      <c r="M19" s="24"/>
      <c r="O19" s="100" t="s">
        <v>48</v>
      </c>
      <c r="P19" s="130">
        <f>P11*6</f>
        <v>5.6885154917409864</v>
      </c>
      <c r="Q19" s="55">
        <f>Q11*6</f>
        <v>13.733284092971715</v>
      </c>
      <c r="R19" s="55">
        <f>R11*6</f>
        <v>13.818059356664421</v>
      </c>
      <c r="T19" s="55"/>
      <c r="U19" s="100" t="s">
        <v>78</v>
      </c>
      <c r="V19" s="55">
        <f>V11*3</f>
        <v>10.905419320320783</v>
      </c>
      <c r="W19" s="55">
        <f>W11*3</f>
        <v>10.623843817679267</v>
      </c>
      <c r="X19" s="55">
        <f>X11*3</f>
        <v>10.534678108603556</v>
      </c>
      <c r="Z19" s="55"/>
    </row>
    <row r="20" spans="2:26" x14ac:dyDescent="0.25">
      <c r="B20" s="17"/>
      <c r="C20" s="68"/>
      <c r="D20" s="24"/>
      <c r="E20" s="24"/>
      <c r="F20" s="24"/>
      <c r="G20" s="20"/>
      <c r="H20" s="20"/>
      <c r="I20" s="49"/>
      <c r="J20" s="24"/>
      <c r="K20" s="24"/>
      <c r="L20" s="24"/>
      <c r="M20" s="24"/>
      <c r="O20" s="100" t="s">
        <v>50</v>
      </c>
      <c r="P20" s="130">
        <f>P12*0.5/12.01*1000</f>
        <v>0.80432972522897606</v>
      </c>
      <c r="Q20" s="55">
        <f>Q12*0.5/12.01*1000</f>
        <v>0.76602830974188185</v>
      </c>
      <c r="R20" s="55">
        <f>R12*0.5/12.01*1000</f>
        <v>0.76602830974188185</v>
      </c>
      <c r="S20" s="71" t="s">
        <v>17</v>
      </c>
      <c r="T20" s="101" t="s">
        <v>18</v>
      </c>
      <c r="U20" s="51" t="s">
        <v>51</v>
      </c>
      <c r="Z20" s="55"/>
    </row>
    <row r="21" spans="2:26" x14ac:dyDescent="0.25">
      <c r="B21" s="17"/>
      <c r="C21" s="68"/>
      <c r="D21" s="24"/>
      <c r="E21" s="24"/>
      <c r="F21" s="24"/>
      <c r="G21" s="20"/>
      <c r="H21" s="20"/>
      <c r="I21" s="49"/>
      <c r="J21" s="24"/>
      <c r="K21" s="24"/>
      <c r="L21" s="24"/>
      <c r="M21" s="24"/>
      <c r="O21" s="100" t="s">
        <v>52</v>
      </c>
      <c r="P21" s="130">
        <f>P19-V19-P20</f>
        <v>-6.0212335538087736</v>
      </c>
      <c r="Q21" s="55">
        <f t="shared" ref="Q21:R21" si="17">Q19-W19-Q20</f>
        <v>2.3434119655505659</v>
      </c>
      <c r="R21" s="55">
        <f t="shared" si="17"/>
        <v>2.5173529383189828</v>
      </c>
      <c r="S21" s="102">
        <f>AVERAGE(Q21:R21)</f>
        <v>2.4303824519347743</v>
      </c>
      <c r="T21" s="85"/>
      <c r="U21" s="26">
        <f>MEDIAN(P21:R21)</f>
        <v>2.3434119655505659</v>
      </c>
      <c r="Z21" s="55"/>
    </row>
    <row r="22" spans="2:26" x14ac:dyDescent="0.25">
      <c r="B22" s="17"/>
      <c r="C22" s="68"/>
      <c r="D22" s="24"/>
      <c r="E22" s="24"/>
      <c r="F22" s="24"/>
      <c r="G22" s="20"/>
      <c r="H22" s="20"/>
      <c r="I22" s="49"/>
      <c r="J22" s="24"/>
      <c r="K22" s="24"/>
      <c r="L22" s="24"/>
      <c r="M22" s="24"/>
      <c r="O22" s="100" t="s">
        <v>53</v>
      </c>
      <c r="P22" s="130">
        <f>(P19-V19-P20)/P19*100</f>
        <v>-105.8489435873182</v>
      </c>
      <c r="Q22" s="55">
        <f t="shared" ref="Q22:R22" si="18">(Q19-W19-Q20)/Q19*100</f>
        <v>17.063740542219278</v>
      </c>
      <c r="R22" s="55">
        <f t="shared" si="18"/>
        <v>18.217847190711833</v>
      </c>
      <c r="S22" s="103">
        <f>AVERAGE(Q22:R22)</f>
        <v>17.640793866465557</v>
      </c>
      <c r="T22" s="104">
        <f>STDEV(Q22:R22)</f>
        <v>0.81607663736156444</v>
      </c>
      <c r="U22" s="47">
        <f>MEDIAN(P22:R22)</f>
        <v>17.063740542219278</v>
      </c>
      <c r="Z22" s="55"/>
    </row>
    <row r="23" spans="2:26" x14ac:dyDescent="0.25">
      <c r="B23" s="17"/>
      <c r="C23" s="68"/>
      <c r="D23" s="24"/>
      <c r="E23" s="24"/>
      <c r="F23" s="24"/>
      <c r="G23" s="20"/>
      <c r="H23" s="20"/>
      <c r="I23" s="49"/>
      <c r="J23" s="24"/>
      <c r="K23" s="9" t="s">
        <v>54</v>
      </c>
      <c r="O23" s="100" t="s">
        <v>55</v>
      </c>
      <c r="P23" s="130">
        <f>P19*4</f>
        <v>22.754061966963945</v>
      </c>
      <c r="Q23" s="55">
        <f t="shared" ref="Q23:R23" si="19">Q19*4</f>
        <v>54.93313637188686</v>
      </c>
      <c r="R23" s="55">
        <f t="shared" si="19"/>
        <v>55.272237426657682</v>
      </c>
      <c r="T23" s="55"/>
      <c r="U23" s="100" t="s">
        <v>79</v>
      </c>
      <c r="V23" s="55">
        <f>V19*4</f>
        <v>43.621677281283134</v>
      </c>
      <c r="W23" s="55">
        <f t="shared" ref="W23:X23" si="20">W19*4</f>
        <v>42.495375270717069</v>
      </c>
      <c r="X23" s="55">
        <f t="shared" si="20"/>
        <v>42.138712434414224</v>
      </c>
      <c r="Z23" s="55"/>
    </row>
    <row r="24" spans="2:26" x14ac:dyDescent="0.25">
      <c r="B24" s="17"/>
      <c r="C24" s="68"/>
      <c r="D24" s="24"/>
      <c r="E24" s="24"/>
      <c r="F24" s="24"/>
      <c r="G24" s="20"/>
      <c r="H24" s="20"/>
      <c r="I24" s="49"/>
      <c r="J24" s="24"/>
      <c r="O24" s="100" t="s">
        <v>57</v>
      </c>
      <c r="P24" s="130">
        <f>P20*4.1</f>
        <v>3.2977518734388016</v>
      </c>
      <c r="Q24" s="55">
        <f t="shared" ref="Q24:R24" si="21">Q20*4.1</f>
        <v>3.1407160699417154</v>
      </c>
      <c r="R24" s="55">
        <f t="shared" si="21"/>
        <v>3.1407160699417154</v>
      </c>
      <c r="S24" s="71" t="s">
        <v>17</v>
      </c>
      <c r="T24" s="51" t="s">
        <v>51</v>
      </c>
      <c r="U24" s="55"/>
      <c r="Z24" s="55"/>
    </row>
    <row r="25" spans="2:26" x14ac:dyDescent="0.25">
      <c r="B25" s="17"/>
      <c r="D25" s="20"/>
      <c r="E25" s="20"/>
      <c r="F25" s="20"/>
      <c r="G25" s="20"/>
      <c r="H25" s="20"/>
      <c r="I25" s="49"/>
      <c r="J25" s="24"/>
      <c r="O25" s="100" t="s">
        <v>58</v>
      </c>
      <c r="P25" s="130">
        <f>(P23-V23-P24)</f>
        <v>-24.16536718775799</v>
      </c>
      <c r="Q25" s="105">
        <f t="shared" ref="Q25:R25" si="22">(Q23-W23-Q24)</f>
        <v>9.297045031228075</v>
      </c>
      <c r="R25" s="105">
        <f t="shared" si="22"/>
        <v>9.9928089223017427</v>
      </c>
      <c r="S25" s="102">
        <f>AVERAGE(Q25:R25)</f>
        <v>9.6449269767649088</v>
      </c>
      <c r="T25" s="26">
        <f>MEDIAN(P25:R25)</f>
        <v>9.297045031228075</v>
      </c>
    </row>
    <row r="26" spans="2:26" x14ac:dyDescent="0.25">
      <c r="B26" s="17"/>
      <c r="D26" s="20"/>
      <c r="E26" s="20"/>
      <c r="F26" s="20"/>
      <c r="G26" s="20"/>
      <c r="H26" s="20"/>
      <c r="I26" s="49"/>
      <c r="J26" s="24"/>
      <c r="O26" s="100" t="s">
        <v>53</v>
      </c>
      <c r="P26" s="130">
        <f>(P23-V23-P24)/P23*100</f>
        <v>-106.20243200024279</v>
      </c>
      <c r="Q26" s="105">
        <f t="shared" ref="Q26:R26" si="23">(Q23-W23-Q24)/Q23*100</f>
        <v>16.924293141190503</v>
      </c>
      <c r="R26" s="105">
        <f t="shared" si="23"/>
        <v>18.079255314318491</v>
      </c>
      <c r="S26" s="103">
        <f>AVERAGE(Q26:R26)</f>
        <v>17.501774227754495</v>
      </c>
      <c r="T26" s="47">
        <f>MEDIAN(P26:R26)</f>
        <v>16.924293141190503</v>
      </c>
    </row>
    <row r="27" spans="2:26" x14ac:dyDescent="0.25">
      <c r="B27" s="17"/>
      <c r="D27" s="20"/>
      <c r="E27" s="20"/>
      <c r="F27" s="20"/>
      <c r="G27" s="20"/>
      <c r="H27" s="20"/>
      <c r="I27" s="49"/>
      <c r="J27" s="24"/>
      <c r="K27" s="9" t="s">
        <v>59</v>
      </c>
      <c r="O27" s="100" t="s">
        <v>60</v>
      </c>
      <c r="P27" s="130">
        <f>P25/4</f>
        <v>-6.0413417969394976</v>
      </c>
      <c r="Q27" s="105">
        <f t="shared" ref="Q27:R27" si="24">Q25/4</f>
        <v>2.3242612578070188</v>
      </c>
      <c r="R27" s="105">
        <f t="shared" si="24"/>
        <v>2.4982022305754357</v>
      </c>
      <c r="S27" s="24"/>
      <c r="T27" s="24"/>
    </row>
    <row r="28" spans="2:26" x14ac:dyDescent="0.25">
      <c r="B28" s="17"/>
      <c r="D28" s="20"/>
      <c r="E28" s="20"/>
      <c r="F28" s="20"/>
      <c r="G28" s="20"/>
      <c r="H28" s="20"/>
      <c r="I28" s="49"/>
      <c r="J28" s="24"/>
      <c r="O28" s="100" t="s">
        <v>61</v>
      </c>
      <c r="P28" s="130">
        <f>P27/P12</f>
        <v>-312.69885077326586</v>
      </c>
      <c r="Q28" s="105">
        <f>Q27/Q12</f>
        <v>126.31854661994664</v>
      </c>
      <c r="R28" s="105">
        <f>R27/R12</f>
        <v>135.77186035736062</v>
      </c>
      <c r="S28" s="79" t="s">
        <v>17</v>
      </c>
      <c r="T28" s="51" t="s">
        <v>51</v>
      </c>
    </row>
    <row r="29" spans="2:26" x14ac:dyDescent="0.25">
      <c r="B29" s="17"/>
      <c r="D29" s="20"/>
      <c r="E29" s="20"/>
      <c r="F29" s="20"/>
      <c r="G29" s="20"/>
      <c r="H29" s="20"/>
      <c r="I29" s="49"/>
      <c r="J29" s="24"/>
      <c r="O29" s="100" t="s">
        <v>62</v>
      </c>
      <c r="P29" s="130">
        <f>D11*P28</f>
        <v>-42.166188258033728</v>
      </c>
      <c r="Q29" s="105">
        <f>E11*Q28</f>
        <v>16.11448539409637</v>
      </c>
      <c r="R29" s="105">
        <f>F11*R28</f>
        <v>16.923059313963044</v>
      </c>
      <c r="S29" s="103">
        <f>AVERAGE(Q29:R29)</f>
        <v>16.518772354029707</v>
      </c>
      <c r="T29" s="47">
        <f>MEDIAN(P29:R29)</f>
        <v>16.11448539409637</v>
      </c>
    </row>
    <row r="30" spans="2:26" x14ac:dyDescent="0.25">
      <c r="B30" s="17"/>
      <c r="D30" s="20"/>
      <c r="E30" s="20"/>
      <c r="F30" s="20"/>
      <c r="G30" s="20"/>
      <c r="H30" s="20"/>
      <c r="I30" s="49"/>
      <c r="J30" s="24"/>
      <c r="K30" s="24"/>
      <c r="L30" s="24"/>
      <c r="M30" s="24"/>
      <c r="N30" s="24"/>
      <c r="O30" s="75"/>
      <c r="P30" s="77"/>
      <c r="Q30" s="77"/>
      <c r="R30" s="77"/>
    </row>
    <row r="31" spans="2:26" x14ac:dyDescent="0.25">
      <c r="B31" s="17"/>
      <c r="D31" s="20"/>
      <c r="E31" s="20"/>
      <c r="F31" s="20"/>
      <c r="G31" s="20"/>
      <c r="H31" s="20"/>
      <c r="I31" s="49"/>
      <c r="J31" s="24"/>
      <c r="K31" s="24"/>
      <c r="L31" s="24"/>
      <c r="M31" s="24"/>
      <c r="N31" s="24"/>
      <c r="O31" s="75"/>
      <c r="P31" s="76"/>
      <c r="Q31" s="76"/>
      <c r="R31" s="76"/>
    </row>
    <row r="32" spans="2:26" x14ac:dyDescent="0.25">
      <c r="B32" s="17"/>
      <c r="D32" s="20"/>
      <c r="E32" s="20"/>
      <c r="F32" s="20"/>
      <c r="G32" s="20"/>
      <c r="H32" s="20"/>
      <c r="I32" s="49"/>
      <c r="J32" s="24"/>
      <c r="K32" s="24"/>
      <c r="L32" s="24"/>
      <c r="M32" s="24"/>
      <c r="N32" s="24"/>
    </row>
    <row r="33" spans="2:14" x14ac:dyDescent="0.25">
      <c r="B33" s="17"/>
      <c r="D33" s="20"/>
      <c r="E33" s="20"/>
      <c r="F33" s="20"/>
      <c r="G33" s="20"/>
      <c r="H33" s="20"/>
      <c r="I33" s="49"/>
      <c r="J33" s="24"/>
      <c r="K33" s="24"/>
      <c r="L33" s="24"/>
      <c r="M33" s="24"/>
      <c r="N33" s="24"/>
    </row>
    <row r="35" spans="2:14" x14ac:dyDescent="0.25">
      <c r="J35" s="131"/>
    </row>
  </sheetData>
  <mergeCells count="4">
    <mergeCell ref="D4:I4"/>
    <mergeCell ref="J4:O4"/>
    <mergeCell ref="P4:U4"/>
    <mergeCell ref="V4:AA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Table of Contents</vt:lpstr>
      <vt:lpstr>SuppSheet1</vt:lpstr>
      <vt:lpstr>SuppSheet2</vt:lpstr>
      <vt:lpstr>SuppSheet3</vt:lpstr>
      <vt:lpstr>SuppSheet4</vt:lpstr>
      <vt:lpstr>SuppSheet5</vt:lpstr>
      <vt:lpstr>SuppSheet6</vt:lpstr>
      <vt:lpstr>SuppSheet7</vt:lpstr>
      <vt:lpstr>SuppSheet8</vt:lpstr>
      <vt:lpstr>SuppSheet9</vt:lpstr>
      <vt:lpstr>SuppSheet10</vt:lpstr>
      <vt:lpstr>SuppSheet11</vt:lpstr>
      <vt:lpstr>SuppSheet12</vt:lpstr>
      <vt:lpstr>SuppSheet13</vt:lpstr>
      <vt:lpstr>SuppSheet14</vt:lpstr>
      <vt:lpstr>SuppSheet15</vt:lpstr>
      <vt:lpstr>SuppSheet16</vt:lpstr>
      <vt:lpstr>SuppSheet17</vt:lpstr>
      <vt:lpstr>SuppSheet18</vt:lpstr>
      <vt:lpstr>SuppSheet19</vt:lpstr>
      <vt:lpstr>SuppSheet20</vt:lpstr>
      <vt:lpstr>SuppSheet21</vt:lpstr>
      <vt:lpstr>SuppSheet22</vt:lpstr>
      <vt:lpstr>SuppSheet23</vt:lpstr>
      <vt:lpstr>SuppSheet24</vt:lpstr>
      <vt:lpstr>SuppSheet25</vt:lpstr>
      <vt:lpstr>SuppSheet26</vt:lpstr>
      <vt:lpstr>SuppSheet27</vt:lpstr>
      <vt:lpstr>SuppSheet28</vt:lpstr>
      <vt:lpstr>Sheet1</vt:lpstr>
      <vt:lpstr>'Table of Contents'!_Hlk62225932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Carlson, Ross</dc:creator>
  <cp:lastModifiedBy>Carlson, Ross</cp:lastModifiedBy>
  <dcterms:created xsi:type="dcterms:W3CDTF">2021-11-17T01:56:45Z</dcterms:created>
  <dcterms:modified xsi:type="dcterms:W3CDTF">2022-05-22T15:02:10Z</dcterms:modified>
</cp:coreProperties>
</file>