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Data\MJ\Business Analyst\Capstone Project\"/>
    </mc:Choice>
  </mc:AlternateContent>
  <xr:revisionPtr revIDLastSave="0" documentId="13_ncr:1_{1E679EB3-31BF-4B39-939D-632E17360579}" xr6:coauthVersionLast="36" xr6:coauthVersionMax="36" xr10:uidLastSave="{00000000-0000-0000-0000-000000000000}"/>
  <bookViews>
    <workbookView xWindow="0" yWindow="0" windowWidth="24000" windowHeight="8805" xr2:uid="{00000000-000D-0000-FFFF-FFFF00000000}"/>
  </bookViews>
  <sheets>
    <sheet name="Financial Data" sheetId="6" r:id="rId1"/>
    <sheet name="Statistical" sheetId="17" r:id="rId2"/>
    <sheet name="Individual Attributes" sheetId="8" r:id="rId3"/>
    <sheet name="Multiple Attributes" sheetId="10" r:id="rId4"/>
    <sheet name="Product Category" sheetId="11" r:id="rId5"/>
    <sheet name="Discount" sheetId="12" r:id="rId6"/>
  </sheets>
  <definedNames>
    <definedName name="_xlchart.v1.0" hidden="1">Discount!$D$43:$D$48</definedName>
    <definedName name="_xlchart.v1.1" hidden="1">Discount!$E$42</definedName>
    <definedName name="_xlchart.v1.2" hidden="1">Discount!$E$43:$E$48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7" l="1"/>
  <c r="I44" i="17"/>
  <c r="H44" i="17"/>
  <c r="G44" i="17"/>
  <c r="F44" i="17"/>
  <c r="E44" i="17"/>
  <c r="D44" i="17"/>
  <c r="C44" i="17"/>
  <c r="B44" i="17"/>
  <c r="I36" i="17"/>
  <c r="H36" i="17"/>
  <c r="G36" i="17"/>
  <c r="F36" i="17"/>
  <c r="E36" i="17"/>
  <c r="D36" i="17"/>
  <c r="C36" i="17"/>
  <c r="B36" i="17"/>
  <c r="I29" i="17"/>
  <c r="H29" i="17"/>
  <c r="F29" i="17"/>
  <c r="E29" i="17"/>
  <c r="D29" i="17"/>
  <c r="C29" i="17"/>
  <c r="B29" i="17"/>
  <c r="I22" i="17"/>
  <c r="H22" i="17"/>
  <c r="G22" i="17"/>
  <c r="F22" i="17"/>
  <c r="E22" i="17"/>
  <c r="D22" i="17"/>
  <c r="C22" i="17"/>
  <c r="B22" i="17"/>
  <c r="H17" i="17"/>
  <c r="H15" i="17"/>
  <c r="H13" i="17"/>
  <c r="H11" i="17"/>
  <c r="H9" i="17"/>
  <c r="H7" i="17"/>
  <c r="H5" i="17"/>
  <c r="H3" i="17"/>
  <c r="G17" i="17"/>
  <c r="G15" i="17"/>
  <c r="G13" i="17"/>
  <c r="G11" i="17"/>
  <c r="G9" i="17"/>
  <c r="G7" i="17"/>
  <c r="G5" i="17"/>
  <c r="G3" i="17"/>
  <c r="F15" i="17"/>
  <c r="F13" i="17"/>
  <c r="F11" i="17"/>
  <c r="F9" i="17"/>
  <c r="F7" i="17"/>
  <c r="F5" i="17"/>
  <c r="F3" i="17"/>
  <c r="F17" i="17"/>
  <c r="E17" i="17"/>
  <c r="E15" i="17"/>
  <c r="E13" i="17"/>
  <c r="E11" i="17"/>
  <c r="E9" i="17"/>
  <c r="E7" i="17"/>
  <c r="E5" i="17"/>
  <c r="E3" i="17"/>
  <c r="D17" i="17"/>
  <c r="D15" i="17"/>
  <c r="D13" i="17"/>
  <c r="D11" i="17"/>
  <c r="D9" i="17"/>
  <c r="D7" i="17"/>
  <c r="D5" i="17"/>
  <c r="D3" i="17"/>
  <c r="C17" i="17"/>
  <c r="C15" i="17"/>
  <c r="C13" i="17"/>
  <c r="C11" i="17"/>
  <c r="C9" i="17"/>
  <c r="C7" i="17"/>
  <c r="C5" i="17"/>
  <c r="C3" i="17"/>
  <c r="B17" i="17"/>
  <c r="B15" i="17"/>
  <c r="B13" i="17"/>
  <c r="B11" i="17"/>
  <c r="B9" i="17"/>
  <c r="B7" i="17"/>
  <c r="B5" i="17"/>
  <c r="B3" i="17"/>
  <c r="I46" i="17"/>
  <c r="I47" i="17"/>
  <c r="I48" i="17"/>
  <c r="H46" i="17"/>
  <c r="H47" i="17"/>
  <c r="H48" i="17"/>
  <c r="H38" i="17"/>
  <c r="H39" i="17"/>
  <c r="H40" i="17"/>
  <c r="H41" i="17"/>
  <c r="H42" i="17"/>
  <c r="I38" i="17"/>
  <c r="I39" i="17"/>
  <c r="I40" i="17"/>
  <c r="I41" i="17"/>
  <c r="I42" i="17"/>
  <c r="I31" i="17"/>
  <c r="I32" i="17"/>
  <c r="I33" i="17"/>
  <c r="I34" i="17"/>
  <c r="H31" i="17"/>
  <c r="H32" i="17"/>
  <c r="H33" i="17"/>
  <c r="H34" i="17"/>
  <c r="I45" i="17"/>
  <c r="I37" i="17"/>
  <c r="I30" i="17"/>
  <c r="G30" i="17"/>
  <c r="G37" i="17"/>
  <c r="G45" i="17"/>
  <c r="H45" i="17"/>
  <c r="F45" i="17"/>
  <c r="H37" i="17"/>
  <c r="F37" i="17"/>
  <c r="H30" i="17"/>
  <c r="F30" i="17"/>
  <c r="I24" i="17"/>
  <c r="I25" i="17"/>
  <c r="I26" i="17"/>
  <c r="I27" i="17"/>
  <c r="I23" i="17"/>
  <c r="G23" i="17"/>
  <c r="H24" i="17"/>
  <c r="H25" i="17"/>
  <c r="H26" i="17"/>
  <c r="H27" i="17"/>
  <c r="H23" i="17"/>
  <c r="F23" i="17"/>
  <c r="G46" i="17"/>
  <c r="G47" i="17"/>
  <c r="G48" i="17"/>
  <c r="G38" i="17"/>
  <c r="G39" i="17"/>
  <c r="G40" i="17"/>
  <c r="G41" i="17"/>
  <c r="G42" i="17"/>
  <c r="G31" i="17"/>
  <c r="G32" i="17"/>
  <c r="G33" i="17"/>
  <c r="G34" i="17"/>
  <c r="G24" i="17"/>
  <c r="G25" i="17"/>
  <c r="G26" i="17"/>
  <c r="G27" i="17"/>
  <c r="F46" i="17"/>
  <c r="F47" i="17"/>
  <c r="F48" i="17"/>
  <c r="F38" i="17"/>
  <c r="F39" i="17"/>
  <c r="F40" i="17"/>
  <c r="F41" i="17"/>
  <c r="F42" i="17"/>
  <c r="F31" i="17"/>
  <c r="F32" i="17"/>
  <c r="F33" i="17"/>
  <c r="F34" i="17"/>
  <c r="F24" i="17"/>
  <c r="F25" i="17"/>
  <c r="F26" i="17"/>
  <c r="F27" i="17"/>
  <c r="C23" i="17"/>
  <c r="B23" i="17"/>
  <c r="E46" i="17"/>
  <c r="E47" i="17"/>
  <c r="E48" i="17"/>
  <c r="E38" i="17"/>
  <c r="E39" i="17"/>
  <c r="E40" i="17"/>
  <c r="E41" i="17"/>
  <c r="E42" i="17"/>
  <c r="E31" i="17"/>
  <c r="E32" i="17"/>
  <c r="E33" i="17"/>
  <c r="E34" i="17"/>
  <c r="E24" i="17"/>
  <c r="E25" i="17"/>
  <c r="E26" i="17"/>
  <c r="E27" i="17"/>
  <c r="E45" i="17"/>
  <c r="E37" i="17"/>
  <c r="E30" i="17"/>
  <c r="E23" i="17"/>
  <c r="D45" i="17"/>
  <c r="D37" i="17"/>
  <c r="D30" i="17"/>
  <c r="D23" i="17"/>
  <c r="D46" i="17"/>
  <c r="D47" i="17"/>
  <c r="D48" i="17"/>
  <c r="D38" i="17"/>
  <c r="D39" i="17"/>
  <c r="D40" i="17"/>
  <c r="D41" i="17"/>
  <c r="D42" i="17"/>
  <c r="D31" i="17"/>
  <c r="D32" i="17"/>
  <c r="D33" i="17"/>
  <c r="D34" i="17"/>
  <c r="D24" i="17"/>
  <c r="D25" i="17"/>
  <c r="D26" i="17"/>
  <c r="D27" i="17"/>
  <c r="C45" i="17"/>
  <c r="C37" i="17"/>
  <c r="C30" i="17"/>
  <c r="C46" i="17"/>
  <c r="C47" i="17"/>
  <c r="C48" i="17"/>
  <c r="C38" i="17"/>
  <c r="C39" i="17"/>
  <c r="C40" i="17"/>
  <c r="C41" i="17"/>
  <c r="C42" i="17"/>
  <c r="C31" i="17"/>
  <c r="C32" i="17"/>
  <c r="C33" i="17"/>
  <c r="C34" i="17"/>
  <c r="B45" i="17"/>
  <c r="B37" i="17"/>
  <c r="B30" i="17"/>
  <c r="C24" i="17"/>
  <c r="C25" i="17"/>
  <c r="C26" i="17"/>
  <c r="C27" i="17"/>
  <c r="B46" i="17"/>
  <c r="B47" i="17"/>
  <c r="B48" i="17"/>
  <c r="B38" i="17"/>
  <c r="B39" i="17"/>
  <c r="B40" i="17"/>
  <c r="B41" i="17"/>
  <c r="B42" i="17"/>
  <c r="B34" i="17"/>
  <c r="B31" i="17"/>
  <c r="B32" i="17"/>
  <c r="B33" i="17"/>
  <c r="B27" i="17"/>
  <c r="B24" i="17"/>
  <c r="B25" i="17"/>
  <c r="B26" i="17"/>
</calcChain>
</file>

<file path=xl/sharedStrings.xml><?xml version="1.0" encoding="utf-8"?>
<sst xmlns="http://schemas.openxmlformats.org/spreadsheetml/2006/main" count="4748" uniqueCount="110">
  <si>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</si>
  <si>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</si>
  <si>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</si>
  <si>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</si>
  <si>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</si>
  <si>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</si>
  <si>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</si>
  <si>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</si>
  <si>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</si>
  <si>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</si>
  <si>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</si>
  <si>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</si>
  <si>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</si>
  <si>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</si>
  <si>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</si>
  <si>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</si>
  <si>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</si>
  <si>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</si>
  <si>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</si>
  <si>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</si>
  <si>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</si>
  <si>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</si>
  <si>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</si>
  <si>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</si>
  <si>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</si>
  <si>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</si>
  <si>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</si>
  <si>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</si>
  <si>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</si>
  <si>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</si>
  <si>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</si>
  <si>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</si>
  <si>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</si>
  <si>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</si>
  <si>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</si>
  <si>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</si>
  <si>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</si>
  <si>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</si>
  <si>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</si>
  <si>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</si>
  <si>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</si>
  <si>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</si>
  <si>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</si>
  <si>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</si>
  <si>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</si>
  <si>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</si>
  <si>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</si>
  <si>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</si>
  <si>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</si>
  <si>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</si>
  <si>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Grand Total</t>
  </si>
  <si>
    <t>Sum of Units Sold</t>
  </si>
  <si>
    <t>Sum of  Sales</t>
  </si>
  <si>
    <t>Count of Orders and Total Sales Amount (Segment Wise)</t>
  </si>
  <si>
    <t>Count of Orders and Total Sales Amount (Country Wise)</t>
  </si>
  <si>
    <t>Count of Orders and Total Sales Amount (Product Category Wise)</t>
  </si>
  <si>
    <t>Segment Wise Sales Contribution</t>
  </si>
  <si>
    <t>Sum of COGS</t>
  </si>
  <si>
    <t>(each Month of Year 2014)</t>
  </si>
  <si>
    <t>Month</t>
  </si>
  <si>
    <t>COGS in each Segment</t>
  </si>
  <si>
    <t>Total Sales Amount</t>
  </si>
  <si>
    <t>Total Profits</t>
  </si>
  <si>
    <t>Sum of Profit</t>
  </si>
  <si>
    <t>Segment wise distribution of Total Units, Sales and Profit and their percentage contribution in each Country</t>
  </si>
  <si>
    <t>Average of  Sales</t>
  </si>
  <si>
    <t>Count of Units Sold</t>
  </si>
  <si>
    <t>Total Sales in Product</t>
  </si>
  <si>
    <t>Total Units Sold of each Product and their Average Sale</t>
  </si>
  <si>
    <t>Total Units Sold and Profit of each Product</t>
  </si>
  <si>
    <t>Total Product Sales in each Segment</t>
  </si>
  <si>
    <t>Total Product Sales in each Country</t>
  </si>
  <si>
    <t>Segment wise distribution of Total percentage contribution of Sales in each Country</t>
  </si>
  <si>
    <t>Segment wise distribution of Total percentage contribution of Profits in each Country</t>
  </si>
  <si>
    <t>Discount Range (%)</t>
  </si>
  <si>
    <t>1 - 4 %</t>
  </si>
  <si>
    <t>5 - 9 %</t>
  </si>
  <si>
    <t>10 - 15 %</t>
  </si>
  <si>
    <t>Discount Range Percentage</t>
  </si>
  <si>
    <t>Total Sales with Discount Band</t>
  </si>
  <si>
    <t>Sum of Discounts</t>
  </si>
  <si>
    <t>Total Discount given in each Product</t>
  </si>
  <si>
    <t>Total Discounts</t>
  </si>
  <si>
    <t>Total Units of Products sold in each Discount Band</t>
  </si>
  <si>
    <t>Percentage of Total Discount given in each Country and corresponding Segment</t>
  </si>
  <si>
    <t>Percentage of Total Sales made in each Month based on Discount Band</t>
  </si>
  <si>
    <t>Segment (Country)</t>
  </si>
  <si>
    <t>Year wise Total Sales and Profit</t>
  </si>
  <si>
    <t>Total Profit percentage contribution in each Country</t>
  </si>
  <si>
    <t>Total Profit in each Segment</t>
  </si>
  <si>
    <t>Total Profit in each Product</t>
  </si>
  <si>
    <t>Mean</t>
  </si>
  <si>
    <t>Median</t>
  </si>
  <si>
    <t>Mode</t>
  </si>
  <si>
    <t>Minimum</t>
  </si>
  <si>
    <t>Maximum</t>
  </si>
  <si>
    <t>Sales Price</t>
  </si>
  <si>
    <t>Sales</t>
  </si>
  <si>
    <t>Profits</t>
  </si>
  <si>
    <t>Mean Units Sold in each Category</t>
  </si>
  <si>
    <t>Mean Sales in each Category</t>
  </si>
  <si>
    <t>Mean COGS in each Category</t>
  </si>
  <si>
    <t>Mean Profit in each Category</t>
  </si>
  <si>
    <t>Maximum Sales in each Category</t>
  </si>
  <si>
    <t>Maximum Profit in each Category</t>
  </si>
  <si>
    <t>Minimum Sales in each Category</t>
  </si>
  <si>
    <t>Minimum Profit in each Category</t>
  </si>
  <si>
    <t>First Quartile</t>
  </si>
  <si>
    <t>Third Quartile</t>
  </si>
  <si>
    <t>Count of Orders and 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</si>
</sst>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/d/yy\ h:mm;@"/>
    <numFmt numFmtId="166" formatCode="0.0%"/>
    <numFmt numFmtId="167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 Semibold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6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pivotButton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Border="1"/>
    <xf numFmtId="0" fontId="0" fillId="0" borderId="5" xfId="0" applyBorder="1"/>
    <xf numFmtId="164" fontId="0" fillId="0" borderId="5" xfId="0" applyNumberFormat="1" applyBorder="1"/>
    <xf numFmtId="0" fontId="0" fillId="0" borderId="1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6" xfId="0" pivotButton="1" applyBorder="1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/>
    <xf numFmtId="0" fontId="0" fillId="0" borderId="6" xfId="0" applyNumberFormat="1" applyBorder="1"/>
    <xf numFmtId="164" fontId="0" fillId="0" borderId="6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164" fontId="0" fillId="0" borderId="11" xfId="0" applyNumberFormat="1" applyBorder="1"/>
    <xf numFmtId="0" fontId="0" fillId="0" borderId="9" xfId="0" applyBorder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164" fontId="0" fillId="0" borderId="10" xfId="0" applyNumberFormat="1" applyBorder="1"/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9" xfId="0" applyNumberFormat="1" applyBorder="1"/>
    <xf numFmtId="0" fontId="3" fillId="2" borderId="0" xfId="0" applyFont="1" applyFill="1"/>
    <xf numFmtId="0" fontId="4" fillId="3" borderId="1" xfId="0" applyFont="1" applyFill="1" applyBorder="1"/>
    <xf numFmtId="0" fontId="0" fillId="0" borderId="5" xfId="0" applyBorder="1" applyAlignment="1">
      <alignment horizontal="center" vertical="center"/>
    </xf>
    <xf numFmtId="9" fontId="0" fillId="0" borderId="14" xfId="2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pivotButton="1" applyNumberFormat="1" applyBorder="1"/>
    <xf numFmtId="164" fontId="0" fillId="0" borderId="0" xfId="0" applyNumberFormat="1" applyBorder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indent="1"/>
    </xf>
    <xf numFmtId="167" fontId="0" fillId="0" borderId="1" xfId="0" pivotButton="1" applyNumberFormat="1" applyBorder="1"/>
    <xf numFmtId="167" fontId="0" fillId="0" borderId="1" xfId="0" applyNumberFormat="1" applyBorder="1"/>
    <xf numFmtId="167" fontId="0" fillId="0" borderId="1" xfId="0" applyNumberFormat="1" applyBorder="1" applyAlignment="1">
      <alignment horizontal="left"/>
    </xf>
    <xf numFmtId="164" fontId="0" fillId="0" borderId="0" xfId="0" applyNumberFormat="1"/>
    <xf numFmtId="0" fontId="6" fillId="4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164" fontId="5" fillId="7" borderId="1" xfId="1" applyFont="1" applyFill="1" applyBorder="1"/>
    <xf numFmtId="0" fontId="5" fillId="0" borderId="0" xfId="0" applyFont="1"/>
    <xf numFmtId="164" fontId="5" fillId="0" borderId="0" xfId="1" applyFont="1"/>
    <xf numFmtId="0" fontId="6" fillId="8" borderId="8" xfId="0" applyFont="1" applyFill="1" applyBorder="1"/>
    <xf numFmtId="0" fontId="6" fillId="4" borderId="23" xfId="0" applyFont="1" applyFill="1" applyBorder="1"/>
    <xf numFmtId="0" fontId="6" fillId="4" borderId="24" xfId="0" applyFont="1" applyFill="1" applyBorder="1"/>
    <xf numFmtId="0" fontId="6" fillId="4" borderId="25" xfId="0" applyFont="1" applyFill="1" applyBorder="1"/>
    <xf numFmtId="0" fontId="5" fillId="7" borderId="17" xfId="0" applyFont="1" applyFill="1" applyBorder="1"/>
    <xf numFmtId="164" fontId="5" fillId="7" borderId="18" xfId="1" applyFont="1" applyFill="1" applyBorder="1"/>
    <xf numFmtId="164" fontId="5" fillId="7" borderId="19" xfId="1" applyFont="1" applyFill="1" applyBorder="1"/>
    <xf numFmtId="0" fontId="5" fillId="7" borderId="26" xfId="0" applyFont="1" applyFill="1" applyBorder="1"/>
    <xf numFmtId="164" fontId="5" fillId="7" borderId="27" xfId="1" applyFont="1" applyFill="1" applyBorder="1"/>
    <xf numFmtId="0" fontId="5" fillId="7" borderId="20" xfId="0" applyFont="1" applyFill="1" applyBorder="1"/>
    <xf numFmtId="164" fontId="5" fillId="7" borderId="21" xfId="1" applyFont="1" applyFill="1" applyBorder="1"/>
    <xf numFmtId="164" fontId="5" fillId="7" borderId="22" xfId="1" applyFont="1" applyFill="1" applyBorder="1"/>
    <xf numFmtId="0" fontId="5" fillId="7" borderId="28" xfId="0" applyFont="1" applyFill="1" applyBorder="1"/>
    <xf numFmtId="164" fontId="5" fillId="7" borderId="4" xfId="1" applyFont="1" applyFill="1" applyBorder="1"/>
    <xf numFmtId="164" fontId="5" fillId="7" borderId="29" xfId="1" applyFont="1" applyFill="1" applyBorder="1"/>
    <xf numFmtId="0" fontId="6" fillId="2" borderId="9" xfId="0" applyFont="1" applyFill="1" applyBorder="1" applyAlignment="1">
      <alignment vertical="center" wrapText="1"/>
    </xf>
    <xf numFmtId="164" fontId="6" fillId="2" borderId="10" xfId="0" applyNumberFormat="1" applyFont="1" applyFill="1" applyBorder="1" applyAlignment="1">
      <alignment vertical="center" wrapText="1"/>
    </xf>
    <xf numFmtId="164" fontId="6" fillId="2" borderId="11" xfId="0" applyNumberFormat="1" applyFont="1" applyFill="1" applyBorder="1" applyAlignment="1">
      <alignment vertical="center" wrapText="1"/>
    </xf>
    <xf numFmtId="0" fontId="6" fillId="9" borderId="18" xfId="0" applyFont="1" applyFill="1" applyBorder="1" applyAlignment="1">
      <alignment horizontal="left" vertical="center" wrapText="1"/>
    </xf>
    <xf numFmtId="0" fontId="6" fillId="9" borderId="21" xfId="0" applyFont="1" applyFill="1" applyBorder="1" applyAlignment="1">
      <alignment horizontal="left" vertical="center" wrapText="1"/>
    </xf>
    <xf numFmtId="0" fontId="6" fillId="9" borderId="19" xfId="0" applyFont="1" applyFill="1" applyBorder="1" applyAlignment="1">
      <alignment horizontal="left" vertical="center" wrapText="1"/>
    </xf>
    <xf numFmtId="0" fontId="6" fillId="9" borderId="22" xfId="0" applyFont="1" applyFill="1" applyBorder="1" applyAlignment="1">
      <alignment horizontal="left" vertical="center" wrapText="1"/>
    </xf>
    <xf numFmtId="0" fontId="6" fillId="9" borderId="17" xfId="0" applyFont="1" applyFill="1" applyBorder="1" applyAlignment="1">
      <alignment horizontal="left" vertical="center" wrapText="1"/>
    </xf>
    <xf numFmtId="0" fontId="6" fillId="9" borderId="20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0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4" formatCode="_(&quot;$&quot;* #,##0.00_);_(&quot;$&quot;* \(#,##0.00\);_(&quot;$&quot;* &quot;-&quot;??_);_(@_)"/>
    </dxf>
    <dxf>
      <border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14" formatCode="0.00%"/>
    </dxf>
    <dxf>
      <numFmt numFmtId="164" formatCode="_(&quot;$&quot;* #,##0.00_);_(&quot;$&quot;* \(#,##0.00\);_(&quot;$&quot;* &quot;-&quot;??_);_(@_)"/>
    </dxf>
    <dxf>
      <border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166" formatCode="0.0%"/>
    </dxf>
    <dxf>
      <numFmt numFmtId="14" formatCode="0.00%"/>
    </dxf>
    <dxf>
      <numFmt numFmtId="0" formatCode="General"/>
    </dxf>
    <dxf>
      <border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2" formatCode="0.0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&quot;$&quot;* #,##0.00_);_(&quot;$&quot;* \(#,##0.00\);_(&quot;$&quot;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/>
        <right/>
        <top/>
        <bottom/>
        <vertical/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14" formatCode="0.00%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%"/>
    </dxf>
    <dxf>
      <numFmt numFmtId="14" formatCode="0.00%"/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Attributes!PivotTable2</c:name>
    <c:fmtId val="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'Individual Attributes'!$B$4:$B$9</c:f>
              <c:numCache>
                <c:formatCode>General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9-44CF-81DA-84BBDFE0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66736688"/>
        <c:axId val="367600800"/>
      </c:barChart>
      <c:lineChart>
        <c:grouping val="standard"/>
        <c:varyColors val="0"/>
        <c:ser>
          <c:idx val="1"/>
          <c:order val="1"/>
          <c:tx>
            <c:strRef>
              <c:f>'Individual Attributes'!$C$3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'Individual Attributes'!$A$4:$A$9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'Individual Attributes'!$C$4:$C$9</c:f>
              <c:numCache>
                <c:formatCode>_("$"* #,##0.00_);_("$"* \(#,##0.00\);_("$"* "-"??_);_(@_)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9-44CF-81DA-84BBDFE0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53520"/>
        <c:axId val="367601216"/>
      </c:lineChart>
      <c:catAx>
        <c:axId val="2667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0800"/>
        <c:crosses val="autoZero"/>
        <c:auto val="1"/>
        <c:lblAlgn val="ctr"/>
        <c:lblOffset val="100"/>
        <c:noMultiLvlLbl val="0"/>
      </c:catAx>
      <c:valAx>
        <c:axId val="3676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36688"/>
        <c:crosses val="autoZero"/>
        <c:crossBetween val="between"/>
      </c:valAx>
      <c:valAx>
        <c:axId val="36760121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53520"/>
        <c:crosses val="max"/>
        <c:crossBetween val="between"/>
      </c:valAx>
      <c:catAx>
        <c:axId val="26325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0121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Attributes!PivotTable10</c:name>
    <c:fmtId val="5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Attributes'!$B$154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Attributes'!$A$155:$A$161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'Individual Attributes'!$B$155:$B$161</c:f>
              <c:numCache>
                <c:formatCode>_-[$$-409]* #,##0.00_ ;_-[$$-409]* \-#,##0.00\ ;_-[$$-409]* "-"??_ ;_-@_ 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5-43DA-8638-E5EE9D33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8304"/>
        <c:axId val="89891040"/>
      </c:barChart>
      <c:catAx>
        <c:axId val="993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1040"/>
        <c:crosses val="autoZero"/>
        <c:auto val="1"/>
        <c:lblAlgn val="ctr"/>
        <c:lblOffset val="100"/>
        <c:noMultiLvlLbl val="0"/>
      </c:catAx>
      <c:valAx>
        <c:axId val="89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Jangra.xlsx]Multiple Attributes!PivotTable1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Total Sales contribution by Country in each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'Multiple Attributes'!$B$3:$B$4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'Multiple Attributes'!$A$5:$A$10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Attributes'!$B$5:$B$10</c:f>
              <c:numCache>
                <c:formatCode>_("$"* #,##0.00_);_("$"* \(#,##0.00\);_("$"* "-"??_);_(@_)</c:formatCode>
                <c:ptCount val="5"/>
                <c:pt idx="0">
                  <c:v>491164.13999999984</c:v>
                </c:pt>
                <c:pt idx="1">
                  <c:v>3967491.25</c:v>
                </c:pt>
                <c:pt idx="2">
                  <c:v>10741236.52</c:v>
                </c:pt>
                <c:pt idx="3">
                  <c:v>510213.97500000003</c:v>
                </c:pt>
                <c:pt idx="4">
                  <c:v>9177549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5-4E94-9ED9-1BCBC8B64408}"/>
            </c:ext>
          </c:extLst>
        </c:ser>
        <c:ser>
          <c:idx val="1"/>
          <c:order val="1"/>
          <c:tx>
            <c:strRef>
              <c:f>'Multiple Attributes'!$C$3:$C$4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'Multiple Attributes'!$A$5:$A$10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Attributes'!$C$5:$C$10</c:f>
              <c:numCache>
                <c:formatCode>_("$"* #,##0.00_);_("$"* \(#,##0.00\);_("$"* "-"??_);_(@_)</c:formatCode>
                <c:ptCount val="5"/>
                <c:pt idx="0">
                  <c:v>372090.36000000004</c:v>
                </c:pt>
                <c:pt idx="1">
                  <c:v>3890890.625</c:v>
                </c:pt>
                <c:pt idx="2">
                  <c:v>12127782.719999995</c:v>
                </c:pt>
                <c:pt idx="3">
                  <c:v>593802.07499999995</c:v>
                </c:pt>
                <c:pt idx="4">
                  <c:v>7369606.5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5-4E94-9ED9-1BCBC8B64408}"/>
            </c:ext>
          </c:extLst>
        </c:ser>
        <c:ser>
          <c:idx val="2"/>
          <c:order val="2"/>
          <c:tx>
            <c:strRef>
              <c:f>'Multiple Attributes'!$D$3:$D$4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'Multiple Attributes'!$A$5:$A$10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Attributes'!$D$5:$D$10</c:f>
              <c:numCache>
                <c:formatCode>_("$"* #,##0.00_);_("$"* \(#,##0.00\);_("$"* "-"??_);_(@_)</c:formatCode>
                <c:ptCount val="5"/>
                <c:pt idx="0">
                  <c:v>336425.87999999995</c:v>
                </c:pt>
                <c:pt idx="1">
                  <c:v>4086826.25</c:v>
                </c:pt>
                <c:pt idx="2">
                  <c:v>11452895.939999998</c:v>
                </c:pt>
                <c:pt idx="3">
                  <c:v>301344.75</c:v>
                </c:pt>
                <c:pt idx="4">
                  <c:v>7327848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5-4E94-9ED9-1BCBC8B64408}"/>
            </c:ext>
          </c:extLst>
        </c:ser>
        <c:ser>
          <c:idx val="3"/>
          <c:order val="3"/>
          <c:tx>
            <c:strRef>
              <c:f>'Multiple Attributes'!$E$3:$E$4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'Multiple Attributes'!$A$5:$A$10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Attributes'!$E$5:$E$10</c:f>
              <c:numCache>
                <c:formatCode>_("$"* #,##0.00_);_("$"* \(#,##0.00\);_("$"* "-"??_);_(@_)</c:formatCode>
                <c:ptCount val="5"/>
                <c:pt idx="0">
                  <c:v>234379.08000000002</c:v>
                </c:pt>
                <c:pt idx="1">
                  <c:v>3315881.25</c:v>
                </c:pt>
                <c:pt idx="2">
                  <c:v>9791599.3799999971</c:v>
                </c:pt>
                <c:pt idx="3">
                  <c:v>511136.40000000008</c:v>
                </c:pt>
                <c:pt idx="4">
                  <c:v>7096356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5-4E94-9ED9-1BCBC8B64408}"/>
            </c:ext>
          </c:extLst>
        </c:ser>
        <c:ser>
          <c:idx val="4"/>
          <c:order val="4"/>
          <c:tx>
            <c:strRef>
              <c:f>'Multiple Attributes'!$F$3:$F$4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'Multiple Attributes'!$A$5:$A$10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Attributes'!$F$5:$F$10</c:f>
              <c:numCache>
                <c:formatCode>_("$"* #,##0.00_);_("$"* \(#,##0.00\);_("$"* "-"??_);_(@_)</c:formatCode>
                <c:ptCount val="5"/>
                <c:pt idx="0">
                  <c:v>366534.17999999993</c:v>
                </c:pt>
                <c:pt idx="1">
                  <c:v>4350605</c:v>
                </c:pt>
                <c:pt idx="2">
                  <c:v>8390746.1099999994</c:v>
                </c:pt>
                <c:pt idx="3">
                  <c:v>465385.87499999988</c:v>
                </c:pt>
                <c:pt idx="4">
                  <c:v>11456559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5-4E94-9ED9-1BCBC8B6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798831"/>
        <c:axId val="327141711"/>
      </c:barChart>
      <c:catAx>
        <c:axId val="4337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1711"/>
        <c:crosses val="autoZero"/>
        <c:auto val="1"/>
        <c:lblAlgn val="ctr"/>
        <c:lblOffset val="100"/>
        <c:noMultiLvlLbl val="0"/>
      </c:catAx>
      <c:valAx>
        <c:axId val="3271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988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Jangra.xlsx]Multiple Attributes!PivotTable2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Attributes'!$B$21:$B$22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'Multiple Attributes'!$A$23:$A$28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Attributes'!$B$23:$B$28</c:f>
              <c:numCache>
                <c:formatCode>_("$"* #,##0.00_);_("$"* \(#,##0.00\);_("$"* "-"??_);_(@_)</c:formatCode>
                <c:ptCount val="5"/>
                <c:pt idx="0">
                  <c:v>358978.1399999999</c:v>
                </c:pt>
                <c:pt idx="1">
                  <c:v>-121508.75</c:v>
                </c:pt>
                <c:pt idx="2">
                  <c:v>2258471.5200000005</c:v>
                </c:pt>
                <c:pt idx="3">
                  <c:v>132488.97499999998</c:v>
                </c:pt>
                <c:pt idx="4">
                  <c:v>900799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056-8768-5B31EAA8AE7E}"/>
            </c:ext>
          </c:extLst>
        </c:ser>
        <c:ser>
          <c:idx val="1"/>
          <c:order val="1"/>
          <c:tx>
            <c:strRef>
              <c:f>'Multiple Attributes'!$C$21:$C$22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'Multiple Attributes'!$A$23:$A$28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Attributes'!$C$23:$C$28</c:f>
              <c:numCache>
                <c:formatCode>_("$"* #,##0.00_);_("$"* \(#,##0.00\);_("$"* "-"??_);_(@_)</c:formatCode>
                <c:ptCount val="5"/>
                <c:pt idx="0">
                  <c:v>271581.36</c:v>
                </c:pt>
                <c:pt idx="1">
                  <c:v>-95749.375</c:v>
                </c:pt>
                <c:pt idx="2">
                  <c:v>2709915.22</c:v>
                </c:pt>
                <c:pt idx="3">
                  <c:v>164542.07499999998</c:v>
                </c:pt>
                <c:pt idx="4">
                  <c:v>730731.5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056-8768-5B31EAA8AE7E}"/>
            </c:ext>
          </c:extLst>
        </c:ser>
        <c:ser>
          <c:idx val="2"/>
          <c:order val="2"/>
          <c:tx>
            <c:strRef>
              <c:f>'Multiple Attributes'!$D$21:$D$22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'Multiple Attributes'!$A$23:$A$28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Attributes'!$D$23:$D$28</c:f>
              <c:numCache>
                <c:formatCode>_("$"* #,##0.00_);_("$"* \(#,##0.00\);_("$"* "-"??_);_(@_)</c:formatCode>
                <c:ptCount val="5"/>
                <c:pt idx="0">
                  <c:v>247358.87999999998</c:v>
                </c:pt>
                <c:pt idx="1">
                  <c:v>-101473.75</c:v>
                </c:pt>
                <c:pt idx="2">
                  <c:v>2677175.9400000018</c:v>
                </c:pt>
                <c:pt idx="3">
                  <c:v>85354.75</c:v>
                </c:pt>
                <c:pt idx="4">
                  <c:v>771973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056-8768-5B31EAA8AE7E}"/>
            </c:ext>
          </c:extLst>
        </c:ser>
        <c:ser>
          <c:idx val="3"/>
          <c:order val="3"/>
          <c:tx>
            <c:strRef>
              <c:f>'Multiple Attributes'!$E$21:$E$22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'Multiple Attributes'!$A$23:$A$28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Attributes'!$E$23:$E$28</c:f>
              <c:numCache>
                <c:formatCode>_("$"* #,##0.00_);_("$"* \(#,##0.00\);_("$"* "-"??_);_(@_)</c:formatCode>
                <c:ptCount val="5"/>
                <c:pt idx="0">
                  <c:v>170890.08</c:v>
                </c:pt>
                <c:pt idx="1">
                  <c:v>-120678.75</c:v>
                </c:pt>
                <c:pt idx="2">
                  <c:v>2039159.3800000001</c:v>
                </c:pt>
                <c:pt idx="3">
                  <c:v>150546.40000000002</c:v>
                </c:pt>
                <c:pt idx="4">
                  <c:v>667606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056-8768-5B31EAA8AE7E}"/>
            </c:ext>
          </c:extLst>
        </c:ser>
        <c:ser>
          <c:idx val="4"/>
          <c:order val="4"/>
          <c:tx>
            <c:strRef>
              <c:f>'Multiple Attributes'!$F$21:$F$22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'Multiple Attributes'!$A$23:$A$28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'Multiple Attributes'!$F$23:$F$28</c:f>
              <c:numCache>
                <c:formatCode>_("$"* #,##0.00_);_("$"* \(#,##0.00\);_("$"* "-"??_);_(@_)</c:formatCode>
                <c:ptCount val="5"/>
                <c:pt idx="0">
                  <c:v>267994.67999999993</c:v>
                </c:pt>
                <c:pt idx="1">
                  <c:v>-175135</c:v>
                </c:pt>
                <c:pt idx="2">
                  <c:v>1703451.1099999996</c:v>
                </c:pt>
                <c:pt idx="3">
                  <c:v>127170.87500000001</c:v>
                </c:pt>
                <c:pt idx="4">
                  <c:v>1072059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A-4056-8768-5B31EAA8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88271"/>
        <c:axId val="608077119"/>
      </c:barChart>
      <c:catAx>
        <c:axId val="6369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7119"/>
        <c:crosses val="autoZero"/>
        <c:auto val="1"/>
        <c:lblAlgn val="ctr"/>
        <c:lblOffset val="100"/>
        <c:noMultiLvlLbl val="0"/>
      </c:catAx>
      <c:valAx>
        <c:axId val="6080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Jangra.xlsx]Product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'Product Category'!$A$4:$A$10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Category'!$B$4:$B$10</c:f>
              <c:numCache>
                <c:formatCode>_("$"* #,##0.00_);_("$"* \(#,##0.00\);_("$"* "-"??_);_(@_)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8-4A01-B8BD-57C2D3C1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977903"/>
        <c:axId val="565657695"/>
      </c:barChart>
      <c:catAx>
        <c:axId val="6479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57695"/>
        <c:crosses val="autoZero"/>
        <c:auto val="1"/>
        <c:lblAlgn val="ctr"/>
        <c:lblOffset val="100"/>
        <c:noMultiLvlLbl val="0"/>
      </c:catAx>
      <c:valAx>
        <c:axId val="5656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Jangra.xlsx]Product Category!PivotTable7</c:name>
    <c:fmtId val="1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</c:pivotFmt>
      <c:pivotFmt>
        <c:idx val="1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Category'!$B$20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'Product Category'!$A$21:$A$27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Category'!$B$21:$B$27</c:f>
              <c:numCache>
                <c:formatCode>0.00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376-B1C2-F28808543A44}"/>
            </c:ext>
          </c:extLst>
        </c:ser>
        <c:ser>
          <c:idx val="1"/>
          <c:order val="1"/>
          <c:tx>
            <c:strRef>
              <c:f>'Product Category'!$C$20</c:f>
              <c:strCache>
                <c:ptCount val="1"/>
                <c:pt idx="0">
                  <c:v>Average of  Sales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'Product Category'!$A$21:$A$27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Category'!$C$21:$C$27</c:f>
              <c:numCache>
                <c:formatCode>_("$"* #,##0.00_);_("$"* \(#,##0.00\);_("$"* "-"??_);_(@_)</c:formatCode>
                <c:ptCount val="6"/>
                <c:pt idx="0">
                  <c:v>188799.10702127658</c:v>
                </c:pt>
                <c:pt idx="1">
                  <c:v>148551.69768817208</c:v>
                </c:pt>
                <c:pt idx="2">
                  <c:v>165492.49333333329</c:v>
                </c:pt>
                <c:pt idx="3">
                  <c:v>163421.50470297036</c:v>
                </c:pt>
                <c:pt idx="4">
                  <c:v>167431.73821100919</c:v>
                </c:pt>
                <c:pt idx="5">
                  <c:v>188182.76165137615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376-B1C2-F2880854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33503"/>
        <c:axId val="565638143"/>
      </c:lineChart>
      <c:catAx>
        <c:axId val="4321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38143"/>
        <c:crosses val="autoZero"/>
        <c:auto val="1"/>
        <c:lblAlgn val="ctr"/>
        <c:lblOffset val="100"/>
        <c:noMultiLvlLbl val="0"/>
      </c:catAx>
      <c:valAx>
        <c:axId val="5656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33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Jangra.xlsx]Product Category!PivotTable8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Units Sold and Profit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Category'!$B$37</c:f>
              <c:strCache>
                <c:ptCount val="1"/>
                <c:pt idx="0">
                  <c:v>Count of Units Sold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'Product Category'!$A$38:$A$44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Category'!$B$38:$B$44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46CD-852A-5F88EC3F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275887"/>
        <c:axId val="565668927"/>
      </c:barChart>
      <c:lineChart>
        <c:grouping val="standard"/>
        <c:varyColors val="0"/>
        <c:ser>
          <c:idx val="1"/>
          <c:order val="1"/>
          <c:tx>
            <c:strRef>
              <c:f>'Product Category'!$C$37</c:f>
              <c:strCache>
                <c:ptCount val="1"/>
                <c:pt idx="0">
                  <c:v>Sum of Profit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'Product Category'!$A$38:$A$44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Category'!$C$38:$C$44</c:f>
              <c:numCache>
                <c:formatCode>_("$"* #,##0.00_);_("$"* \(#,##0.00\);_("$"* "-"??_);_(@_)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D-46CD-852A-5F88EC3F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87887"/>
        <c:axId val="565682655"/>
      </c:lineChart>
      <c:catAx>
        <c:axId val="5392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8927"/>
        <c:crosses val="autoZero"/>
        <c:auto val="1"/>
        <c:lblAlgn val="ctr"/>
        <c:lblOffset val="100"/>
        <c:noMultiLvlLbl val="0"/>
      </c:catAx>
      <c:valAx>
        <c:axId val="5656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75887"/>
        <c:crosses val="autoZero"/>
        <c:crossBetween val="between"/>
      </c:valAx>
      <c:valAx>
        <c:axId val="565682655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87887"/>
        <c:crosses val="max"/>
        <c:crossBetween val="between"/>
      </c:valAx>
      <c:catAx>
        <c:axId val="539287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68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Jangra.xlsx]Product Category!PivotTable9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Product Sales in each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Category'!$B$54:$B$55</c:f>
              <c:strCache>
                <c:ptCount val="1"/>
                <c:pt idx="0">
                  <c:v>Channel Partners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'Product Category'!$A$56:$A$62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Category'!$B$56:$B$62</c:f>
              <c:numCache>
                <c:formatCode>_("$"* #,##0.00_);_("$"* \(#,##0.00\);_("$"* "-"??_);_(@_)</c:formatCode>
                <c:ptCount val="6"/>
                <c:pt idx="0">
                  <c:v>317643</c:v>
                </c:pt>
                <c:pt idx="1">
                  <c:v>282838.67999999993</c:v>
                </c:pt>
                <c:pt idx="2">
                  <c:v>261844.56</c:v>
                </c:pt>
                <c:pt idx="3">
                  <c:v>454514.39999999997</c:v>
                </c:pt>
                <c:pt idx="4">
                  <c:v>182924.03999999998</c:v>
                </c:pt>
                <c:pt idx="5">
                  <c:v>300828.95999999996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5-4047-8D23-E5BF4032108B}"/>
            </c:ext>
          </c:extLst>
        </c:ser>
        <c:ser>
          <c:idx val="1"/>
          <c:order val="1"/>
          <c:tx>
            <c:strRef>
              <c:f>'Product Category'!$C$54:$C$55</c:f>
              <c:strCache>
                <c:ptCount val="1"/>
                <c:pt idx="0">
                  <c:v>Enterprise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'Product Category'!$A$56:$A$62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Category'!$C$56:$C$62</c:f>
              <c:numCache>
                <c:formatCode>_("$"* #,##0.00_);_("$"* \(#,##0.00\);_("$"* "-"??_);_(@_)</c:formatCode>
                <c:ptCount val="6"/>
                <c:pt idx="0">
                  <c:v>2643607.5</c:v>
                </c:pt>
                <c:pt idx="1">
                  <c:v>3203708.125</c:v>
                </c:pt>
                <c:pt idx="2">
                  <c:v>2614843.75</c:v>
                </c:pt>
                <c:pt idx="3">
                  <c:v>5267860</c:v>
                </c:pt>
                <c:pt idx="4">
                  <c:v>3581237.5</c:v>
                </c:pt>
                <c:pt idx="5">
                  <c:v>2300437.5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5-4047-8D23-E5BF4032108B}"/>
            </c:ext>
          </c:extLst>
        </c:ser>
        <c:ser>
          <c:idx val="2"/>
          <c:order val="2"/>
          <c:tx>
            <c:strRef>
              <c:f>'Product Category'!$D$54:$D$55</c:f>
              <c:strCache>
                <c:ptCount val="1"/>
                <c:pt idx="0">
                  <c:v>Government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'Product Category'!$A$56:$A$62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Category'!$D$56:$D$62</c:f>
              <c:numCache>
                <c:formatCode>_("$"* #,##0.00_);_("$"* \(#,##0.00\);_("$"* "-"??_);_(@_)</c:formatCode>
                <c:ptCount val="6"/>
                <c:pt idx="0">
                  <c:v>9942899.1099999975</c:v>
                </c:pt>
                <c:pt idx="1">
                  <c:v>6080944.0799999982</c:v>
                </c:pt>
                <c:pt idx="2">
                  <c:v>5548936.0199999996</c:v>
                </c:pt>
                <c:pt idx="3">
                  <c:v>14882230.699999994</c:v>
                </c:pt>
                <c:pt idx="4">
                  <c:v>7813422.0499999989</c:v>
                </c:pt>
                <c:pt idx="5">
                  <c:v>8235828.7099999972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5-4047-8D23-E5BF4032108B}"/>
            </c:ext>
          </c:extLst>
        </c:ser>
        <c:ser>
          <c:idx val="3"/>
          <c:order val="3"/>
          <c:tx>
            <c:strRef>
              <c:f>'Product Category'!$E$54:$E$55</c:f>
              <c:strCache>
                <c:ptCount val="1"/>
                <c:pt idx="0">
                  <c:v>Midmarket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'Product Category'!$A$56:$A$62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Category'!$E$56:$E$62</c:f>
              <c:numCache>
                <c:formatCode>_("$"* #,##0.00_);_("$"* \(#,##0.00\);_("$"* "-"??_);_(@_)</c:formatCode>
                <c:ptCount val="6"/>
                <c:pt idx="0">
                  <c:v>248685.45000000004</c:v>
                </c:pt>
                <c:pt idx="1">
                  <c:v>337305</c:v>
                </c:pt>
                <c:pt idx="2">
                  <c:v>290239.04999999993</c:v>
                </c:pt>
                <c:pt idx="3">
                  <c:v>907729.35</c:v>
                </c:pt>
                <c:pt idx="4">
                  <c:v>264498.375</c:v>
                </c:pt>
                <c:pt idx="5">
                  <c:v>333425.84999999998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5-4047-8D23-E5BF4032108B}"/>
            </c:ext>
          </c:extLst>
        </c:ser>
        <c:ser>
          <c:idx val="4"/>
          <c:order val="4"/>
          <c:tx>
            <c:strRef>
              <c:f>'Product Category'!$F$54:$F$55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'Product Category'!$A$56:$A$62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Category'!$F$56:$F$62</c:f>
              <c:numCache>
                <c:formatCode>_("$"* #,##0.00_);_("$"* \(#,##0.00\);_("$"* "-"??_);_(@_)</c:formatCode>
                <c:ptCount val="6"/>
                <c:pt idx="0">
                  <c:v>4594281</c:v>
                </c:pt>
                <c:pt idx="1">
                  <c:v>3910512</c:v>
                </c:pt>
                <c:pt idx="2">
                  <c:v>6674938.5</c:v>
                </c:pt>
                <c:pt idx="3">
                  <c:v>11498809.5</c:v>
                </c:pt>
                <c:pt idx="4">
                  <c:v>6407977.5</c:v>
                </c:pt>
                <c:pt idx="5">
                  <c:v>9341400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5-4047-8D23-E5BF4032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30859135"/>
        <c:axId val="565673919"/>
      </c:lineChart>
      <c:catAx>
        <c:axId val="5308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3919"/>
        <c:crosses val="autoZero"/>
        <c:auto val="1"/>
        <c:lblAlgn val="ctr"/>
        <c:lblOffset val="100"/>
        <c:noMultiLvlLbl val="0"/>
      </c:catAx>
      <c:valAx>
        <c:axId val="56567391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91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[Capstone_Project -By_Modit Jangra.xlsx]Product Category!PivotTable10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'Product Category'!$B$72:$B$73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'Product Category'!$A$74:$A$80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Category'!$B$74:$B$80</c:f>
              <c:numCache>
                <c:formatCode>_("$"* #,##0.00_);_("$"* \(#,##0.00\);_("$"* "-"??_);_(@_)</c:formatCode>
                <c:ptCount val="6"/>
                <c:pt idx="0">
                  <c:v>3855765.8750000005</c:v>
                </c:pt>
                <c:pt idx="1">
                  <c:v>2610204.34</c:v>
                </c:pt>
                <c:pt idx="2">
                  <c:v>2711919.0300000003</c:v>
                </c:pt>
                <c:pt idx="3">
                  <c:v>7611520.9899999993</c:v>
                </c:pt>
                <c:pt idx="4">
                  <c:v>3329490.34</c:v>
                </c:pt>
                <c:pt idx="5">
                  <c:v>4768754.3100000005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2E6-8816-45DD28CF5D29}"/>
            </c:ext>
          </c:extLst>
        </c:ser>
        <c:ser>
          <c:idx val="1"/>
          <c:order val="1"/>
          <c:tx>
            <c:strRef>
              <c:f>'Product Category'!$C$72:$C$73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'Product Category'!$A$74:$A$80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Category'!$C$74:$C$80</c:f>
              <c:numCache>
                <c:formatCode>_("$"* #,##0.00_);_("$"* \(#,##0.00\);_("$"* "-"??_);_(@_)</c:formatCode>
                <c:ptCount val="6"/>
                <c:pt idx="0">
                  <c:v>4016427.13</c:v>
                </c:pt>
                <c:pt idx="1">
                  <c:v>3423321.895</c:v>
                </c:pt>
                <c:pt idx="2">
                  <c:v>3527382.3699999996</c:v>
                </c:pt>
                <c:pt idx="3">
                  <c:v>5597751.0599999996</c:v>
                </c:pt>
                <c:pt idx="4">
                  <c:v>3978096.2350000003</c:v>
                </c:pt>
                <c:pt idx="5">
                  <c:v>3811193.59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5-42E6-8816-45DD28CF5D29}"/>
            </c:ext>
          </c:extLst>
        </c:ser>
        <c:ser>
          <c:idx val="2"/>
          <c:order val="2"/>
          <c:tx>
            <c:strRef>
              <c:f>'Product Category'!$D$72:$D$73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'Product Category'!$A$74:$A$80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Category'!$D$74:$D$80</c:f>
              <c:numCache>
                <c:formatCode>_("$"* #,##0.00_);_("$"* \(#,##0.00\);_("$"* "-"??_);_(@_)</c:formatCode>
                <c:ptCount val="6"/>
                <c:pt idx="0">
                  <c:v>3960250.26</c:v>
                </c:pt>
                <c:pt idx="1">
                  <c:v>3062340.68</c:v>
                </c:pt>
                <c:pt idx="2">
                  <c:v>3566044.3699999996</c:v>
                </c:pt>
                <c:pt idx="3">
                  <c:v>5229814.7399999984</c:v>
                </c:pt>
                <c:pt idx="4">
                  <c:v>4392907</c:v>
                </c:pt>
                <c:pt idx="5">
                  <c:v>3293983.77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5-42E6-8816-45DD28CF5D29}"/>
            </c:ext>
          </c:extLst>
        </c:ser>
        <c:ser>
          <c:idx val="3"/>
          <c:order val="3"/>
          <c:tx>
            <c:strRef>
              <c:f>'Product Category'!$E$72:$E$73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'Product Category'!$A$74:$A$80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Category'!$E$74:$E$80</c:f>
              <c:numCache>
                <c:formatCode>_("$"* #,##0.00_);_("$"* \(#,##0.00\);_("$"* "-"??_);_(@_)</c:formatCode>
                <c:ptCount val="6"/>
                <c:pt idx="0">
                  <c:v>3077555.39</c:v>
                </c:pt>
                <c:pt idx="1">
                  <c:v>2879601.42</c:v>
                </c:pt>
                <c:pt idx="2">
                  <c:v>1941329.31</c:v>
                </c:pt>
                <c:pt idx="3">
                  <c:v>7627731.3899999997</c:v>
                </c:pt>
                <c:pt idx="4">
                  <c:v>2250737.8899999997</c:v>
                </c:pt>
                <c:pt idx="5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5-42E6-8816-45DD28CF5D29}"/>
            </c:ext>
          </c:extLst>
        </c:ser>
        <c:ser>
          <c:idx val="4"/>
          <c:order val="4"/>
          <c:tx>
            <c:strRef>
              <c:f>'Product Category'!$F$72:$F$73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'Product Category'!$A$74:$A$80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Category'!$F$74:$F$80</c:f>
              <c:numCache>
                <c:formatCode>_("$"* #,##0.00_);_("$"* \(#,##0.00\);_("$"* "-"??_);_(@_)</c:formatCode>
                <c:ptCount val="6"/>
                <c:pt idx="0">
                  <c:v>2837117.4050000003</c:v>
                </c:pt>
                <c:pt idx="1">
                  <c:v>1839839.5500000003</c:v>
                </c:pt>
                <c:pt idx="2">
                  <c:v>3644126.7999999993</c:v>
                </c:pt>
                <c:pt idx="3">
                  <c:v>6944325.7699999996</c:v>
                </c:pt>
                <c:pt idx="4">
                  <c:v>4298828</c:v>
                </c:pt>
                <c:pt idx="5">
                  <c:v>5465592.6399999997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5-42E6-8816-45DD28CF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888591"/>
        <c:axId val="565641055"/>
      </c:barChart>
      <c:catAx>
        <c:axId val="6828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1055"/>
        <c:crosses val="autoZero"/>
        <c:auto val="1"/>
        <c:lblAlgn val="ctr"/>
        <c:lblOffset val="100"/>
        <c:noMultiLvlLbl val="0"/>
      </c:catAx>
      <c:valAx>
        <c:axId val="5656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Jangra.xlsx]Discount!PivotTable6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Discount!$B$12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B-4C70-9F27-1FA1455CF9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B-4C70-9F27-1FA1455CF9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1B-4C70-9F27-1FA1455CF9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1B-4C70-9F27-1FA1455CF9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Discount!$A$13:$A$17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Discount!$B$13:$B$17</c:f>
              <c:numCache>
                <c:formatCode>_("$"* #,##0.00_);_("$"* \(#,##0.00\);_("$"* "-"??_);_(@_)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4-4F75-965F-577A397D95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Jangra.xlsx]Discount!PivotTable1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Product Sold in each Discount Band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Discount!$B$25:$B$26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Discount!$A$27:$A$33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Discount!$B$27:$B$33</c:f>
              <c:numCache>
                <c:formatCode>General</c:formatCode>
                <c:ptCount val="6"/>
                <c:pt idx="0">
                  <c:v>71308.5</c:v>
                </c:pt>
                <c:pt idx="1">
                  <c:v>58737</c:v>
                </c:pt>
                <c:pt idx="2">
                  <c:v>47231</c:v>
                </c:pt>
                <c:pt idx="3">
                  <c:v>109375.5</c:v>
                </c:pt>
                <c:pt idx="4">
                  <c:v>52411.5</c:v>
                </c:pt>
                <c:pt idx="5">
                  <c:v>59022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8-426C-BAFD-BFE5B025BDAA}"/>
            </c:ext>
          </c:extLst>
        </c:ser>
        <c:ser>
          <c:idx val="1"/>
          <c:order val="1"/>
          <c:tx>
            <c:strRef>
              <c:f>Discount!$C$25:$C$26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Discount!$A$27:$A$33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Discount!$C$27:$C$33</c:f>
              <c:numCache>
                <c:formatCode>General</c:formatCode>
                <c:ptCount val="6"/>
                <c:pt idx="0">
                  <c:v>20300</c:v>
                </c:pt>
                <c:pt idx="1">
                  <c:v>38448</c:v>
                </c:pt>
                <c:pt idx="2">
                  <c:v>36999.5</c:v>
                </c:pt>
                <c:pt idx="3">
                  <c:v>95107</c:v>
                </c:pt>
                <c:pt idx="4">
                  <c:v>34472.5</c:v>
                </c:pt>
                <c:pt idx="5">
                  <c:v>36531.5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8-426C-BAFD-BFE5B025BDAA}"/>
            </c:ext>
          </c:extLst>
        </c:ser>
        <c:ser>
          <c:idx val="2"/>
          <c:order val="2"/>
          <c:tx>
            <c:strRef>
              <c:f>Discount!$D$25:$D$26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Discount!$A$27:$A$33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Discount!$D$27:$D$33</c:f>
              <c:numCache>
                <c:formatCode>General</c:formatCode>
                <c:ptCount val="6"/>
                <c:pt idx="0">
                  <c:v>47300</c:v>
                </c:pt>
                <c:pt idx="1">
                  <c:v>39672.5</c:v>
                </c:pt>
                <c:pt idx="2">
                  <c:v>53885</c:v>
                </c:pt>
                <c:pt idx="3">
                  <c:v>114646</c:v>
                </c:pt>
                <c:pt idx="4">
                  <c:v>64365.5</c:v>
                </c:pt>
                <c:pt idx="5">
                  <c:v>59829.5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8-426C-BAFD-BFE5B025BDAA}"/>
            </c:ext>
          </c:extLst>
        </c:ser>
        <c:ser>
          <c:idx val="3"/>
          <c:order val="3"/>
          <c:tx>
            <c:strRef>
              <c:f>Discount!$E$25:$E$26</c:f>
              <c:strCache>
                <c:ptCount val="1"/>
                <c:pt idx="0">
                  <c:v>None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Discount!$A$27:$A$33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Discount!$E$27:$E$33</c:f>
              <c:numCache>
                <c:formatCode>General</c:formatCode>
                <c:ptCount val="6"/>
                <c:pt idx="0">
                  <c:v>16406.5</c:v>
                </c:pt>
                <c:pt idx="1">
                  <c:v>9988.5</c:v>
                </c:pt>
                <c:pt idx="2">
                  <c:v>16082.5</c:v>
                </c:pt>
                <c:pt idx="3">
                  <c:v>19111</c:v>
                </c:pt>
                <c:pt idx="4">
                  <c:v>11175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8-426C-BAFD-BFE5B02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4025648"/>
        <c:axId val="381728640"/>
      </c:barChart>
      <c:catAx>
        <c:axId val="3840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28640"/>
        <c:crosses val="autoZero"/>
        <c:auto val="1"/>
        <c:lblAlgn val="ctr"/>
        <c:lblOffset val="100"/>
        <c:noMultiLvlLbl val="0"/>
      </c:catAx>
      <c:valAx>
        <c:axId val="381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Attributes!PivotTable3</c:name>
    <c:fmtId val="1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Attributes'!$B$19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Attributes'!$A$20:$A$25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'Individual Attributes'!$B$20:$B$25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047-BA22-18256059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66909536"/>
        <c:axId val="187757696"/>
      </c:barChart>
      <c:lineChart>
        <c:grouping val="standard"/>
        <c:varyColors val="0"/>
        <c:ser>
          <c:idx val="1"/>
          <c:order val="1"/>
          <c:tx>
            <c:strRef>
              <c:f>'Individual Attributes'!$C$19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'Individual Attributes'!$A$20:$A$25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'Individual Attributes'!$C$20:$C$25</c:f>
              <c:numCache>
                <c:formatCode>_("$"* #,##0.00_);_("$"* \(#,##0.00\);_("$"* "-"??_);_(@_)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2-4047-BA22-18256059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39536"/>
        <c:axId val="115385040"/>
      </c:lineChart>
      <c:catAx>
        <c:axId val="3669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7696"/>
        <c:crosses val="autoZero"/>
        <c:auto val="1"/>
        <c:lblAlgn val="ctr"/>
        <c:lblOffset val="100"/>
        <c:noMultiLvlLbl val="0"/>
      </c:catAx>
      <c:valAx>
        <c:axId val="1877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9536"/>
        <c:crosses val="autoZero"/>
        <c:crossBetween val="between"/>
      </c:valAx>
      <c:valAx>
        <c:axId val="11538504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39536"/>
        <c:crosses val="max"/>
        <c:crossBetween val="between"/>
      </c:valAx>
      <c:catAx>
        <c:axId val="36693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38504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Jangra.xlsx]Discount!PivotTable2</c:name>
    <c:fmtId val="3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Discount!$B$60:$B$61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Discount!$A$62:$A$67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Discount!$B$62:$B$67</c:f>
              <c:numCache>
                <c:formatCode>0.0%</c:formatCode>
                <c:ptCount val="5"/>
                <c:pt idx="0">
                  <c:v>4.0824385198763519E-3</c:v>
                </c:pt>
                <c:pt idx="1">
                  <c:v>3.2531051004008557E-3</c:v>
                </c:pt>
                <c:pt idx="2">
                  <c:v>2.1555225326546981E-3</c:v>
                </c:pt>
                <c:pt idx="3">
                  <c:v>2.1267128804774087E-3</c:v>
                </c:pt>
                <c:pt idx="4">
                  <c:v>3.0008772473907775E-3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BA3-BDB5-2A486D14F58C}"/>
            </c:ext>
          </c:extLst>
        </c:ser>
        <c:ser>
          <c:idx val="1"/>
          <c:order val="1"/>
          <c:tx>
            <c:strRef>
              <c:f>Discount!$C$60:$C$61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Discount!$A$62:$A$67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Discount!$C$62:$C$67</c:f>
              <c:numCache>
                <c:formatCode>0.0%</c:formatCode>
                <c:ptCount val="5"/>
                <c:pt idx="0">
                  <c:v>3.1708406160266676E-2</c:v>
                </c:pt>
                <c:pt idx="1">
                  <c:v>2.8446747786999387E-2</c:v>
                </c:pt>
                <c:pt idx="2">
                  <c:v>2.998140221800254E-2</c:v>
                </c:pt>
                <c:pt idx="3">
                  <c:v>2.8665033589577591E-2</c:v>
                </c:pt>
                <c:pt idx="4">
                  <c:v>3.9510884499514592E-2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9-4BA3-BDB5-2A486D14F58C}"/>
            </c:ext>
          </c:extLst>
        </c:ser>
        <c:ser>
          <c:idx val="2"/>
          <c:order val="2"/>
          <c:tx>
            <c:strRef>
              <c:f>Discount!$D$60:$D$61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Discount!$A$62:$A$67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Discount!$D$62:$D$67</c:f>
              <c:numCache>
                <c:formatCode>0.0%</c:formatCode>
                <c:ptCount val="5"/>
                <c:pt idx="0">
                  <c:v>9.8217935728368788E-2</c:v>
                </c:pt>
                <c:pt idx="1">
                  <c:v>8.5664803320936858E-2</c:v>
                </c:pt>
                <c:pt idx="2">
                  <c:v>6.0667137424204882E-2</c:v>
                </c:pt>
                <c:pt idx="3">
                  <c:v>9.1930668020746356E-2</c:v>
                </c:pt>
                <c:pt idx="4">
                  <c:v>8.7061083971375894E-2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9-4BA3-BDB5-2A486D14F58C}"/>
            </c:ext>
          </c:extLst>
        </c:ser>
        <c:ser>
          <c:idx val="3"/>
          <c:order val="3"/>
          <c:tx>
            <c:strRef>
              <c:f>Discount!$E$60:$E$61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Discount!$A$62:$A$67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Discount!$E$62:$E$67</c:f>
              <c:numCache>
                <c:formatCode>0.0%</c:formatCode>
                <c:ptCount val="5"/>
                <c:pt idx="0">
                  <c:v>6.1240635266127282E-3</c:v>
                </c:pt>
                <c:pt idx="1">
                  <c:v>5.4412356618858551E-3</c:v>
                </c:pt>
                <c:pt idx="2">
                  <c:v>2.4594936942189402E-3</c:v>
                </c:pt>
                <c:pt idx="3">
                  <c:v>3.2316999199143806E-3</c:v>
                </c:pt>
                <c:pt idx="4">
                  <c:v>4.5557299386854988E-3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9-4BA3-BDB5-2A486D14F58C}"/>
            </c:ext>
          </c:extLst>
        </c:ser>
        <c:ser>
          <c:idx val="4"/>
          <c:order val="4"/>
          <c:tx>
            <c:strRef>
              <c:f>Discount!$F$60:$F$61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Discount!$A$62:$A$67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Discount!$F$62:$F$67</c:f>
              <c:numCache>
                <c:formatCode>0.0%</c:formatCode>
                <c:ptCount val="5"/>
                <c:pt idx="0">
                  <c:v>8.1969652564198525E-2</c:v>
                </c:pt>
                <c:pt idx="1">
                  <c:v>6.4859033068292354E-2</c:v>
                </c:pt>
                <c:pt idx="2">
                  <c:v>5.8575498013946008E-2</c:v>
                </c:pt>
                <c:pt idx="3">
                  <c:v>6.7151258052330368E-2</c:v>
                </c:pt>
                <c:pt idx="4">
                  <c:v>0.10915957655912166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9-4BA3-BDB5-2A486D14F5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517085808"/>
        <c:axId val="525110592"/>
      </c:barChart>
      <c:catAx>
        <c:axId val="5170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10592"/>
        <c:crosses val="autoZero"/>
        <c:auto val="1"/>
        <c:lblAlgn val="ctr"/>
        <c:lblOffset val="100"/>
        <c:noMultiLvlLbl val="0"/>
      </c:catAx>
      <c:valAx>
        <c:axId val="52511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Jangra.xlsx]Discount!PivotTable7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Discount!$B$80:$B$81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Discount!$A$82:$A$94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Discount!$B$82:$B$94</c:f>
              <c:numCache>
                <c:formatCode>0.00%</c:formatCode>
                <c:ptCount val="12"/>
                <c:pt idx="0">
                  <c:v>2.8796385153868034E-2</c:v>
                </c:pt>
                <c:pt idx="1">
                  <c:v>9.2456201811656705E-3</c:v>
                </c:pt>
                <c:pt idx="2">
                  <c:v>2.4495664893523027E-2</c:v>
                </c:pt>
                <c:pt idx="3">
                  <c:v>1.1556121341180021E-2</c:v>
                </c:pt>
                <c:pt idx="4">
                  <c:v>2.090708376501222E-2</c:v>
                </c:pt>
                <c:pt idx="5">
                  <c:v>2.1790200021600498E-2</c:v>
                </c:pt>
                <c:pt idx="6">
                  <c:v>2.6422484714893991E-2</c:v>
                </c:pt>
                <c:pt idx="7">
                  <c:v>1.7940422958639679E-2</c:v>
                </c:pt>
                <c:pt idx="8">
                  <c:v>1.2348645998039627E-2</c:v>
                </c:pt>
                <c:pt idx="9">
                  <c:v>4.8059372729849476E-2</c:v>
                </c:pt>
                <c:pt idx="10">
                  <c:v>6.7438486422483249E-2</c:v>
                </c:pt>
                <c:pt idx="11">
                  <c:v>2.577787941175444E-2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1-4969-81E3-A1D4CF3EE12D}"/>
            </c:ext>
          </c:extLst>
        </c:ser>
        <c:ser>
          <c:idx val="1"/>
          <c:order val="1"/>
          <c:tx>
            <c:strRef>
              <c:f>Discount!$C$80:$C$81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Discount!$A$82:$A$94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Discount!$C$82:$C$94</c:f>
              <c:numCache>
                <c:formatCode>0.00%</c:formatCode>
                <c:ptCount val="12"/>
                <c:pt idx="0">
                  <c:v>6.6809147949293667E-3</c:v>
                </c:pt>
                <c:pt idx="1">
                  <c:v>1.3315716827291614E-2</c:v>
                </c:pt>
                <c:pt idx="2">
                  <c:v>1.0264728658222633E-2</c:v>
                </c:pt>
                <c:pt idx="3">
                  <c:v>2.0271410135403251E-2</c:v>
                </c:pt>
                <c:pt idx="4">
                  <c:v>1.6279977239822552E-2</c:v>
                </c:pt>
                <c:pt idx="5">
                  <c:v>1.1705431161293075E-2</c:v>
                </c:pt>
                <c:pt idx="6">
                  <c:v>1.5195094400268144E-2</c:v>
                </c:pt>
                <c:pt idx="7">
                  <c:v>1.4866861030719939E-2</c:v>
                </c:pt>
                <c:pt idx="8">
                  <c:v>2.2688983398385144E-2</c:v>
                </c:pt>
                <c:pt idx="9">
                  <c:v>8.1903599990272288E-2</c:v>
                </c:pt>
                <c:pt idx="10">
                  <c:v>1.1725599051527692E-2</c:v>
                </c:pt>
                <c:pt idx="11">
                  <c:v>6.6778961558554367E-2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1-4969-81E3-A1D4CF3EE12D}"/>
            </c:ext>
          </c:extLst>
        </c:ser>
        <c:ser>
          <c:idx val="2"/>
          <c:order val="2"/>
          <c:tx>
            <c:strRef>
              <c:f>Discount!$D$80:$D$81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Discount!$A$82:$A$94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Discount!$D$82:$D$94</c:f>
              <c:numCache>
                <c:formatCode>0.00%</c:formatCode>
                <c:ptCount val="12"/>
                <c:pt idx="0">
                  <c:v>1.9594894771929969E-2</c:v>
                </c:pt>
                <c:pt idx="1">
                  <c:v>2.366918703258385E-2</c:v>
                </c:pt>
                <c:pt idx="2">
                  <c:v>1.1961440799704745E-2</c:v>
                </c:pt>
                <c:pt idx="3">
                  <c:v>2.1908185624369584E-2</c:v>
                </c:pt>
                <c:pt idx="4">
                  <c:v>1.5119870408454689E-2</c:v>
                </c:pt>
                <c:pt idx="5">
                  <c:v>3.788820064079345E-2</c:v>
                </c:pt>
                <c:pt idx="6">
                  <c:v>2.3688283172531174E-2</c:v>
                </c:pt>
                <c:pt idx="7">
                  <c:v>1.0929632109117276E-2</c:v>
                </c:pt>
                <c:pt idx="8">
                  <c:v>4.4188340654884382E-2</c:v>
                </c:pt>
                <c:pt idx="9">
                  <c:v>5.170839991759045E-2</c:v>
                </c:pt>
                <c:pt idx="10">
                  <c:v>2.2217987449486349E-2</c:v>
                </c:pt>
                <c:pt idx="11">
                  <c:v>4.3762678197566941E-2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1-4969-81E3-A1D4CF3EE12D}"/>
            </c:ext>
          </c:extLst>
        </c:ser>
        <c:ser>
          <c:idx val="3"/>
          <c:order val="3"/>
          <c:tx>
            <c:strRef>
              <c:f>Discount!$E$80:$E$81</c:f>
              <c:strCache>
                <c:ptCount val="1"/>
                <c:pt idx="0">
                  <c:v>None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Discount!$A$82:$A$94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Discount!$E$82:$E$94</c:f>
              <c:numCache>
                <c:formatCode>0.00%</c:formatCode>
                <c:ptCount val="12"/>
                <c:pt idx="0">
                  <c:v>5.8319825252244734E-4</c:v>
                </c:pt>
                <c:pt idx="1">
                  <c:v>1.5234613007466336E-2</c:v>
                </c:pt>
                <c:pt idx="2">
                  <c:v>3.3477825194624158E-4</c:v>
                </c:pt>
                <c:pt idx="3">
                  <c:v>4.92670328633077E-3</c:v>
                </c:pt>
                <c:pt idx="4">
                  <c:v>0</c:v>
                </c:pt>
                <c:pt idx="5">
                  <c:v>8.7912413521874233E-3</c:v>
                </c:pt>
                <c:pt idx="6">
                  <c:v>2.9428471374287153E-3</c:v>
                </c:pt>
                <c:pt idx="7">
                  <c:v>5.659215486104003E-3</c:v>
                </c:pt>
                <c:pt idx="8">
                  <c:v>1.243605144743881E-2</c:v>
                </c:pt>
                <c:pt idx="9">
                  <c:v>8.6124099474192001E-4</c:v>
                </c:pt>
                <c:pt idx="10">
                  <c:v>5.1774016353899168E-3</c:v>
                </c:pt>
                <c:pt idx="11">
                  <c:v>9.9599625307306237E-3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1-4969-81E3-A1D4CF3E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414144"/>
        <c:axId val="442216192"/>
      </c:barChart>
      <c:catAx>
        <c:axId val="5214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6192"/>
        <c:crosses val="autoZero"/>
        <c:auto val="1"/>
        <c:lblAlgn val="ctr"/>
        <c:lblOffset val="100"/>
        <c:noMultiLvlLbl val="0"/>
      </c:catAx>
      <c:valAx>
        <c:axId val="442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Attributes!PivotTable4</c:name>
    <c:fmtId val="2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Attributes'!$B$35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Attributes'!$A$36:$A$42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'Individual Attributes'!$B$36:$B$42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2DB-90B1-2F004A4D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00938336"/>
        <c:axId val="369685696"/>
      </c:barChart>
      <c:lineChart>
        <c:grouping val="standard"/>
        <c:varyColors val="0"/>
        <c:ser>
          <c:idx val="1"/>
          <c:order val="1"/>
          <c:tx>
            <c:strRef>
              <c:f>'Individual Attributes'!$C$35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'Individual Attributes'!$A$36:$A$42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'Individual Attributes'!$C$36:$C$42</c:f>
              <c:numCache>
                <c:formatCode>_("$"* #,##0.00_);_("$"* \(#,##0.00\);_("$"* "-"??_);_(@_)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42DB-90B1-2F004A4D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22656"/>
        <c:axId val="369686112"/>
      </c:lineChart>
      <c:catAx>
        <c:axId val="2009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5696"/>
        <c:crosses val="autoZero"/>
        <c:auto val="1"/>
        <c:lblAlgn val="ctr"/>
        <c:lblOffset val="100"/>
        <c:noMultiLvlLbl val="0"/>
      </c:catAx>
      <c:valAx>
        <c:axId val="369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8336"/>
        <c:crosses val="autoZero"/>
        <c:crossBetween val="between"/>
      </c:valAx>
      <c:valAx>
        <c:axId val="369686112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2656"/>
        <c:crosses val="max"/>
        <c:crossBetween val="between"/>
      </c:valAx>
      <c:catAx>
        <c:axId val="3695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8611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Segment wise Sales Contribution</a:t>
            </a:r>
          </a:p>
        </c:rich>
      </c:tx>
      <c:layout>
        <c:manualLayout>
          <c:xMode val="edge"/>
          <c:yMode val="edge"/>
          <c:x val="0.25218385610051275"/>
          <c:y val="2.1136657719859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dk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 w="9525" cap="flat" cmpd="sng" algn="ctr">
            <a:solidFill>
              <a:schemeClr val="dk1"/>
            </a:solidFill>
            <a:round/>
          </a:ln>
          <a:effectLst/>
        </c:spPr>
      </c:pivotFmt>
      <c:pivotFmt>
        <c:idx val="2"/>
        <c:spPr>
          <a:solidFill>
            <a:srgbClr val="FF0000"/>
          </a:solidFill>
          <a:ln w="9525" cap="flat" cmpd="sng" algn="ctr">
            <a:solidFill>
              <a:schemeClr val="dk1"/>
            </a:solidFill>
            <a:round/>
          </a:ln>
          <a:effectLst/>
        </c:spPr>
      </c:pivotFmt>
      <c:pivotFmt>
        <c:idx val="3"/>
        <c:spPr>
          <a:solidFill>
            <a:srgbClr val="0070C0"/>
          </a:solidFill>
          <a:ln w="9525" cap="flat" cmpd="sng" algn="ctr">
            <a:solidFill>
              <a:schemeClr val="dk1"/>
            </a:solidFill>
            <a:round/>
          </a:ln>
          <a:effectLst/>
        </c:spPr>
      </c:pivotFmt>
      <c:pivotFmt>
        <c:idx val="4"/>
        <c:spPr>
          <a:solidFill>
            <a:srgbClr val="7030A0"/>
          </a:solidFill>
          <a:ln w="9525" cap="flat" cmpd="sng" algn="ctr">
            <a:solidFill>
              <a:schemeClr val="dk1"/>
            </a:solidFill>
            <a:round/>
          </a:ln>
          <a:effectLst/>
        </c:spPr>
      </c:pivotFmt>
      <c:pivotFmt>
        <c:idx val="5"/>
        <c:spPr>
          <a:solidFill>
            <a:srgbClr val="002060"/>
          </a:solidFill>
          <a:ln w="9525" cap="flat" cmpd="sng" algn="ctr">
            <a:solidFill>
              <a:schemeClr val="dk1"/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'Individual Attributes'!$B$52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55-436D-9008-5D881DBFA00D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55-436D-9008-5D881DBFA00D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9525" cap="flat" cmpd="sng" algn="ctr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55-436D-9008-5D881DBFA00D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5-436D-9008-5D881DBFA00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55-436D-9008-5D881DBFA00D}"/>
              </c:ext>
            </c:extLst>
          </c:dPt>
          <c:dLbls>
            <c:spPr>
              <a:solidFill>
                <a:sysClr val="window" lastClr="FFFFFF"/>
              </a:solidFill>
              <a:ln w="12700" cap="flat" cmpd="sng" algn="ctr">
                <a:solidFill>
                  <a:sysClr val="windowText" lastClr="00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'Individual Attributes'!$A$53:$A$58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'Individual Attributes'!$B$53:$B$58</c:f>
              <c:numCache>
                <c:formatCode>0.0%</c:formatCode>
                <c:ptCount val="5"/>
                <c:pt idx="0">
                  <c:v>1.516591418886255E-2</c:v>
                </c:pt>
                <c:pt idx="1">
                  <c:v>0.16518400786390008</c:v>
                </c:pt>
                <c:pt idx="2">
                  <c:v>0.44222921495540313</c:v>
                </c:pt>
                <c:pt idx="3">
                  <c:v>2.0061958190274443E-2</c:v>
                </c:pt>
                <c:pt idx="4">
                  <c:v>0.35735890480155985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36D-9008-5D881DBF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Attributes!PivotTable1</c:name>
    <c:fmtId val="5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Attributes'!$A$70:$A$75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'Individual Attributes'!$B$70:$B$75</c:f>
              <c:numCache>
                <c:formatCode>_("$"* #,##0.00_);_("$"* \(#,##0.00\);_("$"* "-"??_);_(@_)</c:formatCode>
                <c:ptCount val="5"/>
                <c:pt idx="0">
                  <c:v>483790.5</c:v>
                </c:pt>
                <c:pt idx="1">
                  <c:v>20226240</c:v>
                </c:pt>
                <c:pt idx="2">
                  <c:v>41116087.5</c:v>
                </c:pt>
                <c:pt idx="3">
                  <c:v>1721780</c:v>
                </c:pt>
                <c:pt idx="4">
                  <c:v>38284750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D-4BA8-A0A5-249F99105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61120"/>
        <c:axId val="1972556128"/>
      </c:barChart>
      <c:catAx>
        <c:axId val="1856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56128"/>
        <c:crosses val="autoZero"/>
        <c:auto val="1"/>
        <c:lblAlgn val="ctr"/>
        <c:lblOffset val="100"/>
        <c:noMultiLvlLbl val="0"/>
      </c:catAx>
      <c:valAx>
        <c:axId val="1972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Attributes!PivotTable6</c:name>
    <c:fmtId val="3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Attributes'!$B$87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Attributes'!$A$88:$A$100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'Individual Attributes'!$B$88:$B$100</c:f>
              <c:numCache>
                <c:formatCode>General</c:formatCode>
                <c:ptCount val="12"/>
                <c:pt idx="0">
                  <c:v>67835.5</c:v>
                </c:pt>
                <c:pt idx="1">
                  <c:v>55115</c:v>
                </c:pt>
                <c:pt idx="2">
                  <c:v>53420</c:v>
                </c:pt>
                <c:pt idx="3">
                  <c:v>78886.5</c:v>
                </c:pt>
                <c:pt idx="4">
                  <c:v>51771</c:v>
                </c:pt>
                <c:pt idx="5">
                  <c:v>103302</c:v>
                </c:pt>
                <c:pt idx="6">
                  <c:v>69349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C-438C-A23A-C42D3945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7927984"/>
        <c:axId val="188510624"/>
      </c:barChart>
      <c:lineChart>
        <c:grouping val="standard"/>
        <c:varyColors val="0"/>
        <c:ser>
          <c:idx val="1"/>
          <c:order val="1"/>
          <c:tx>
            <c:strRef>
              <c:f>'Individual Attributes'!$C$87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'Individual Attributes'!$A$88:$A$100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'Individual Attributes'!$C$88:$C$100</c:f>
              <c:numCache>
                <c:formatCode>_("$"* #,##0.00_);_("$"* \(#,##0.00\);_("$"* "-"??_);_(@_)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C-438C-A23A-C42D3945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67584"/>
        <c:axId val="188525600"/>
      </c:lineChart>
      <c:catAx>
        <c:axId val="2179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0624"/>
        <c:crosses val="autoZero"/>
        <c:auto val="1"/>
        <c:lblAlgn val="ctr"/>
        <c:lblOffset val="100"/>
        <c:noMultiLvlLbl val="0"/>
      </c:catAx>
      <c:valAx>
        <c:axId val="188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27984"/>
        <c:crosses val="autoZero"/>
        <c:crossBetween val="between"/>
      </c:valAx>
      <c:valAx>
        <c:axId val="18852560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7584"/>
        <c:crosses val="max"/>
        <c:crossBetween val="between"/>
      </c:valAx>
      <c:catAx>
        <c:axId val="2179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60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Year wise Total 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Attributes'!$B$105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Attributes'!$A$106:$A$108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'Individual Attributes'!$B$106:$B$108</c:f>
              <c:numCache>
                <c:formatCode>_("$"* #,##0.00_);_("$"* \(#,##0.00\);_("$"* "-"??_);_(@_)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43FD-82F8-A4D70AAC854C}"/>
            </c:ext>
          </c:extLst>
        </c:ser>
        <c:ser>
          <c:idx val="1"/>
          <c:order val="1"/>
          <c:tx>
            <c:strRef>
              <c:f>'Individual Attributes'!$C$105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'Individual Attributes'!$A$106:$A$108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'Individual Attributes'!$C$106:$C$108</c:f>
              <c:numCache>
                <c:formatCode>_("$"* #,##0.00_);_("$"* \(#,##0.00\);_("$"* "-"??_);_(@_)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3FD-82F8-A4D70AAC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85616"/>
        <c:axId val="4358224"/>
      </c:barChart>
      <c:catAx>
        <c:axId val="772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4"/>
        <c:crosses val="autoZero"/>
        <c:auto val="1"/>
        <c:lblAlgn val="ctr"/>
        <c:lblOffset val="100"/>
        <c:noMultiLvlLbl val="0"/>
      </c:catAx>
      <c:valAx>
        <c:axId val="43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Total Profit in each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Attributes'!$B$122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'Individual Attributes'!$A$123:$A$128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'Individual Attributes'!$B$123:$B$128</c:f>
              <c:numCache>
                <c:formatCode>_-[$$-409]* #,##0.00_ ;_-[$$-409]* \-#,##0.00\ ;_-[$$-409]* "-"??_ ;_-@_ 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1E3-B6F4-8FE4D6F0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014336"/>
        <c:axId val="89912256"/>
      </c:barChart>
      <c:catAx>
        <c:axId val="2630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2256"/>
        <c:crosses val="autoZero"/>
        <c:auto val="1"/>
        <c:lblAlgn val="ctr"/>
        <c:lblOffset val="100"/>
        <c:noMultiLvlLbl val="0"/>
      </c:catAx>
      <c:valAx>
        <c:axId val="899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 -By_Modit Jangra.xlsx]Individual Attributes!PivotTable9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Profit % contribution by Country</a:t>
            </a:r>
          </a:p>
        </c:rich>
      </c:tx>
      <c:layout>
        <c:manualLayout>
          <c:xMode val="edge"/>
          <c:yMode val="edge"/>
          <c:x val="0.15277841109687926"/>
          <c:y val="0.14116096920759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56348865472914"/>
              <c:y val="2.1902801575276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403119516006469"/>
              <c:y val="-7.66598055134697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628075644058242E-2"/>
              <c:y val="-7.66598055134697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09578214939371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628075644058215E-2"/>
              <c:y val="8.21355059072890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'Individual Attributes'!$B$140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DE0-4234-BF55-8FD425D642A6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0-4234-BF55-8FD425D64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0-4234-BF55-8FD425D642A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DE0-4234-BF55-8FD425D642A6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0-4234-BF55-8FD425D642A6}"/>
              </c:ext>
            </c:extLst>
          </c:dPt>
          <c:dLbls>
            <c:dLbl>
              <c:idx val="0"/>
              <c:layout>
                <c:manualLayout>
                  <c:x val="0.10403119516006469"/>
                  <c:y val="-7.6659805513469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E0-4234-BF55-8FD425D642A6}"/>
                </c:ext>
              </c:extLst>
            </c:dLbl>
            <c:dLbl>
              <c:idx val="1"/>
              <c:layout>
                <c:manualLayout>
                  <c:x val="0.10056348865472914"/>
                  <c:y val="2.1902801575276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E0-4234-BF55-8FD425D642A6}"/>
                </c:ext>
              </c:extLst>
            </c:dLbl>
            <c:dLbl>
              <c:idx val="2"/>
              <c:layout>
                <c:manualLayout>
                  <c:x val="-9.3628075644058215E-2"/>
                  <c:y val="8.2135505907289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E0-4234-BF55-8FD425D642A6}"/>
                </c:ext>
              </c:extLst>
            </c:dLbl>
            <c:dLbl>
              <c:idx val="3"/>
              <c:layout>
                <c:manualLayout>
                  <c:x val="-9.70957821493937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E0-4234-BF55-8FD425D642A6}"/>
                </c:ext>
              </c:extLst>
            </c:dLbl>
            <c:dLbl>
              <c:idx val="4"/>
              <c:layout>
                <c:manualLayout>
                  <c:x val="-9.3628075644058242E-2"/>
                  <c:y val="-7.6659805513469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E0-4234-BF55-8FD425D642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'Individual Attributes'!$A$141:$A$146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'Individual Attributes'!$B$141:$B$146</c:f>
              <c:numCache>
                <c:formatCode>0.00%</c:formatCode>
                <c:ptCount val="5"/>
                <c:pt idx="0">
                  <c:v>0.20890796053369062</c:v>
                </c:pt>
                <c:pt idx="1">
                  <c:v>0.22381244334774966</c:v>
                </c:pt>
                <c:pt idx="2">
                  <c:v>0.21785566972576681</c:v>
                </c:pt>
                <c:pt idx="3">
                  <c:v>0.1721069227604583</c:v>
                </c:pt>
                <c:pt idx="4">
                  <c:v>0.17731700363233457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0-4234-BF55-8FD425D64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Total Discount given in each Product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 Light" panose="020F0302020204030204"/>
            </a:rPr>
            <a:t>Total Discount given in each Product</a:t>
          </a:r>
        </a:p>
      </cx:txPr>
    </cx:title>
    <cx:plotArea>
      <cx:plotAreaRegion>
        <cx:series layoutId="treemap" uniqueId="{83E8E06C-C2B2-4B3B-9BE9-680902B6435A}">
          <cx:tx>
            <cx:txData>
              <cx:f>_xlchart.v1.1</cx:f>
              <cx:v>Total Discounts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13</xdr:col>
      <xdr:colOff>600075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84809-10B5-4953-88F4-F7F5CF44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176212</xdr:rowOff>
    </xdr:from>
    <xdr:to>
      <xdr:col>14</xdr:col>
      <xdr:colOff>0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C7614-85C6-4384-AE7B-B85503D4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33</xdr:row>
      <xdr:rowOff>14287</xdr:rowOff>
    </xdr:from>
    <xdr:to>
      <xdr:col>13</xdr:col>
      <xdr:colOff>600075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C9CD4-0E60-4522-958B-D5692B021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50</xdr:row>
      <xdr:rowOff>4762</xdr:rowOff>
    </xdr:from>
    <xdr:to>
      <xdr:col>13</xdr:col>
      <xdr:colOff>0</xdr:colOff>
      <xdr:row>64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366F6-C0A4-45F8-945B-AE849C069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</xdr:colOff>
      <xdr:row>67</xdr:row>
      <xdr:rowOff>14287</xdr:rowOff>
    </xdr:from>
    <xdr:to>
      <xdr:col>13</xdr:col>
      <xdr:colOff>590550</xdr:colOff>
      <xdr:row>82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BBAFF9-2C6F-4310-94DF-10A7605D8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</xdr:colOff>
      <xdr:row>83</xdr:row>
      <xdr:rowOff>190499</xdr:rowOff>
    </xdr:from>
    <xdr:to>
      <xdr:col>14</xdr:col>
      <xdr:colOff>19050</xdr:colOff>
      <xdr:row>100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EA5070-D165-4143-9DB4-3F4160FA2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4761</xdr:colOff>
      <xdr:row>103</xdr:row>
      <xdr:rowOff>4762</xdr:rowOff>
    </xdr:from>
    <xdr:to>
      <xdr:col>13</xdr:col>
      <xdr:colOff>609599</xdr:colOff>
      <xdr:row>118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E423B-3B6A-410E-84C2-48CF4947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</xdr:colOff>
      <xdr:row>120</xdr:row>
      <xdr:rowOff>14286</xdr:rowOff>
    </xdr:from>
    <xdr:to>
      <xdr:col>14</xdr:col>
      <xdr:colOff>9525</xdr:colOff>
      <xdr:row>136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29D1F1-C6B2-41EC-AF84-11675F23F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4761</xdr:colOff>
      <xdr:row>137</xdr:row>
      <xdr:rowOff>185737</xdr:rowOff>
    </xdr:from>
    <xdr:to>
      <xdr:col>11</xdr:col>
      <xdr:colOff>609599</xdr:colOff>
      <xdr:row>150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20486-837B-46FB-B2A8-2914706C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</xdr:colOff>
      <xdr:row>151</xdr:row>
      <xdr:rowOff>185736</xdr:rowOff>
    </xdr:from>
    <xdr:to>
      <xdr:col>13</xdr:col>
      <xdr:colOff>600075</xdr:colOff>
      <xdr:row>167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06068B-3B9F-4955-B680-08443304A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1</xdr:row>
      <xdr:rowOff>9525</xdr:rowOff>
    </xdr:from>
    <xdr:to>
      <xdr:col>12</xdr:col>
      <xdr:colOff>9526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B83F0-ACEB-4053-9A69-E0CC18DDC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19</xdr:row>
      <xdr:rowOff>14287</xdr:rowOff>
    </xdr:from>
    <xdr:to>
      <xdr:col>12</xdr:col>
      <xdr:colOff>9525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AF76A-EED0-4C5F-A47C-95F4DC34D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4762</xdr:rowOff>
    </xdr:from>
    <xdr:to>
      <xdr:col>11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1D017-0E38-4C52-91A9-667BE5DA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17</xdr:row>
      <xdr:rowOff>185736</xdr:rowOff>
    </xdr:from>
    <xdr:to>
      <xdr:col>11</xdr:col>
      <xdr:colOff>0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3C965-B0C8-4320-B042-EECB3D4B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4761</xdr:colOff>
      <xdr:row>34</xdr:row>
      <xdr:rowOff>185736</xdr:rowOff>
    </xdr:from>
    <xdr:to>
      <xdr:col>11</xdr:col>
      <xdr:colOff>0</xdr:colOff>
      <xdr:row>49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26F48-59CA-40E7-957C-94155897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14286</xdr:colOff>
      <xdr:row>52</xdr:row>
      <xdr:rowOff>14286</xdr:rowOff>
    </xdr:from>
    <xdr:to>
      <xdr:col>14</xdr:col>
      <xdr:colOff>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52D5D-B5B6-49C2-91D2-4F88378D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14288</xdr:colOff>
      <xdr:row>70</xdr:row>
      <xdr:rowOff>14286</xdr:rowOff>
    </xdr:from>
    <xdr:to>
      <xdr:col>14</xdr:col>
      <xdr:colOff>1</xdr:colOff>
      <xdr:row>84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B38C7A-255B-4D2B-8D6C-FEE5FFFF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10</xdr:row>
      <xdr:rowOff>4761</xdr:rowOff>
    </xdr:from>
    <xdr:to>
      <xdr:col>10</xdr:col>
      <xdr:colOff>28575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56CA5-7B0D-4F04-85FF-FA6962C1A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23</xdr:row>
      <xdr:rowOff>14286</xdr:rowOff>
    </xdr:from>
    <xdr:to>
      <xdr:col>13</xdr:col>
      <xdr:colOff>552449</xdr:colOff>
      <xdr:row>37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91E68-3D0F-4D02-8790-1001E5EEF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185736</xdr:rowOff>
    </xdr:from>
    <xdr:to>
      <xdr:col>12</xdr:col>
      <xdr:colOff>619125</xdr:colOff>
      <xdr:row>56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0E37DC9-8DE6-4BD3-9BA2-F4CD23E68D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6625" y="7700961"/>
              <a:ext cx="4867275" cy="3090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58</xdr:row>
      <xdr:rowOff>19050</xdr:rowOff>
    </xdr:from>
    <xdr:to>
      <xdr:col>15</xdr:col>
      <xdr:colOff>0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FB9C88-A815-42D0-ADA4-31FDE6110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14286</xdr:colOff>
      <xdr:row>78</xdr:row>
      <xdr:rowOff>4761</xdr:rowOff>
    </xdr:from>
    <xdr:to>
      <xdr:col>14</xdr:col>
      <xdr:colOff>0</xdr:colOff>
      <xdr:row>95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DE5F05-603B-4908-8E51-5AC70BF4C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" refreshedDate="45015.560782523149" createdVersion="6" refreshedVersion="6" minRefreshableVersion="3" recordCount="700" xr:uid="{36FE33DB-A583-4140-AF15-5EF53F42C5F4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78E88-AC8A-47FF-B09D-CD0D654FE91F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Segment">
  <location ref="A122:B128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 numFmtId="167"/>
  </dataFields>
  <formats count="13">
    <format dxfId="211">
      <pivotArea collapsedLevelsAreSubtotals="1" fieldPosition="0">
        <references count="1">
          <reference field="0" count="0"/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0" type="button" dataOnly="0" labelOnly="1" outline="0" axis="axisRow" fieldPosition="0"/>
    </format>
    <format dxfId="207">
      <pivotArea dataOnly="0" labelOnly="1" fieldPosition="0">
        <references count="1">
          <reference field="0" count="0"/>
        </references>
      </pivotArea>
    </format>
    <format dxfId="206">
      <pivotArea dataOnly="0" labelOnly="1" grandRow="1" outline="0" fieldPosition="0"/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0" type="button" dataOnly="0" labelOnly="1" outline="0" axis="axisRow" fieldPosition="0"/>
    </format>
    <format dxfId="201">
      <pivotArea dataOnly="0" labelOnly="1" fieldPosition="0">
        <references count="1">
          <reference field="0" count="0"/>
        </references>
      </pivotArea>
    </format>
    <format dxfId="200">
      <pivotArea dataOnly="0" labelOnly="1" grandRow="1" outline="0" fieldPosition="0"/>
    </format>
    <format dxfId="199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10B64-C433-40E0-912A-231B77616CA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egment">
  <location ref="A3:C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 Sales" fld="9" baseField="0" baseItem="0"/>
  </dataFields>
  <formats count="9">
    <format dxfId="286">
      <pivotArea dataOnly="0" outline="0" fieldPosition="0">
        <references count="1">
          <reference field="4294967294" count="1">
            <x v="1"/>
          </reference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0" type="button" dataOnly="0" labelOnly="1" outline="0" axis="axisRow" fieldPosition="0"/>
    </format>
    <format dxfId="282">
      <pivotArea dataOnly="0" labelOnly="1" fieldPosition="0">
        <references count="1">
          <reference field="0" count="0"/>
        </references>
      </pivotArea>
    </format>
    <format dxfId="281">
      <pivotArea dataOnly="0" labelOnly="1" grandRow="1" outline="0" fieldPosition="0"/>
    </format>
    <format dxfId="2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9">
      <pivotArea field="0" type="button" dataOnly="0" labelOnly="1" outline="0" axis="axisRow" fieldPosition="0"/>
    </format>
    <format dxfId="2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E4EF4-45F2-4B25-B121-77383470CFD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egment" colHeaderCaption="Country">
  <location ref="F39:I70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showDataAs="percentOfTotal" baseField="0" baseItem="0" numFmtId="10"/>
    <dataField name="Sum of  Sales" fld="9" showDataAs="percentOfTotal" baseField="0" baseItem="0" numFmtId="10"/>
    <dataField name="Sum of Profit" fld="11" showDataAs="percentOfTotal" baseField="0" baseItem="0" numFmtId="10"/>
  </dataFields>
  <formats count="18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fieldPosition="0">
        <references count="1">
          <reference field="0" count="0"/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4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4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47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14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outline="0" fieldPosition="0">
        <references count="1">
          <reference field="4294967294" count="1">
            <x v="1"/>
          </reference>
        </references>
      </pivotArea>
    </format>
    <format dxfId="142">
      <pivotArea outline="0" fieldPosition="0">
        <references count="1">
          <reference field="4294967294" count="1">
            <x v="2"/>
          </reference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80A13-92FB-401E-B168-3EC795BFA3C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egment" colHeaderCaption="Country">
  <location ref="A39:D70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 Sales" fld="9" baseField="0" baseItem="0"/>
    <dataField name="Sum of Profit" fld="11" baseField="0" baseItem="0" numFmtId="164"/>
  </dataFields>
  <formats count="18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0" type="button" dataOnly="0" labelOnly="1" outline="0" axis="axisRow" fieldPosition="0"/>
    </format>
    <format dxfId="17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6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6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67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16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dataOnly="0" labelOnly="1" fieldPosition="0">
        <references count="1">
          <reference field="0" count="0"/>
        </references>
      </pivotArea>
    </format>
    <format dxfId="163">
      <pivotArea collapsedLevelsAreSubtotals="1" fieldPosition="0">
        <references count="1">
          <reference field="0" count="1">
            <x v="0"/>
          </reference>
        </references>
      </pivotArea>
    </format>
    <format dxfId="162">
      <pivotArea collapsedLevelsAreSubtotals="1" fieldPosition="0">
        <references count="1">
          <reference field="0" count="1">
            <x v="1"/>
          </reference>
        </references>
      </pivotArea>
    </format>
    <format dxfId="161">
      <pivotArea collapsedLevelsAreSubtotals="1" fieldPosition="0">
        <references count="1">
          <reference field="0" count="1">
            <x v="2"/>
          </reference>
        </references>
      </pivotArea>
    </format>
    <format dxfId="160">
      <pivotArea collapsedLevelsAreSubtotals="1" fieldPosition="0">
        <references count="1">
          <reference field="0" count="1">
            <x v="3"/>
          </reference>
        </references>
      </pivotArea>
    </format>
    <format dxfId="159">
      <pivotArea collapsedLevelsAreSubtotals="1" fieldPosition="0">
        <references count="1">
          <reference field="0" count="1">
            <x v="4"/>
          </reference>
        </references>
      </pivotArea>
    </format>
    <format dxfId="158">
      <pivotArea grandRow="1" outline="0" collapsedLevelsAreSubtotals="1" fieldPosition="0"/>
    </format>
    <format dxfId="157">
      <pivotArea dataOnly="0" labelOnly="1" grandRow="1" outline="0" fieldPosition="0"/>
    </format>
    <format dxfId="156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E73C9-0899-4A97-8233-E84E8DC517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egment" colHeaderCaption="Country">
  <location ref="A21:G28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 numFmtId="164"/>
  </dataFields>
  <formats count="11">
    <format dxfId="184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83">
      <pivotArea type="origin" dataOnly="0" labelOnly="1" outline="0" fieldPosition="0"/>
    </format>
    <format dxfId="182">
      <pivotArea field="1" type="button" dataOnly="0" labelOnly="1" outline="0" axis="axisCol" fieldPosition="0"/>
    </format>
    <format dxfId="181">
      <pivotArea field="0" type="button" dataOnly="0" labelOnly="1" outline="0" axis="axisRow" fieldPosition="0"/>
    </format>
    <format dxfId="180">
      <pivotArea dataOnly="0" labelOnly="1" fieldPosition="0">
        <references count="1">
          <reference field="0" count="0"/>
        </references>
      </pivotArea>
    </format>
    <format dxfId="179">
      <pivotArea dataOnly="0" labelOnly="1" grandRow="1" outline="0" fieldPosition="0"/>
    </format>
    <format dxfId="178">
      <pivotArea dataOnly="0" labelOnly="1" fieldPosition="0">
        <references count="1">
          <reference field="1" count="1">
            <x v="0"/>
          </reference>
        </references>
      </pivotArea>
    </format>
    <format dxfId="177">
      <pivotArea outline="0" collapsedLevelsAreSubtotals="1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176">
      <pivotArea grandCol="1" outline="0" collapsedLevelsAreSubtotals="1" fieldPosition="0"/>
    </format>
    <format dxfId="175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17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27CCB-F3F0-456D-A542-BC117B43FF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Segment" colHeaderCaption="Country">
  <location ref="A3:G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baseField="0" baseItem="0" numFmtId="164"/>
  </dataFields>
  <formats count="14">
    <format dxfId="198">
      <pivotArea type="all" dataOnly="0" outline="0" fieldPosition="0"/>
    </format>
    <format dxfId="197">
      <pivotArea outline="0" collapsedLevelsAreSubtotals="1" fieldPosition="0"/>
    </format>
    <format dxfId="196">
      <pivotArea type="origin" dataOnly="0" labelOnly="1" outline="0" fieldPosition="0"/>
    </format>
    <format dxfId="195">
      <pivotArea field="1" type="button" dataOnly="0" labelOnly="1" outline="0" axis="axisCol" fieldPosition="0"/>
    </format>
    <format dxfId="194">
      <pivotArea field="0" type="button" dataOnly="0" labelOnly="1" outline="0" axis="axisRow" fieldPosition="0"/>
    </format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1">
          <reference field="1" count="0"/>
        </references>
      </pivotArea>
    </format>
    <format dxfId="190">
      <pivotArea dataOnly="0" labelOnly="1" grandCol="1" outline="0" fieldPosition="0"/>
    </format>
    <format dxfId="189">
      <pivotArea outline="0" collapsedLevelsAreSubtotals="1" fieldPosition="0"/>
    </format>
    <format dxfId="188">
      <pivotArea type="topRight" dataOnly="0" labelOnly="1" outline="0" fieldPosition="0"/>
    </format>
    <format dxfId="187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186">
      <pivotArea dataOnly="0" labelOnly="1" grandCol="1" outline="0" fieldPosition="0"/>
    </format>
    <format dxfId="185">
      <pivotArea field="1" type="button" dataOnly="0" labelOnly="1" outline="0" axis="axisCol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81210-8E0D-4D58-9D52-9727DBDBF8C3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 colHeaderCaption="Segment">
  <location ref="A72:G80" firstHeaderRow="1" firstDataRow="2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baseField="0" baseItem="0"/>
  </dataFields>
  <formats count="10">
    <format dxfId="76">
      <pivotArea outline="0" collapsedLevelsAreSubtotals="1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2" type="button" dataOnly="0" labelOnly="1" outline="0" axis="axisRow" fieldPosition="0"/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  <format dxfId="69">
      <pivotArea type="topRight" dataOnly="0" labelOnly="1" outline="0" fieldPosition="0"/>
    </format>
    <format dxfId="68">
      <pivotArea dataOnly="0" labelOnly="1" grandCol="1" outline="0" fieldPosition="0"/>
    </format>
    <format dxfId="67">
      <pivotArea field="0" type="button" dataOnly="0" labelOnly="1" outline="0"/>
    </format>
  </format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5429E-744D-46D8-8814-C21ECE77EBD9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 colHeaderCaption="Segment">
  <location ref="K89:R121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11" showDataAs="percentOfTotal" baseField="0" baseItem="0" numFmtId="10"/>
  </dataFields>
  <formats count="13">
    <format dxfId="89">
      <pivotArea outline="0" collapsedLevelsAreSubtotals="1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" type="button" dataOnly="0" labelOnly="1" outline="0" axis="axisCol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type="topRight" dataOnly="0" labelOnly="1" outline="0" fieldPosition="0"/>
    </format>
    <format dxfId="81">
      <pivotArea dataOnly="0" labelOnly="1" grandCol="1" outline="0" fieldPosition="0"/>
    </format>
    <format dxfId="80">
      <pivotArea field="0" type="button" dataOnly="0" labelOnly="1" outline="0" axis="axisRow" fieldPosition="0"/>
    </format>
    <format dxfId="79">
      <pivotArea dataOnly="0" fieldPosition="0">
        <references count="1">
          <reference field="0" count="1">
            <x v="0"/>
          </reference>
        </references>
      </pivotArea>
    </format>
    <format dxfId="78">
      <pivotArea dataOnly="0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7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C465F-2E0F-45D8-94C7-1F6B3CA2B0A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>
  <location ref="A37:C44" firstHeaderRow="0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s Sold" fld="4" subtotal="count" baseField="2" baseItem="0"/>
    <dataField name="Sum of Profit" fld="11" baseField="0" baseItem="0"/>
  </dataFields>
  <formats count="8">
    <format dxfId="97">
      <pivotArea outline="0" collapsedLevelsAreSubtotals="1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  <format dxfId="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62E72-9C4A-4E51-A34B-4240554C5663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 colHeaderCaption="Segment">
  <location ref="A89:H121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showDataAs="percentOfTotal" baseField="0" baseItem="0" numFmtId="10"/>
  </dataFields>
  <formats count="13">
    <format dxfId="110">
      <pivotArea outline="0" collapsedLevelsAreSubtotals="1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2" type="button" dataOnly="0" labelOnly="1" outline="0" axis="axisCol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3">
      <pivotArea type="topRight" dataOnly="0" labelOnly="1" outline="0" fieldPosition="0"/>
    </format>
    <format dxfId="102">
      <pivotArea dataOnly="0" labelOnly="1" grandCol="1" outline="0" fieldPosition="0"/>
    </format>
    <format dxfId="101">
      <pivotArea field="0" type="button" dataOnly="0" labelOnly="1" outline="0" axis="axisRow" fieldPosition="0"/>
    </format>
    <format dxfId="100">
      <pivotArea outline="0" fieldPosition="0">
        <references count="1">
          <reference field="4294967294" count="1">
            <x v="0"/>
          </reference>
        </references>
      </pivotArea>
    </format>
    <format dxfId="99">
      <pivotArea dataOnly="0" fieldPosition="0">
        <references count="1">
          <reference field="0" count="1">
            <x v="0"/>
          </reference>
        </references>
      </pivotArea>
    </format>
    <format dxfId="98">
      <pivotArea dataOnly="0" fieldPosition="0">
        <references count="1">
          <reference field="0" count="4">
            <x v="1"/>
            <x v="2"/>
            <x v="3"/>
            <x v="4"/>
          </reference>
        </references>
      </pivotArea>
    </format>
  </format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B794E-FCDB-4FA7-A839-18F9E04A1DE9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oduct" colHeaderCaption="Segment">
  <location ref="A54:G62" firstHeaderRow="1" firstDataRow="2" firstDataCol="1"/>
  <pivotFields count="16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baseField="0" baseItem="0"/>
  </dataFields>
  <formats count="11">
    <format dxfId="121">
      <pivotArea outline="0" collapsedLevelsAreSubtotals="1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" type="button" dataOnly="0" labelOnly="1" outline="0" axis="axisRow" fieldPosition="0"/>
    </format>
    <format dxfId="117">
      <pivotArea dataOnly="0" labelOnly="1" fieldPosition="0">
        <references count="1">
          <reference field="2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topRight" dataOnly="0" labelOnly="1" outline="0" fieldPosition="0"/>
    </format>
    <format dxfId="113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112">
      <pivotArea dataOnly="0" labelOnly="1" grandCol="1" outline="0" fieldPosition="0"/>
    </format>
    <format dxfId="111">
      <pivotArea field="0" type="button" dataOnly="0" labelOnly="1" outline="0" axis="axisCol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5232F-734B-45FA-A380-BEC16EE862E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">
  <location ref="A35:C42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 Sales" fld="9" baseField="0" baseItem="0"/>
  </dataFields>
  <formats count="7">
    <format dxfId="218">
      <pivotArea dataOnly="0" outline="0" fieldPosition="0">
        <references count="1">
          <reference field="4294967294" count="1">
            <x v="1"/>
          </reference>
        </references>
      </pivotArea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2" type="button" dataOnly="0" labelOnly="1" outline="0" axis="axisRow" fieldPosition="0"/>
    </format>
    <format dxfId="214">
      <pivotArea dataOnly="0" labelOnly="1" fieldPosition="0">
        <references count="1">
          <reference field="2" count="0"/>
        </references>
      </pivotArea>
    </format>
    <format dxfId="213">
      <pivotArea dataOnly="0" labelOnly="1" grandRow="1" outline="0" fieldPosition="0"/>
    </format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7797A-EE96-4001-AEAC-CC429266399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duct">
  <location ref="A20:C27" firstHeaderRow="0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 numFmtId="2"/>
    <dataField name="Average of  Sales" fld="9" subtotal="average" baseField="2" baseItem="0" numFmtId="164"/>
  </dataFields>
  <formats count="9">
    <format dxfId="130">
      <pivotArea outline="0" collapsedLevelsAreSubtotals="1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2" type="button" dataOnly="0" labelOnly="1" outline="0" axis="axisRow" fieldPosition="0"/>
    </format>
    <format dxfId="126">
      <pivotArea dataOnly="0" labelOnly="1" fieldPosition="0">
        <references count="1">
          <reference field="2" count="0"/>
        </references>
      </pivotArea>
    </format>
    <format dxfId="125">
      <pivotArea dataOnly="0" labelOnly="1" grandRow="1" outline="0" fieldPosition="0"/>
    </format>
    <format dxfId="124">
      <pivotArea dataOnly="0" labelOnly="1" outline="0" axis="axisValues" fieldPosition="0"/>
    </format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F475C-5923-43C3-8DE9-10DA7D610CD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duct">
  <location ref="A3:B10" firstHeaderRow="1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Sales" fld="9" baseField="0" baseItem="0" numFmtId="164"/>
  </dataFields>
  <formats count="7">
    <format dxfId="137">
      <pivotArea outline="0" collapsedLevelsAreSubtotals="1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2" type="button" dataOnly="0" labelOnly="1" outline="0" axis="axisRow" fieldPosition="0"/>
    </format>
    <format dxfId="133">
      <pivotArea dataOnly="0" labelOnly="1" fieldPosition="0">
        <references count="1">
          <reference field="2" count="0"/>
        </references>
      </pivotArea>
    </format>
    <format dxfId="132">
      <pivotArea dataOnly="0" labelOnly="1" grandRow="1" outline="0" fieldPosition="0"/>
    </format>
    <format dxfId="13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15498-AFAD-4B19-9905-EE21EE6F2A3C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Segment (Country)" colHeaderCaption="Discount Band">
  <location ref="A100:F132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" fld="9" showDataAs="percentOfTotal" baseField="14" baseItem="0" numFmtId="10"/>
  </dataFields>
  <formats count="11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Col" fieldPosition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topRight" dataOnly="0" labelOnly="1" outline="0" fieldPosition="0"/>
    </format>
    <format dxfId="9">
      <pivotArea field="3" type="button" dataOnly="0" labelOnly="1" outline="0" axis="axisCol" fieldPosition="0"/>
    </format>
    <format dxfId="8">
      <pivotArea dataOnly="0" labelOnly="1" grandCol="1" outline="0" fieldPosition="0"/>
    </format>
    <format dxfId="7">
      <pivotArea type="all" dataOnly="0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771F3-87B1-44FD-92FC-8284D43D584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nth" colHeaderCaption="Discount Band">
  <location ref="A80:F94" firstHeaderRow="1" firstDataRow="2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" fld="9" showDataAs="percentOfTotal" baseField="14" baseItem="0" numFmtId="10"/>
  </dataFields>
  <formats count="11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3" type="button" dataOnly="0" labelOnly="1" outline="0" axis="axisCol" fieldPosition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topRight" dataOnly="0" labelOnly="1" outline="0" fieldPosition="0"/>
    </format>
    <format dxfId="20">
      <pivotArea field="3" type="button" dataOnly="0" labelOnly="1" outline="0" axis="axisCol" fieldPosition="0"/>
    </format>
    <format dxfId="19">
      <pivotArea dataOnly="0" labelOnly="1" grandCol="1" outline="0" fieldPosition="0"/>
    </format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0ABED-4999-4FA4-BBBD-229BF43D750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duct">
  <location ref="A42:B49" firstHeaderRow="1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counts" fld="8" baseField="0" baseItem="0"/>
  </dataFields>
  <formats count="6">
    <format dxfId="33">
      <pivotArea outline="0" collapsedLevelsAreSubtotals="1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/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59D60-79ED-4038-9FEB-2F5AC2A98F5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ountry" colHeaderCaption="Segment">
  <location ref="A60:G67" firstHeaderRow="1" firstDataRow="2" firstDataCol="1"/>
  <pivotFields count="16">
    <pivotField axis="axisCol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iscounts" fld="8" showDataAs="percentOfTotal" baseField="1" baseItem="0" numFmtId="166"/>
  </dataFields>
  <formats count="12">
    <format dxfId="45">
      <pivotArea outline="0" collapsedLevelsAreSubtotals="1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/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topRight" dataOnly="0" labelOnly="1" outline="0" fieldPosition="0"/>
    </format>
    <format dxfId="38">
      <pivotArea field="3" type="button" dataOnly="0" labelOnly="1" outline="0"/>
    </format>
    <format dxfId="37">
      <pivotArea dataOnly="0" labelOnly="1" grandCol="1" outline="0" fieldPosition="0"/>
    </format>
    <format dxfId="36">
      <pivotArea dataOnly="0" labelOnly="1" grandCol="1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outline="0" collapsedLevelsAreSubtotals="1" fieldPosition="0"/>
    </format>
  </format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6F490-FC8D-4B53-A2AB-66482AB3D35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 rowHeaderCaption="Product" colHeaderCaption="Discount Band">
  <location ref="A25:F33" firstHeaderRow="1" firstDataRow="2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 Sold" fld="4" baseField="0" baseItem="0"/>
  </dataFields>
  <formats count="14">
    <format dxfId="59">
      <pivotArea outline="0" collapsedLevelsAreSubtotals="1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3" type="button" dataOnly="0" labelOnly="1" outline="0" axis="axisCol" fieldPosition="0"/>
    </format>
    <format dxfId="55">
      <pivotArea dataOnly="0" labelOnly="1" fieldPosition="0">
        <references count="1">
          <reference field="3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2">
      <pivotArea type="topRight" dataOnly="0" labelOnly="1" outline="0" fieldPosition="0"/>
    </format>
    <format dxfId="51">
      <pivotArea field="3" type="button" dataOnly="0" labelOnly="1" outline="0" axis="axisCol" fieldPosition="0"/>
    </format>
    <format dxfId="50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  <format dxfId="49">
      <pivotArea dataOnly="0" labelOnly="1" grandCol="1" outline="0" fieldPosition="0"/>
    </format>
    <format dxfId="48">
      <pivotArea outline="0" collapsedLevelsAreSubtotals="1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33534-DB87-40DE-92FD-3A8D27F5616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Discount Band">
  <location ref="A12:B17" firstHeaderRow="1" firstDataRow="1" firstDataCol="1"/>
  <pivotFields count="16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Sales" fld="9" baseField="0" baseItem="0" numFmtId="164"/>
  </dataFields>
  <formats count="7">
    <format dxfId="66">
      <pivotArea outline="0" collapsedLevelsAreSubtotals="1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A556B-5B51-4379-AB82-D7DACA0B65D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Segment">
  <location ref="A69:B75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GS" fld="10" baseField="2" baseItem="0" numFmtId="164"/>
  </dataFields>
  <formats count="7"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0" type="button" dataOnly="0" labelOnly="1" outline="0" axis="axisRow" fieldPosition="0"/>
    </format>
    <format dxfId="222">
      <pivotArea dataOnly="0" labelOnly="1" fieldPosition="0">
        <references count="1">
          <reference field="0" count="0"/>
        </references>
      </pivotArea>
    </format>
    <format dxfId="221">
      <pivotArea dataOnly="0" labelOnly="1" grandRow="1" outline="0" fieldPosition="0"/>
    </format>
    <format dxfId="220">
      <pivotArea dataOnly="0" labelOnly="1" outline="0" axis="axisValues" fieldPosition="0"/>
    </format>
    <format dxfId="219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9DFC7-ACB6-4D98-B163-1EE5D0A7EB6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 rowHeaderCaption="Segment">
  <location ref="A105:C108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formats count="8">
    <format dxfId="233">
      <pivotArea dataOnly="0" outline="0" fieldPosition="0">
        <references count="1">
          <reference field="4294967294" count="1">
            <x v="0"/>
          </reference>
        </references>
      </pivotArea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0" type="button" dataOnly="0" labelOnly="1" outline="0"/>
    </format>
    <format dxfId="229">
      <pivotArea dataOnly="0" labelOnly="1" grandRow="1" outline="0" fieldPosition="0"/>
    </format>
    <format dxfId="228">
      <pivotArea dataOnly="0" labelOnly="1" outline="0" axis="axisValues" fieldPosition="0"/>
    </format>
    <format dxfId="227">
      <pivotArea outline="0" fieldPosition="0">
        <references count="1">
          <reference field="4294967294" count="1">
            <x v="0"/>
          </reference>
        </references>
      </pivotArea>
    </format>
    <format dxfId="226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875-BC59-4E3E-857B-D25EACD7D28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Segment">
  <location ref="A140:B146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showDataAs="percentOfTotal" baseField="1" baseItem="0" numFmtId="10"/>
  </dataFields>
  <formats count="11"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0" type="button" dataOnly="0" labelOnly="1" outline="0"/>
    </format>
    <format dxfId="241">
      <pivotArea dataOnly="0" labelOnly="1" grandRow="1" outline="0" fieldPosition="0"/>
    </format>
    <format dxfId="240">
      <pivotArea dataOnly="0" labelOnly="1" outline="0" axis="axisValues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0" type="button" dataOnly="0" labelOnly="1" outline="0"/>
    </format>
    <format dxfId="236">
      <pivotArea dataOnly="0" labelOnly="1" grandRow="1" outline="0" fieldPosition="0"/>
    </format>
    <format dxfId="235">
      <pivotArea dataOnly="0" labelOnly="1" outline="0" axis="axisValues" fieldPosition="0"/>
    </format>
    <format dxfId="234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704FE-36F1-4615-865D-BD37195842C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Segment">
  <location ref="A52:B58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showDataAs="percentOfTotal" baseField="0" baseItem="0" numFmtId="10"/>
  </dataFields>
  <formats count="9">
    <format dxfId="253">
      <pivotArea dataOnly="0" outline="0" fieldPosition="0">
        <references count="1">
          <reference field="4294967294" count="1">
            <x v="0"/>
          </reference>
        </references>
      </pivotArea>
    </format>
    <format dxfId="252">
      <pivotArea outline="0" fieldPosition="0">
        <references count="1">
          <reference field="4294967294" count="1">
            <x v="0"/>
          </reference>
        </references>
      </pivotArea>
    </format>
    <format dxfId="251">
      <pivotArea collapsedLevelsAreSubtotals="1" fieldPosition="0">
        <references count="1">
          <reference field="0" count="0"/>
        </references>
      </pivotArea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0" type="button" dataOnly="0" labelOnly="1" outline="0" axis="axisRow" fieldPosition="0"/>
    </format>
    <format dxfId="247">
      <pivotArea dataOnly="0" labelOnly="1" fieldPosition="0">
        <references count="1">
          <reference field="0" count="0"/>
        </references>
      </pivotArea>
    </format>
    <format dxfId="246">
      <pivotArea dataOnly="0" labelOnly="1" grandRow="1" outline="0" fieldPosition="0"/>
    </format>
    <format dxfId="245">
      <pivotArea dataOnly="0" labelOnly="1" outline="0" axis="axisValues" fieldPosition="0"/>
    </format>
  </formats>
  <chartFormats count="2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590B9-7578-4F93-9997-9EAD9C6D95A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Month">
  <location ref="A87:C100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 Sales" fld="9" baseField="0" baseItem="0"/>
  </dataFields>
  <formats count="7">
    <format dxfId="260">
      <pivotArea dataOnly="0" outline="0" fieldPosition="0">
        <references count="1">
          <reference field="4294967294" count="1">
            <x v="1"/>
          </reference>
        </references>
      </pivotArea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4" type="button" dataOnly="0" labelOnly="1" outline="0" axis="axisRow" fieldPosition="0"/>
    </format>
    <format dxfId="256">
      <pivotArea dataOnly="0" labelOnly="1" fieldPosition="0">
        <references count="1">
          <reference field="14" count="0"/>
        </references>
      </pivotArea>
    </format>
    <format dxfId="255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CE663-0805-471E-8686-0ED3CF2ADAD8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Segment">
  <location ref="A154:B161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1" baseField="0" baseItem="0" numFmtId="167"/>
  </dataFields>
  <formats count="10"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0" type="button" dataOnly="0" labelOnly="1" outline="0"/>
    </format>
    <format dxfId="267">
      <pivotArea dataOnly="0" labelOnly="1" grandRow="1" outline="0" fieldPosition="0"/>
    </format>
    <format dxfId="266">
      <pivotArea dataOnly="0" labelOnly="1" outline="0" axis="axisValues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0" type="button" dataOnly="0" labelOnly="1" outline="0"/>
    </format>
    <format dxfId="262">
      <pivotArea dataOnly="0" labelOnly="1" grandRow="1" outline="0" fieldPosition="0"/>
    </format>
    <format dxfId="261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43E92-2D54-49DF-BB10-9BA6AE9B5D9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ountry">
  <location ref="A19:C25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 Sales" fld="9" baseField="0" baseItem="0"/>
  </dataFields>
  <formats count="7">
    <format dxfId="277">
      <pivotArea dataOnly="0" outline="0" fieldPosition="0">
        <references count="1">
          <reference field="4294967294" count="1">
            <x v="1"/>
          </reference>
        </references>
      </pivotArea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1" type="button" dataOnly="0" labelOnly="1" outline="0" axis="axisRow" fieldPosition="0"/>
    </format>
    <format dxfId="273">
      <pivotArea dataOnly="0" labelOnly="1" fieldPosition="0">
        <references count="1">
          <reference field="1" count="0"/>
        </references>
      </pivotArea>
    </format>
    <format dxfId="272">
      <pivotArea dataOnly="0" labelOnly="1" grandRow="1" outline="0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301" dataDxfId="300" headerRowCellStyle="Currency" dataCellStyle="Currency">
  <autoFilter ref="A1:P701" xr:uid="{53C9A7CF-F07C-4DD1-8FF3-172695AE5639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99" dataCellStyle="Currency"/>
    <tableColumn id="19" xr3:uid="{00000000-0010-0000-0000-000013000000}" name="Discount Band" dataDxfId="298" dataCellStyle="Currency"/>
    <tableColumn id="6" xr3:uid="{00000000-0010-0000-0000-000006000000}" name="Units Sold"/>
    <tableColumn id="7" xr3:uid="{00000000-0010-0000-0000-000007000000}" name="Manufacturing Price" dataDxfId="297" dataCellStyle="Currency"/>
    <tableColumn id="8" xr3:uid="{00000000-0010-0000-0000-000008000000}" name="Sale Price" dataDxfId="296" dataCellStyle="Currency"/>
    <tableColumn id="9" xr3:uid="{00000000-0010-0000-0000-000009000000}" name="Gross Sales" dataDxfId="295" dataCellStyle="Currency"/>
    <tableColumn id="10" xr3:uid="{00000000-0010-0000-0000-00000A000000}" name="Discounts" dataDxfId="294" dataCellStyle="Currency"/>
    <tableColumn id="11" xr3:uid="{00000000-0010-0000-0000-00000B000000}" name=" Sales" dataDxfId="293" dataCellStyle="Currency"/>
    <tableColumn id="12" xr3:uid="{00000000-0010-0000-0000-00000C000000}" name="COGS" dataDxfId="292" dataCellStyle="Currency"/>
    <tableColumn id="13" xr3:uid="{00000000-0010-0000-0000-00000D000000}" name="Profit" dataDxfId="291" dataCellStyle="Currency"/>
    <tableColumn id="4" xr3:uid="{00000000-0010-0000-0000-000004000000}" name="Date" dataDxfId="290" dataCellStyle="Currency"/>
    <tableColumn id="17" xr3:uid="{00000000-0010-0000-0000-000011000000}" name="Month Number" dataDxfId="289" dataCellStyle="Currency"/>
    <tableColumn id="18" xr3:uid="{00000000-0010-0000-0000-000012000000}" name="Month Name" dataDxfId="288" dataCellStyle="Currency"/>
    <tableColumn id="20" xr3:uid="{00000000-0010-0000-0000-000014000000}" name="Year" dataDxfId="287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979C2-4192-4082-A456-E07082BABA16}" name="Table2" displayName="Table2" ref="A3:B7" totalsRowShown="0" headerRowDxfId="5" headerRowBorderDxfId="4" tableBorderDxfId="3" totalsRowBorderDxfId="2">
  <autoFilter ref="A3:B7" xr:uid="{1643A694-0AB0-421C-8E16-53C363636473}">
    <filterColumn colId="0" hiddenButton="1"/>
    <filterColumn colId="1" hiddenButton="1"/>
  </autoFilter>
  <tableColumns count="2">
    <tableColumn id="1" xr3:uid="{B2FC1B65-D109-4E10-80DF-12CF6FDCD6DD}" name="Discount Band" dataDxfId="1"/>
    <tableColumn id="2" xr3:uid="{F19C1432-2820-4173-8F29-9397661573B6}" name="Discount Range (%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24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ivotTable" Target="../pivotTables/pivotTable27.xml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Normal="100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7109375" style="3" bestFit="1" customWidth="1"/>
    <col min="4" max="4" width="15.140625" bestFit="1" customWidth="1"/>
    <col min="5" max="5" width="12.28515625" style="1" bestFit="1" customWidth="1"/>
    <col min="6" max="6" width="20.5703125" style="1" bestFit="1" customWidth="1"/>
    <col min="7" max="7" width="12.5703125" style="1" bestFit="1" customWidth="1"/>
    <col min="8" max="8" width="16" style="1" customWidth="1"/>
    <col min="9" max="9" width="14.5703125" style="1" customWidth="1"/>
    <col min="10" max="10" width="16.85546875" style="1" customWidth="1"/>
    <col min="11" max="11" width="16.5703125" customWidth="1"/>
    <col min="12" max="12" width="16.28515625" customWidth="1"/>
    <col min="13" max="13" width="11.42578125" style="4" customWidth="1"/>
    <col min="14" max="14" width="14.85546875" style="9" bestFit="1" customWidth="1"/>
    <col min="15" max="15" width="14.28515625" bestFit="1" customWidth="1"/>
    <col min="16" max="16" width="6.85546875" style="2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E54B-AA36-4155-A010-4D973C1D1FC3}">
  <dimension ref="A2:J48"/>
  <sheetViews>
    <sheetView topLeftCell="A19" workbookViewId="0">
      <selection activeCell="G30" sqref="G30"/>
    </sheetView>
  </sheetViews>
  <sheetFormatPr defaultRowHeight="15" x14ac:dyDescent="0.25"/>
  <cols>
    <col min="1" max="1" width="25.85546875" bestFit="1" customWidth="1"/>
    <col min="2" max="2" width="18.5703125" customWidth="1"/>
    <col min="3" max="3" width="15.7109375" customWidth="1"/>
    <col min="4" max="4" width="16.28515625" customWidth="1"/>
    <col min="5" max="5" width="16" customWidth="1"/>
    <col min="6" max="7" width="17.85546875" customWidth="1"/>
    <col min="8" max="9" width="17.5703125" customWidth="1"/>
    <col min="10" max="10" width="13.28515625" bestFit="1" customWidth="1"/>
    <col min="11" max="12" width="7.42578125" bestFit="1" customWidth="1"/>
  </cols>
  <sheetData>
    <row r="2" spans="1:8" ht="15.75" x14ac:dyDescent="0.25">
      <c r="B2" s="71" t="s">
        <v>91</v>
      </c>
      <c r="C2" s="71" t="s">
        <v>92</v>
      </c>
      <c r="D2" s="71" t="s">
        <v>93</v>
      </c>
      <c r="E2" s="71" t="s">
        <v>95</v>
      </c>
      <c r="F2" s="71" t="s">
        <v>94</v>
      </c>
      <c r="G2" s="71" t="s">
        <v>107</v>
      </c>
      <c r="H2" s="71" t="s">
        <v>108</v>
      </c>
    </row>
    <row r="3" spans="1:8" ht="15.75" x14ac:dyDescent="0.25">
      <c r="A3" s="70" t="s">
        <v>4</v>
      </c>
      <c r="B3" s="72">
        <f>AVERAGE(financials[Units Sold])</f>
        <v>1608.2942857142857</v>
      </c>
      <c r="C3" s="72">
        <f>MEDIAN(financials[Units Sold])</f>
        <v>1542.5</v>
      </c>
      <c r="D3" s="72">
        <f>_xlfn.MODE.SNGL(financials[Units Sold])</f>
        <v>727</v>
      </c>
      <c r="E3" s="72">
        <f>MAX(financials[Units Sold])</f>
        <v>4492.5</v>
      </c>
      <c r="F3" s="72">
        <f>MIN(financials[Units Sold])</f>
        <v>200</v>
      </c>
      <c r="G3" s="72">
        <f>_xlfn.QUARTILE.EXC(financials[Units Sold], 1)</f>
        <v>905</v>
      </c>
      <c r="H3" s="72">
        <f>_xlfn.QUARTILE.EXC(financials[Units Sold], 3)</f>
        <v>2232.375</v>
      </c>
    </row>
    <row r="4" spans="1:8" x14ac:dyDescent="0.25">
      <c r="A4" s="11"/>
      <c r="B4" s="11"/>
      <c r="C4" s="11"/>
      <c r="D4" s="11"/>
      <c r="E4" s="11"/>
      <c r="F4" s="11"/>
      <c r="G4" s="11"/>
      <c r="H4" s="11"/>
    </row>
    <row r="5" spans="1:8" ht="15.75" x14ac:dyDescent="0.25">
      <c r="A5" s="70" t="s">
        <v>5</v>
      </c>
      <c r="B5" s="73">
        <f>AVERAGE(financials[Manufacturing Price])</f>
        <v>96.477142857142852</v>
      </c>
      <c r="C5" s="73">
        <f>MEDIAN(financials[Manufacturing Price])</f>
        <v>10</v>
      </c>
      <c r="D5" s="73">
        <f>_xlfn.MODE.SNGL(financials[Manufacturing Price])</f>
        <v>10</v>
      </c>
      <c r="E5" s="73">
        <f>MAX(financials[Manufacturing Price])</f>
        <v>260</v>
      </c>
      <c r="F5" s="73">
        <f>MIN(financials[Manufacturing Price])</f>
        <v>3</v>
      </c>
      <c r="G5" s="73">
        <f>_xlfn.QUARTILE.EXC(financials[Manufacturing Price], 1)</f>
        <v>5</v>
      </c>
      <c r="H5" s="73">
        <f>_xlfn.QUARTILE.EXC(financials[Manufacturing Price], 3)</f>
        <v>250</v>
      </c>
    </row>
    <row r="6" spans="1:8" x14ac:dyDescent="0.25">
      <c r="A6" s="11"/>
      <c r="B6" s="11"/>
      <c r="C6" s="11"/>
      <c r="D6" s="11"/>
      <c r="E6" s="11"/>
      <c r="F6" s="11"/>
      <c r="G6" s="11"/>
      <c r="H6" s="11"/>
    </row>
    <row r="7" spans="1:8" ht="15.75" x14ac:dyDescent="0.25">
      <c r="A7" s="70" t="s">
        <v>96</v>
      </c>
      <c r="B7" s="73">
        <f>AVERAGE(financials[Sale Price])</f>
        <v>118.42857142857143</v>
      </c>
      <c r="C7" s="73">
        <f>MEDIAN(financials[Sale Price])</f>
        <v>20</v>
      </c>
      <c r="D7" s="73">
        <f>_xlfn.MODE.SNGL(financials[Sale Price])</f>
        <v>20</v>
      </c>
      <c r="E7" s="73">
        <f>MAX(financials[Sale Price])</f>
        <v>350</v>
      </c>
      <c r="F7" s="73">
        <f>MIN(financials[Sale Price])</f>
        <v>7</v>
      </c>
      <c r="G7" s="73">
        <f>_xlfn.QUARTILE.EXC(financials[Sale Price], 1)</f>
        <v>12</v>
      </c>
      <c r="H7" s="73">
        <f>_xlfn.QUARTILE.EXC(financials[Sale Price], 3)</f>
        <v>300</v>
      </c>
    </row>
    <row r="8" spans="1:8" x14ac:dyDescent="0.25">
      <c r="A8" s="11"/>
      <c r="B8" s="11"/>
      <c r="C8" s="11"/>
      <c r="D8" s="11"/>
      <c r="E8" s="11"/>
      <c r="F8" s="11"/>
      <c r="G8" s="11"/>
      <c r="H8" s="11"/>
    </row>
    <row r="9" spans="1:8" ht="15.75" x14ac:dyDescent="0.25">
      <c r="A9" s="70" t="s">
        <v>1</v>
      </c>
      <c r="B9" s="73">
        <f>AVERAGE(financials[Gross Sales])</f>
        <v>182759.42642857143</v>
      </c>
      <c r="C9" s="73">
        <f>MEDIAN(financials[Gross Sales])</f>
        <v>37980</v>
      </c>
      <c r="D9" s="73">
        <f>_xlfn.MODE.SNGL(financials[Gross Sales])</f>
        <v>37050</v>
      </c>
      <c r="E9" s="73">
        <f>MAX(financials[Gross Sales])</f>
        <v>1207500</v>
      </c>
      <c r="F9" s="73">
        <f>MIN(financials[Gross Sales])</f>
        <v>1799</v>
      </c>
      <c r="G9" s="73">
        <f>_xlfn.QUARTILE.EXC(financials[Gross Sales], 1)</f>
        <v>17357.25</v>
      </c>
      <c r="H9" s="73">
        <f>_xlfn.QUARTILE.EXC(financials[Gross Sales], 3)</f>
        <v>282675</v>
      </c>
    </row>
    <row r="10" spans="1:8" x14ac:dyDescent="0.25">
      <c r="A10" s="11"/>
      <c r="B10" s="11"/>
      <c r="C10" s="11"/>
      <c r="D10" s="11"/>
      <c r="E10" s="11"/>
      <c r="F10" s="11"/>
      <c r="G10" s="11"/>
      <c r="H10" s="11"/>
    </row>
    <row r="11" spans="1:8" ht="15.75" x14ac:dyDescent="0.25">
      <c r="A11" s="70" t="s">
        <v>2</v>
      </c>
      <c r="B11" s="73">
        <f>AVERAGE(financials[Discounts])</f>
        <v>13150.354628571431</v>
      </c>
      <c r="C11" s="73">
        <f>MEDIAN(financials[Discounts])</f>
        <v>2585.25</v>
      </c>
      <c r="D11" s="73">
        <f>_xlfn.MODE.SNGL(financials[Discounts])</f>
        <v>0</v>
      </c>
      <c r="E11" s="73">
        <f>MAX(financials[Discounts])</f>
        <v>149677.5</v>
      </c>
      <c r="F11" s="73">
        <f>MIN(financials[Discounts])</f>
        <v>0</v>
      </c>
      <c r="G11" s="73">
        <f>_xlfn.QUARTILE.EXC(financials[Discounts], 1)</f>
        <v>798.96</v>
      </c>
      <c r="H11" s="73">
        <f>_xlfn.QUARTILE.EXC(financials[Discounts], 3)</f>
        <v>16042.78125</v>
      </c>
    </row>
    <row r="12" spans="1:8" x14ac:dyDescent="0.25">
      <c r="A12" s="11"/>
      <c r="B12" s="11"/>
      <c r="C12" s="11"/>
      <c r="D12" s="11"/>
      <c r="E12" s="11"/>
      <c r="F12" s="11"/>
      <c r="G12" s="11"/>
      <c r="H12" s="11"/>
    </row>
    <row r="13" spans="1:8" ht="15.75" x14ac:dyDescent="0.25">
      <c r="A13" s="70" t="s">
        <v>97</v>
      </c>
      <c r="B13" s="73">
        <f>AVERAGE(financials[[ Sales]])</f>
        <v>169609.07179999989</v>
      </c>
      <c r="C13" s="73">
        <f>MEDIAN(financials[[ Sales]])</f>
        <v>35540.199999999997</v>
      </c>
      <c r="D13" s="73">
        <f>_xlfn.MODE.SNGL(financials[[ Sales]])</f>
        <v>32670</v>
      </c>
      <c r="E13" s="73">
        <f>MAX(financials[[ Sales]])</f>
        <v>1159200</v>
      </c>
      <c r="F13" s="73">
        <f>MIN(financials[[ Sales]])</f>
        <v>1655.08</v>
      </c>
      <c r="G13" s="73">
        <f>_xlfn.QUARTILE.EXC(financials[[ Sales]], 1)</f>
        <v>15928</v>
      </c>
      <c r="H13" s="73">
        <f>_xlfn.QUARTILE.EXC(financials[[ Sales]], 3)</f>
        <v>262072.5</v>
      </c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  <row r="15" spans="1:8" ht="15.75" x14ac:dyDescent="0.25">
      <c r="A15" s="70" t="s">
        <v>3</v>
      </c>
      <c r="B15" s="73">
        <f>AVERAGE(financials[COGS])</f>
        <v>145475.21142857143</v>
      </c>
      <c r="C15" s="73">
        <f>MEDIAN(financials[COGS])</f>
        <v>22506.25</v>
      </c>
      <c r="D15" s="73">
        <f>_xlfn.MODE.SNGL(financials[COGS])</f>
        <v>17430</v>
      </c>
      <c r="E15" s="73">
        <f>MAX(financials[COGS])</f>
        <v>950625</v>
      </c>
      <c r="F15" s="73">
        <f>MIN(financials[COGS])</f>
        <v>918</v>
      </c>
      <c r="G15" s="73">
        <f>_xlfn.QUARTILE.EXC(financials[COGS], 1)</f>
        <v>7490</v>
      </c>
      <c r="H15" s="73">
        <f>_xlfn.QUARTILE.EXC(financials[COGS], 3)</f>
        <v>246202.5</v>
      </c>
    </row>
    <row r="16" spans="1:8" x14ac:dyDescent="0.25">
      <c r="A16" s="11"/>
      <c r="B16" s="11"/>
      <c r="C16" s="11"/>
      <c r="D16" s="11"/>
      <c r="E16" s="11"/>
      <c r="F16" s="11"/>
      <c r="G16" s="11"/>
      <c r="H16" s="11"/>
    </row>
    <row r="17" spans="1:10" ht="15.75" x14ac:dyDescent="0.25">
      <c r="A17" s="70" t="s">
        <v>98</v>
      </c>
      <c r="B17" s="73">
        <f>AVERAGE(financials[Profit])</f>
        <v>24133.860371428585</v>
      </c>
      <c r="C17" s="73">
        <f>MEDIAN(financials[Profit])</f>
        <v>9242.1999999999989</v>
      </c>
      <c r="D17" s="73">
        <f>_xlfn.MODE.SNGL(financials[Profit])</f>
        <v>0</v>
      </c>
      <c r="E17" s="73">
        <f>MAX(financials[Profit])</f>
        <v>262200</v>
      </c>
      <c r="F17" s="73">
        <f>MIN(financials[Profit])</f>
        <v>-40617.5</v>
      </c>
      <c r="G17" s="73">
        <f>_xlfn.QUARTILE.EXC(financials[Profit], 1)</f>
        <v>2803.48</v>
      </c>
      <c r="H17" s="73">
        <f>_xlfn.QUARTILE.EXC(financials[Profit], 3)</f>
        <v>22662</v>
      </c>
    </row>
    <row r="19" spans="1:10" ht="15.75" thickBot="1" x14ac:dyDescent="0.3"/>
    <row r="20" spans="1:10" ht="15" customHeight="1" x14ac:dyDescent="0.25">
      <c r="A20" s="74"/>
      <c r="B20" s="98" t="s">
        <v>99</v>
      </c>
      <c r="C20" s="94" t="s">
        <v>100</v>
      </c>
      <c r="D20" s="94" t="s">
        <v>101</v>
      </c>
      <c r="E20" s="94" t="s">
        <v>102</v>
      </c>
      <c r="F20" s="94" t="s">
        <v>103</v>
      </c>
      <c r="G20" s="94" t="s">
        <v>104</v>
      </c>
      <c r="H20" s="94" t="s">
        <v>105</v>
      </c>
      <c r="I20" s="96" t="s">
        <v>106</v>
      </c>
    </row>
    <row r="21" spans="1:10" ht="23.25" customHeight="1" thickBot="1" x14ac:dyDescent="0.3">
      <c r="A21" s="74"/>
      <c r="B21" s="99"/>
      <c r="C21" s="95"/>
      <c r="D21" s="95"/>
      <c r="E21" s="95"/>
      <c r="F21" s="95"/>
      <c r="G21" s="95"/>
      <c r="H21" s="95"/>
      <c r="I21" s="97"/>
    </row>
    <row r="22" spans="1:10" ht="16.5" thickBot="1" x14ac:dyDescent="0.3">
      <c r="A22" s="76" t="s">
        <v>6</v>
      </c>
      <c r="B22" s="91">
        <f>AVERAGE(B23:B27)</f>
        <v>1624.0473333333334</v>
      </c>
      <c r="C22" s="92">
        <f>AVERAGE(C23:C27)</f>
        <v>167447.0196266667</v>
      </c>
      <c r="D22" s="92">
        <f>AVERAGE(D23:D27)</f>
        <v>148843.84599999999</v>
      </c>
      <c r="E22" s="92">
        <f>AVERAGE(E23:E27)</f>
        <v>18603.173626666656</v>
      </c>
      <c r="F22" s="92">
        <f>MAX(F23:F27)</f>
        <v>1159200</v>
      </c>
      <c r="G22" s="92">
        <f>MAX(G23:G27)</f>
        <v>262200</v>
      </c>
      <c r="H22" s="92">
        <f>MIN(H23:H27)</f>
        <v>1655.08</v>
      </c>
      <c r="I22" s="93">
        <f>MIN(I23:I27)</f>
        <v>-40617.5</v>
      </c>
    </row>
    <row r="23" spans="1:10" ht="15.75" x14ac:dyDescent="0.25">
      <c r="A23" s="77" t="s">
        <v>11</v>
      </c>
      <c r="B23" s="80">
        <f>AVERAGEIF(financials[Segment], A23, financials[Units Sold])</f>
        <v>1612.635</v>
      </c>
      <c r="C23" s="81">
        <f>AVERAGEIF(financials[Segment],A23,financials[[ Sales]])</f>
        <v>18005.936399999995</v>
      </c>
      <c r="D23" s="81">
        <f>AVERAGEIF(financials[Segment],A23,financials[COGS])</f>
        <v>4837.9049999999997</v>
      </c>
      <c r="E23" s="81">
        <f>AVERAGEIF(financials[Segment],A23,financials[Profit])</f>
        <v>13168.031400000002</v>
      </c>
      <c r="F23" s="81">
        <f>_xlfn.MAXIFS(financials[[ Sales]], financials[Segment], A23)</f>
        <v>42997.68</v>
      </c>
      <c r="G23" s="81">
        <f>_xlfn.MAXIFS(financials[Profit], financials[Segment], A23)</f>
        <v>30919.68</v>
      </c>
      <c r="H23" s="81">
        <f>_xlfn.MINIFS(financials[[ Sales]], financials[Segment], A23)</f>
        <v>3341.52</v>
      </c>
      <c r="I23" s="82">
        <f>_xlfn.MINIFS(financials[Profit], financials[Segment], A23)</f>
        <v>2423.52</v>
      </c>
      <c r="J23" s="69"/>
    </row>
    <row r="24" spans="1:10" ht="15.75" x14ac:dyDescent="0.25">
      <c r="A24" s="78" t="s">
        <v>9</v>
      </c>
      <c r="B24" s="83">
        <f>AVERAGEIF(financials[Segment], A24, financials[Units Sold])</f>
        <v>1685.52</v>
      </c>
      <c r="C24" s="73">
        <f>AVERAGEIF(financials[Segment],A24,financials[[ Sales]])</f>
        <v>196116.94375000001</v>
      </c>
      <c r="D24" s="73">
        <f>AVERAGEIF(financials[Segment],A24,financials[COGS])</f>
        <v>202262.39999999999</v>
      </c>
      <c r="E24" s="73">
        <f>AVERAGEIF(financials[Segment],A24,financials[Profit])</f>
        <v>-6145.4562500000002</v>
      </c>
      <c r="F24" s="73">
        <f>_xlfn.MAXIFS(financials[[ Sales]], financials[Segment], A24)</f>
        <v>527437.5</v>
      </c>
      <c r="G24" s="73">
        <f>_xlfn.MAXIFS(financials[Profit], financials[Segment], A24)</f>
        <v>21097.5</v>
      </c>
      <c r="H24" s="73">
        <f>_xlfn.MINIFS(financials[[ Sales]], financials[Segment], A24)</f>
        <v>38362.5</v>
      </c>
      <c r="I24" s="84">
        <f>_xlfn.MINIFS(financials[Profit], financials[Segment], A24)</f>
        <v>-40617.5</v>
      </c>
    </row>
    <row r="25" spans="1:10" ht="15.75" x14ac:dyDescent="0.25">
      <c r="A25" s="78" t="s">
        <v>10</v>
      </c>
      <c r="B25" s="83">
        <f>AVERAGEIF(financials[Segment], A25, financials[Units Sold])</f>
        <v>1568.9116666666666</v>
      </c>
      <c r="C25" s="73">
        <f>AVERAGEIF(financials[Segment],A25,financials[[ Sales]])</f>
        <v>175014.20223333346</v>
      </c>
      <c r="D25" s="73">
        <f>AVERAGEIF(financials[Segment],A25,financials[COGS])</f>
        <v>137053.625</v>
      </c>
      <c r="E25" s="73">
        <f>AVERAGEIF(financials[Segment],A25,financials[Profit])</f>
        <v>37960.577233333286</v>
      </c>
      <c r="F25" s="73">
        <f>_xlfn.MAXIFS(financials[[ Sales]], financials[Segment], A25)</f>
        <v>1159200</v>
      </c>
      <c r="G25" s="73">
        <f>_xlfn.MAXIFS(financials[Profit], financials[Segment], A25)</f>
        <v>262200</v>
      </c>
      <c r="H25" s="73">
        <f>_xlfn.MINIFS(financials[[ Sales]], financials[Segment], A25)</f>
        <v>1655.08</v>
      </c>
      <c r="I25" s="84">
        <f>_xlfn.MINIFS(financials[Profit], financials[Segment], A25)</f>
        <v>285.59999999999991</v>
      </c>
    </row>
    <row r="26" spans="1:10" ht="15.75" x14ac:dyDescent="0.25">
      <c r="A26" s="78" t="s">
        <v>8</v>
      </c>
      <c r="B26" s="83">
        <f>AVERAGEIF(financials[Segment], A26, financials[Units Sold])</f>
        <v>1721.78</v>
      </c>
      <c r="C26" s="73">
        <f>AVERAGEIF(financials[Segment],A26,financials[[ Sales]])</f>
        <v>23818.830750000001</v>
      </c>
      <c r="D26" s="73">
        <f>AVERAGEIF(financials[Segment],A26,financials[COGS])</f>
        <v>17217.8</v>
      </c>
      <c r="E26" s="73">
        <f>AVERAGEIF(financials[Segment],A26,financials[Profit])</f>
        <v>6601.0307499999981</v>
      </c>
      <c r="F26" s="73">
        <f>_xlfn.MAXIFS(financials[[ Sales]], financials[Segment], A26)</f>
        <v>53594.100000000006</v>
      </c>
      <c r="G26" s="73">
        <f>_xlfn.MAXIFS(financials[Profit], financials[Segment], A26)</f>
        <v>15584.100000000002</v>
      </c>
      <c r="H26" s="73">
        <f>_xlfn.MINIFS(financials[[ Sales]], financials[Segment], A26)</f>
        <v>3139.2</v>
      </c>
      <c r="I26" s="84">
        <f>_xlfn.MINIFS(financials[Profit], financials[Segment], A26)</f>
        <v>806.19999999999982</v>
      </c>
    </row>
    <row r="27" spans="1:10" ht="16.5" thickBot="1" x14ac:dyDescent="0.3">
      <c r="A27" s="79" t="s">
        <v>7</v>
      </c>
      <c r="B27" s="85">
        <f>AVERAGEIF(financials[Segment], A27, financials[Units Sold])</f>
        <v>1531.39</v>
      </c>
      <c r="C27" s="86">
        <f>AVERAGEIF(financials[Segment],A27,financials[[ Sales]])</f>
        <v>424279.185</v>
      </c>
      <c r="D27" s="86">
        <f>AVERAGEIF(financials[Segment],A27,financials[COGS])</f>
        <v>382847.5</v>
      </c>
      <c r="E27" s="86">
        <f>AVERAGEIF(financials[Segment],A27,financials[Profit])</f>
        <v>41431.684999999998</v>
      </c>
      <c r="F27" s="86">
        <f>_xlfn.MAXIFS(financials[[ Sales]], financials[Segment], A27)</f>
        <v>1038082.5</v>
      </c>
      <c r="G27" s="86">
        <f>_xlfn.MAXIFS(financials[Profit], financials[Segment], A27)</f>
        <v>136535</v>
      </c>
      <c r="H27" s="86">
        <f>_xlfn.MINIFS(financials[[ Sales]], financials[Segment], A27)</f>
        <v>62916</v>
      </c>
      <c r="I27" s="87">
        <f>_xlfn.MINIFS(financials[Profit], financials[Segment], A27)</f>
        <v>2152</v>
      </c>
    </row>
    <row r="28" spans="1:10" ht="16.5" thickBot="1" x14ac:dyDescent="0.3">
      <c r="A28" s="74"/>
      <c r="B28" s="74"/>
      <c r="C28" s="74"/>
      <c r="D28" s="74"/>
      <c r="E28" s="75"/>
      <c r="F28" s="75"/>
      <c r="G28" s="75"/>
      <c r="H28" s="75"/>
      <c r="I28" s="75"/>
    </row>
    <row r="29" spans="1:10" ht="16.5" thickBot="1" x14ac:dyDescent="0.3">
      <c r="A29" s="76" t="s">
        <v>36</v>
      </c>
      <c r="B29" s="91">
        <f>AVERAGE(B30:B34)</f>
        <v>1608.2942857142857</v>
      </c>
      <c r="C29" s="92">
        <f>AVERAGE(C30:C34)</f>
        <v>169609.07180000003</v>
      </c>
      <c r="D29" s="92">
        <f>AVERAGE(D30:D34)</f>
        <v>145475.21142857141</v>
      </c>
      <c r="E29" s="92">
        <f>AVERAGE(E30:E34)</f>
        <v>24133.860371428571</v>
      </c>
      <c r="F29" s="92">
        <f>MAX(F30:F34)</f>
        <v>1159200</v>
      </c>
      <c r="G29" s="92">
        <f>MAX(G30:G34)</f>
        <v>262200</v>
      </c>
      <c r="H29" s="92">
        <f>MIN(H30:H34)</f>
        <v>848172.5</v>
      </c>
      <c r="I29" s="93">
        <f>MIN(I30:I34)</f>
        <v>-40617.5</v>
      </c>
    </row>
    <row r="30" spans="1:10" ht="15.75" x14ac:dyDescent="0.25">
      <c r="A30" s="77" t="s">
        <v>16</v>
      </c>
      <c r="B30" s="88">
        <f>AVERAGEIF(financials[Country], A30, financials[Units Sold])</f>
        <v>1767.3464285714285</v>
      </c>
      <c r="C30" s="89">
        <f>AVERAGEIF(financials[Country], A30, financials[[ Sales]])</f>
        <v>177768.96346428574</v>
      </c>
      <c r="D30" s="89">
        <f>AVERAGEIF(financials[Country],A30,financials[COGS])</f>
        <v>152560.1857142857</v>
      </c>
      <c r="E30" s="89">
        <f>AVERAGEIF(financials[Country],A30,financials[Profit])</f>
        <v>25208.777750000001</v>
      </c>
      <c r="F30" s="89">
        <f>_xlfn.MAXIFS(financials[[ Sales]], financials[Country], A30)</f>
        <v>1038082.5</v>
      </c>
      <c r="G30" s="89">
        <f>_xlfn.MAXIFS(financials[Profit], financials[Country], A30)</f>
        <v>236716</v>
      </c>
      <c r="H30" s="89">
        <f>_xlfn.MAXIFS(financials[[ Sales]], financials[Country], A30)</f>
        <v>1038082.5</v>
      </c>
      <c r="I30" s="90">
        <f>_xlfn.MINIFS(financials[Profit], financials[Country], A30)</f>
        <v>-40617.5</v>
      </c>
    </row>
    <row r="31" spans="1:10" ht="15.75" x14ac:dyDescent="0.25">
      <c r="A31" s="78" t="s">
        <v>18</v>
      </c>
      <c r="B31" s="83">
        <f>AVERAGEIF(financials[Country], A31, financials[Units Sold])</f>
        <v>1720.9357142857143</v>
      </c>
      <c r="C31" s="73">
        <f>AVERAGEIF(financials[Country], A31, financials[[ Sales]])</f>
        <v>173958.3734285715</v>
      </c>
      <c r="D31" s="73">
        <f>AVERAGEIF(financials[Country],A31,financials[COGS])</f>
        <v>146951.08214285714</v>
      </c>
      <c r="E31" s="73">
        <f>AVERAGEIF(financials[Country],A31,financials[Profit])</f>
        <v>27007.291285714291</v>
      </c>
      <c r="F31" s="73">
        <f>_xlfn.MAXIFS(financials[[ Sales]], financials[Country], A31)</f>
        <v>962500</v>
      </c>
      <c r="G31" s="73">
        <f>_xlfn.MAXIFS(financials[Profit], financials[Country], A31)</f>
        <v>247500</v>
      </c>
      <c r="H31" s="73">
        <f>_xlfn.MAXIFS(financials[[ Sales]], financials[Country], A31)</f>
        <v>962500</v>
      </c>
      <c r="I31" s="84">
        <f>_xlfn.MINIFS(financials[Profit], financials[Country], A31)</f>
        <v>-21358.75</v>
      </c>
    </row>
    <row r="32" spans="1:10" ht="15.75" x14ac:dyDescent="0.25">
      <c r="A32" s="78" t="s">
        <v>19</v>
      </c>
      <c r="B32" s="83">
        <f>AVERAGEIF(financials[Country], A32, financials[Units Sold])</f>
        <v>1439.2428571428572</v>
      </c>
      <c r="C32" s="73">
        <f>AVERAGEIF(financials[Country], A32, financials[[ Sales]])</f>
        <v>167895.29157142865</v>
      </c>
      <c r="D32" s="73">
        <f>AVERAGEIF(financials[Country],A32,financials[COGS])</f>
        <v>141606.79999999999</v>
      </c>
      <c r="E32" s="73">
        <f>AVERAGEIF(financials[Country],A32,financials[Profit])</f>
        <v>26288.491571428578</v>
      </c>
      <c r="F32" s="73">
        <f>_xlfn.MAXIFS(financials[[ Sales]], financials[Country], A32)</f>
        <v>1017338</v>
      </c>
      <c r="G32" s="73">
        <f>_xlfn.MAXIFS(financials[Profit], financials[Country], A32)</f>
        <v>246178</v>
      </c>
      <c r="H32" s="73">
        <f>_xlfn.MAXIFS(financials[[ Sales]], financials[Country], A32)</f>
        <v>1017338</v>
      </c>
      <c r="I32" s="84">
        <f>_xlfn.MINIFS(financials[Profit], financials[Country], A32)</f>
        <v>-38046.25</v>
      </c>
    </row>
    <row r="33" spans="1:9" ht="15.75" x14ac:dyDescent="0.25">
      <c r="A33" s="78" t="s">
        <v>20</v>
      </c>
      <c r="B33" s="83">
        <f>AVERAGEIF(financials[Country], A33, financials[Units Sold])</f>
        <v>1452.3214285714287</v>
      </c>
      <c r="C33" s="73">
        <f>AVERAGEIF(financials[Country], A33, financials[[ Sales]])</f>
        <v>149638.22935714285</v>
      </c>
      <c r="D33" s="73">
        <f>AVERAGEIF(financials[Country],A33,financials[COGS])</f>
        <v>128870.20714285714</v>
      </c>
      <c r="E33" s="73">
        <f>AVERAGEIF(financials[Country],A33,financials[Profit])</f>
        <v>20768.022214285716</v>
      </c>
      <c r="F33" s="73">
        <f>_xlfn.MAXIFS(financials[[ Sales]], financials[Country], A33)</f>
        <v>848172.5</v>
      </c>
      <c r="G33" s="73">
        <f>_xlfn.MAXIFS(financials[Profit], financials[Country], A33)</f>
        <v>161020</v>
      </c>
      <c r="H33" s="73">
        <f>_xlfn.MAXIFS(financials[[ Sales]], financials[Country], A33)</f>
        <v>848172.5</v>
      </c>
      <c r="I33" s="84">
        <f>_xlfn.MINIFS(financials[Profit], financials[Country], A33)</f>
        <v>-35262.5</v>
      </c>
    </row>
    <row r="34" spans="1:9" ht="16.5" thickBot="1" x14ac:dyDescent="0.3">
      <c r="A34" s="79" t="s">
        <v>17</v>
      </c>
      <c r="B34" s="85">
        <f>AVERAGEIF(financials[Country], A34, financials[Units Sold])</f>
        <v>1661.625</v>
      </c>
      <c r="C34" s="86">
        <f>AVERAGEIF(financials[Country], A34, financials[[ Sales]])</f>
        <v>178784.50117857152</v>
      </c>
      <c r="D34" s="86">
        <f>AVERAGEIF(financials[Country],A34,financials[COGS])</f>
        <v>157387.78214285715</v>
      </c>
      <c r="E34" s="86">
        <f>AVERAGEIF(financials[Country],A34,financials[Profit])</f>
        <v>21396.719035714279</v>
      </c>
      <c r="F34" s="86">
        <f>_xlfn.MAXIFS(financials[[ Sales]], financials[Country], A34)</f>
        <v>1159200</v>
      </c>
      <c r="G34" s="86">
        <f>_xlfn.MAXIFS(financials[Profit], financials[Country], A34)</f>
        <v>262200</v>
      </c>
      <c r="H34" s="86">
        <f>_xlfn.MAXIFS(financials[[ Sales]], financials[Country], A34)</f>
        <v>1159200</v>
      </c>
      <c r="I34" s="87">
        <f>_xlfn.MINIFS(financials[Profit], financials[Country], A34)</f>
        <v>-35550</v>
      </c>
    </row>
    <row r="35" spans="1:9" ht="16.5" thickBot="1" x14ac:dyDescent="0.3">
      <c r="A35" s="74"/>
      <c r="B35" s="74"/>
      <c r="C35" s="75"/>
      <c r="D35" s="75"/>
      <c r="E35" s="75"/>
      <c r="F35" s="75"/>
      <c r="G35" s="75"/>
      <c r="H35" s="75"/>
      <c r="I35" s="75"/>
    </row>
    <row r="36" spans="1:9" ht="16.5" thickBot="1" x14ac:dyDescent="0.3">
      <c r="A36" s="76" t="s">
        <v>37</v>
      </c>
      <c r="B36" s="91">
        <f>AVERAGE(B37:B42)</f>
        <v>1600.395563305882</v>
      </c>
      <c r="C36" s="92">
        <f>AVERAGE(C37:C42)</f>
        <v>170313.21710135628</v>
      </c>
      <c r="D36" s="92">
        <f>AVERAGE(D37:D42)</f>
        <v>146135.60579383769</v>
      </c>
      <c r="E36" s="92">
        <f>AVERAGE(E37:E42)</f>
        <v>24177.611307518586</v>
      </c>
      <c r="F36" s="92">
        <f>MAX(F37:F42)</f>
        <v>1159200</v>
      </c>
      <c r="G36" s="92">
        <f>MAX(G37:G42)</f>
        <v>262200</v>
      </c>
      <c r="H36" s="92">
        <f>MIN(H37:H42)</f>
        <v>978236</v>
      </c>
      <c r="I36" s="93">
        <f>MIN(I37:I42)</f>
        <v>-40617.5</v>
      </c>
    </row>
    <row r="37" spans="1:9" ht="15.75" x14ac:dyDescent="0.25">
      <c r="A37" s="77" t="s">
        <v>43</v>
      </c>
      <c r="B37" s="88">
        <f>AVERAGEIF(financials[Product], A37, financials[Units Sold])</f>
        <v>1652.2872340425531</v>
      </c>
      <c r="C37" s="89">
        <f>AVERAGEIF(financials[Product], A37, financials[[ Sales]])</f>
        <v>188799.10702127658</v>
      </c>
      <c r="D37" s="89">
        <f>AVERAGEIF(financials[Product], A37, financials[COGS])</f>
        <v>158861.82978723405</v>
      </c>
      <c r="E37" s="89">
        <f>AVERAGEIF(financials[Product], A37,financials[Profit])</f>
        <v>29937.277234042554</v>
      </c>
      <c r="F37" s="89">
        <f>_xlfn.MAXIFS(financials[[ Sales]], financials[Product], A37)</f>
        <v>1017338</v>
      </c>
      <c r="G37" s="89">
        <f>_xlfn.MAXIFS(financials[Profit], financials[Product], A37)</f>
        <v>247500</v>
      </c>
      <c r="H37" s="89">
        <f>_xlfn.MAXIFS(financials[[ Sales]], financials[Product], A37)</f>
        <v>1017338</v>
      </c>
      <c r="I37" s="90">
        <f>_xlfn.MINIFS(financials[Profit], financials[Product], A37)</f>
        <v>-35550</v>
      </c>
    </row>
    <row r="38" spans="1:9" ht="15.75" x14ac:dyDescent="0.25">
      <c r="A38" s="78" t="s">
        <v>38</v>
      </c>
      <c r="B38" s="83">
        <f>AVERAGEIF(financials[Product], A38, financials[Units Sold])</f>
        <v>1578.989247311828</v>
      </c>
      <c r="C38" s="73">
        <f>AVERAGEIF(financials[Product], A38, financials[[ Sales]])</f>
        <v>148551.69768817208</v>
      </c>
      <c r="D38" s="73">
        <f>AVERAGEIF(financials[Product], A38, financials[COGS])</f>
        <v>128908.63440860216</v>
      </c>
      <c r="E38" s="73">
        <f>AVERAGEIF(financials[Product], A38,financials[Profit])</f>
        <v>19643.063279569891</v>
      </c>
      <c r="F38" s="73">
        <f>_xlfn.MAXIFS(financials[[ Sales]], financials[Product], A38)</f>
        <v>978236</v>
      </c>
      <c r="G38" s="73">
        <f>_xlfn.MAXIFS(financials[Profit], financials[Product], A38)</f>
        <v>236716</v>
      </c>
      <c r="H38" s="73">
        <f>_xlfn.MAXIFS(financials[[ Sales]], financials[Product], A38)</f>
        <v>978236</v>
      </c>
      <c r="I38" s="84">
        <f>_xlfn.MINIFS(financials[Profit], financials[Product], A38)</f>
        <v>-38046.25</v>
      </c>
    </row>
    <row r="39" spans="1:9" ht="15.75" x14ac:dyDescent="0.25">
      <c r="A39" s="78" t="s">
        <v>39</v>
      </c>
      <c r="B39" s="83">
        <f>AVERAGEIF(financials[Product], A39, financials[Units Sold])</f>
        <v>1658.0430107526881</v>
      </c>
      <c r="C39" s="73">
        <f>AVERAGEIF(financials[Product], A39, financials[[ Sales]])</f>
        <v>165492.49333333329</v>
      </c>
      <c r="D39" s="73">
        <f>AVERAGEIF(financials[Product], A39, financials[COGS])</f>
        <v>142753.19354838709</v>
      </c>
      <c r="E39" s="73">
        <f>AVERAGEIF(financials[Product], A39,financials[Profit])</f>
        <v>22739.299784946241</v>
      </c>
      <c r="F39" s="73">
        <f>_xlfn.MAXIFS(financials[[ Sales]], financials[Product], A39)</f>
        <v>1038082.5</v>
      </c>
      <c r="G39" s="73">
        <f>_xlfn.MAXIFS(financials[Profit], financials[Product], A39)</f>
        <v>142861.5</v>
      </c>
      <c r="H39" s="73">
        <f>_xlfn.MAXIFS(financials[[ Sales]], financials[Product], A39)</f>
        <v>1038082.5</v>
      </c>
      <c r="I39" s="84">
        <f>_xlfn.MINIFS(financials[Profit], financials[Product], A39)</f>
        <v>-17481.25</v>
      </c>
    </row>
    <row r="40" spans="1:9" ht="15.75" x14ac:dyDescent="0.25">
      <c r="A40" s="78" t="s">
        <v>40</v>
      </c>
      <c r="B40" s="83">
        <f>AVERAGEIF(financials[Product], A40, financials[Units Sold])</f>
        <v>1674.4529702970297</v>
      </c>
      <c r="C40" s="73">
        <f>AVERAGEIF(financials[Product], A40, financials[[ Sales]])</f>
        <v>163421.50470297036</v>
      </c>
      <c r="D40" s="73">
        <f>AVERAGEIF(financials[Product], A40, financials[COGS])</f>
        <v>139671.81188118813</v>
      </c>
      <c r="E40" s="73">
        <f>AVERAGEIF(financials[Product], A40,financials[Profit])</f>
        <v>23749.692821782173</v>
      </c>
      <c r="F40" s="73">
        <f>_xlfn.MAXIFS(financials[[ Sales]], financials[Product], A40)</f>
        <v>1159200</v>
      </c>
      <c r="G40" s="73">
        <f>_xlfn.MAXIFS(financials[Profit], financials[Product], A40)</f>
        <v>262200</v>
      </c>
      <c r="H40" s="73">
        <f>_xlfn.MAXIFS(financials[[ Sales]], financials[Product], A40)</f>
        <v>1159200</v>
      </c>
      <c r="I40" s="84">
        <f>_xlfn.MINIFS(financials[Profit], financials[Product], A40)</f>
        <v>-21560</v>
      </c>
    </row>
    <row r="41" spans="1:9" ht="15.75" x14ac:dyDescent="0.25">
      <c r="A41" s="78" t="s">
        <v>41</v>
      </c>
      <c r="B41" s="83">
        <f>AVERAGEIF(financials[Product], A41, financials[Units Sold])</f>
        <v>1490.1330275229359</v>
      </c>
      <c r="C41" s="73">
        <f>AVERAGEIF(financials[Product], A41, financials[[ Sales]])</f>
        <v>167431.73821100919</v>
      </c>
      <c r="D41" s="73">
        <f>AVERAGEIF(financials[Product], A41, financials[COGS])</f>
        <v>146275.84403669724</v>
      </c>
      <c r="E41" s="73">
        <f>AVERAGEIF(financials[Product], A41,financials[Profit])</f>
        <v>21155.894174311925</v>
      </c>
      <c r="F41" s="73">
        <f>_xlfn.MAXIFS(financials[[ Sales]], financials[Product], A41)</f>
        <v>1035625.5</v>
      </c>
      <c r="G41" s="73">
        <f>_xlfn.MAXIFS(financials[Profit], financials[Product], A41)</f>
        <v>246178</v>
      </c>
      <c r="H41" s="73">
        <f>_xlfn.MAXIFS(financials[[ Sales]], financials[Product], A41)</f>
        <v>1035625.5</v>
      </c>
      <c r="I41" s="84">
        <f>_xlfn.MINIFS(financials[Profit], financials[Product], A41)</f>
        <v>-33522.5</v>
      </c>
    </row>
    <row r="42" spans="1:9" ht="16.5" thickBot="1" x14ac:dyDescent="0.3">
      <c r="A42" s="79" t="s">
        <v>42</v>
      </c>
      <c r="B42" s="85">
        <f>AVERAGEIF(financials[Product], A42, financials[Units Sold])</f>
        <v>1548.4678899082569</v>
      </c>
      <c r="C42" s="86">
        <f>AVERAGEIF(financials[Product], A42, financials[[ Sales]])</f>
        <v>188182.76165137615</v>
      </c>
      <c r="D42" s="86">
        <f>AVERAGEIF(financials[Product], A42, financials[COGS])</f>
        <v>160342.32110091744</v>
      </c>
      <c r="E42" s="86">
        <f>AVERAGEIF(financials[Product], A42,financials[Profit])</f>
        <v>27840.440550458719</v>
      </c>
      <c r="F42" s="86">
        <f>_xlfn.MAXIFS(financials[[ Sales]], financials[Product], A42)</f>
        <v>986811</v>
      </c>
      <c r="G42" s="86">
        <f>_xlfn.MAXIFS(financials[Profit], financials[Product], A42)</f>
        <v>238791</v>
      </c>
      <c r="H42" s="86">
        <f>_xlfn.MAXIFS(financials[[ Sales]], financials[Product], A42)</f>
        <v>986811</v>
      </c>
      <c r="I42" s="87">
        <f>_xlfn.MINIFS(financials[Profit], financials[Product], A42)</f>
        <v>-40617.5</v>
      </c>
    </row>
    <row r="43" spans="1:9" ht="16.5" thickBot="1" x14ac:dyDescent="0.3">
      <c r="A43" s="74"/>
      <c r="B43" s="74"/>
      <c r="C43" s="75"/>
      <c r="D43" s="75"/>
      <c r="E43" s="75"/>
      <c r="F43" s="75"/>
      <c r="G43" s="75"/>
      <c r="H43" s="75"/>
      <c r="I43" s="75"/>
    </row>
    <row r="44" spans="1:9" ht="16.5" thickBot="1" x14ac:dyDescent="0.3">
      <c r="A44" s="76" t="s">
        <v>44</v>
      </c>
      <c r="B44" s="91">
        <f>AVERAGE(B45:B48)</f>
        <v>1614.0457204300615</v>
      </c>
      <c r="C44" s="92">
        <f>AVERAGE(C45:C48)</f>
        <v>169776.71434075388</v>
      </c>
      <c r="D44" s="92">
        <f>AVERAGE(D45:D48)</f>
        <v>142693.80157152982</v>
      </c>
      <c r="E44" s="92">
        <f>AVERAGE(E45:E48)</f>
        <v>27082.912769224044</v>
      </c>
      <c r="F44" s="92">
        <f>MAX(F45:F48)</f>
        <v>1159200</v>
      </c>
      <c r="G44" s="92">
        <f>MAX(G45:G48)</f>
        <v>262200</v>
      </c>
      <c r="H44" s="92">
        <f>MIN(H45:H48)</f>
        <v>922680</v>
      </c>
      <c r="I44" s="93">
        <f>MIN(I45:I48)</f>
        <v>-40617.5</v>
      </c>
    </row>
    <row r="45" spans="1:9" ht="15.75" x14ac:dyDescent="0.25">
      <c r="A45" s="77" t="s">
        <v>45</v>
      </c>
      <c r="B45" s="88">
        <f>AVERAGEIF(financials[Discount Band], A45, financials[Units Sold])</f>
        <v>1625.7264150943397</v>
      </c>
      <c r="C45" s="89">
        <f>AVERAGEIF(financials[Discount Band], A45, financials[[ Sales]])</f>
        <v>149880.2641509434</v>
      </c>
      <c r="D45" s="89">
        <f>AVERAGEIF(financials[Discount Band], A45, financials[COGS])</f>
        <v>117116.96226415095</v>
      </c>
      <c r="E45" s="89">
        <f>AVERAGEIF(financials[Discount Band], A45, financials[Profit])</f>
        <v>32763.301886792451</v>
      </c>
      <c r="F45" s="89">
        <f>_xlfn.MAXIFS(financials[[ Sales]], financials[Discount Band], A45)</f>
        <v>962500</v>
      </c>
      <c r="G45" s="89">
        <f>_xlfn.MAXIFS(financials[Profit], financials[Discount Band], A45)</f>
        <v>247500</v>
      </c>
      <c r="H45" s="89">
        <f>_xlfn.MAXIFS(financials[[ Sales]], financials[Discount Band], A45)</f>
        <v>962500</v>
      </c>
      <c r="I45" s="90">
        <f>_xlfn.MINIFS(financials[Profit], financials[Discount Band], A45)</f>
        <v>1725</v>
      </c>
    </row>
    <row r="46" spans="1:9" ht="15.75" x14ac:dyDescent="0.25">
      <c r="A46" s="78" t="s">
        <v>46</v>
      </c>
      <c r="B46" s="83">
        <f>AVERAGEIF(financials[Discount Band], A46, financials[Units Sold])</f>
        <v>1636.6156249999999</v>
      </c>
      <c r="C46" s="73">
        <f>AVERAGEIF(financials[Discount Band], A46, financials[[ Sales]])</f>
        <v>216436.11687499998</v>
      </c>
      <c r="D46" s="73">
        <f>AVERAGEIF(financials[Discount Band], A46, financials[COGS])</f>
        <v>177755.75625000001</v>
      </c>
      <c r="E46" s="73">
        <f>AVERAGEIF(financials[Discount Band], A46, financials[Profit])</f>
        <v>38680.360625000008</v>
      </c>
      <c r="F46" s="73">
        <f>_xlfn.MAXIFS(financials[[ Sales]], financials[Discount Band], A46)</f>
        <v>1159200</v>
      </c>
      <c r="G46" s="73">
        <f>_xlfn.MAXIFS(financials[Profit], financials[Discount Band], A46)</f>
        <v>262200</v>
      </c>
      <c r="H46" s="73">
        <f>_xlfn.MAXIFS(financials[[ Sales]], financials[Discount Band], A46)</f>
        <v>1159200</v>
      </c>
      <c r="I46" s="84">
        <f>_xlfn.MINIFS(financials[Profit], financials[Discount Band], A46)</f>
        <v>0</v>
      </c>
    </row>
    <row r="47" spans="1:9" ht="15.75" x14ac:dyDescent="0.25">
      <c r="A47" s="78" t="s">
        <v>47</v>
      </c>
      <c r="B47" s="83">
        <f>AVERAGEIF(financials[Discount Band], A47, financials[Units Sold])</f>
        <v>1569.0020661157025</v>
      </c>
      <c r="C47" s="73">
        <f>AVERAGEIF(financials[Discount Band], A47, financials[[ Sales]])</f>
        <v>160249.71419421502</v>
      </c>
      <c r="D47" s="73">
        <f>AVERAGEIF(financials[Discount Band], A47, financials[COGS])</f>
        <v>137193.8347107438</v>
      </c>
      <c r="E47" s="73">
        <f>AVERAGEIF(financials[Discount Band], A47, financials[Profit])</f>
        <v>23055.879483471064</v>
      </c>
      <c r="F47" s="73">
        <f>_xlfn.MAXIFS(financials[[ Sales]], financials[Discount Band], A47)</f>
        <v>1038082.5</v>
      </c>
      <c r="G47" s="73">
        <f>_xlfn.MAXIFS(financials[Profit], financials[Discount Band], A47)</f>
        <v>188378</v>
      </c>
      <c r="H47" s="73">
        <f>_xlfn.MAXIFS(financials[[ Sales]], financials[Discount Band], A47)</f>
        <v>1038082.5</v>
      </c>
      <c r="I47" s="84">
        <f>_xlfn.MINIFS(financials[Profit], financials[Discount Band], A47)</f>
        <v>-17481.25</v>
      </c>
    </row>
    <row r="48" spans="1:9" ht="16.5" thickBot="1" x14ac:dyDescent="0.3">
      <c r="A48" s="79" t="s">
        <v>48</v>
      </c>
      <c r="B48" s="85">
        <f>AVERAGEIF(financials[Discount Band], A48, financials[Units Sold])</f>
        <v>1624.8387755102042</v>
      </c>
      <c r="C48" s="86">
        <f>AVERAGEIF(financials[Discount Band], A48, financials[[ Sales]])</f>
        <v>152540.76214285722</v>
      </c>
      <c r="D48" s="86">
        <f>AVERAGEIF(financials[Discount Band], A48, financials[COGS])</f>
        <v>138708.6530612245</v>
      </c>
      <c r="E48" s="86">
        <f>AVERAGEIF(financials[Discount Band], A48, financials[Profit])</f>
        <v>13832.109081632654</v>
      </c>
      <c r="F48" s="86">
        <f>_xlfn.MAXIFS(financials[[ Sales]], financials[Discount Band], A48)</f>
        <v>922680</v>
      </c>
      <c r="G48" s="86">
        <f>_xlfn.MAXIFS(financials[Profit], financials[Discount Band], A48)</f>
        <v>154385</v>
      </c>
      <c r="H48" s="86">
        <f>_xlfn.MAXIFS(financials[[ Sales]], financials[Discount Band], A48)</f>
        <v>922680</v>
      </c>
      <c r="I48" s="87">
        <f>_xlfn.MINIFS(financials[Profit], financials[Discount Band], A48)</f>
        <v>-40617.5</v>
      </c>
    </row>
  </sheetData>
  <mergeCells count="8">
    <mergeCell ref="G20:G21"/>
    <mergeCell ref="H20:H21"/>
    <mergeCell ref="I20:I21"/>
    <mergeCell ref="B20:B21"/>
    <mergeCell ref="C20:C21"/>
    <mergeCell ref="D20:D21"/>
    <mergeCell ref="E20:E21"/>
    <mergeCell ref="F20:F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4BC1-2D87-4D11-A08B-886C15B90998}">
  <dimension ref="A2:D161"/>
  <sheetViews>
    <sheetView topLeftCell="A136" workbookViewId="0">
      <selection activeCell="O59" sqref="O59"/>
    </sheetView>
  </sheetViews>
  <sheetFormatPr defaultRowHeight="15" x14ac:dyDescent="0.25"/>
  <cols>
    <col min="1" max="1" width="24.42578125" bestFit="1" customWidth="1"/>
    <col min="2" max="3" width="16.85546875" bestFit="1" customWidth="1"/>
    <col min="4" max="4" width="14.5703125" customWidth="1"/>
    <col min="5" max="7" width="7.140625" bestFit="1" customWidth="1"/>
    <col min="8" max="8" width="11.28515625" bestFit="1" customWidth="1"/>
  </cols>
  <sheetData>
    <row r="2" spans="1:4" ht="15.75" customHeight="1" x14ac:dyDescent="0.25">
      <c r="A2" s="102" t="s">
        <v>53</v>
      </c>
      <c r="B2" s="102"/>
      <c r="C2" s="102"/>
      <c r="D2" s="102"/>
    </row>
    <row r="3" spans="1:4" x14ac:dyDescent="0.25">
      <c r="A3" s="18" t="s">
        <v>6</v>
      </c>
      <c r="B3" s="19" t="s">
        <v>51</v>
      </c>
      <c r="C3" s="20" t="s">
        <v>52</v>
      </c>
    </row>
    <row r="4" spans="1:4" x14ac:dyDescent="0.25">
      <c r="A4" s="13" t="s">
        <v>11</v>
      </c>
      <c r="B4" s="14">
        <v>161263.5</v>
      </c>
      <c r="C4" s="12">
        <v>1800593.6399999994</v>
      </c>
    </row>
    <row r="5" spans="1:4" x14ac:dyDescent="0.25">
      <c r="A5" s="13" t="s">
        <v>9</v>
      </c>
      <c r="B5" s="14">
        <v>168552</v>
      </c>
      <c r="C5" s="12">
        <v>19611694.375</v>
      </c>
    </row>
    <row r="6" spans="1:4" x14ac:dyDescent="0.25">
      <c r="A6" s="13" t="s">
        <v>10</v>
      </c>
      <c r="B6" s="14">
        <v>470673.5</v>
      </c>
      <c r="C6" s="12">
        <v>52504260.670000039</v>
      </c>
    </row>
    <row r="7" spans="1:4" x14ac:dyDescent="0.25">
      <c r="A7" s="13" t="s">
        <v>8</v>
      </c>
      <c r="B7" s="14">
        <v>172178</v>
      </c>
      <c r="C7" s="12">
        <v>2381883.0750000002</v>
      </c>
    </row>
    <row r="8" spans="1:4" x14ac:dyDescent="0.25">
      <c r="A8" s="13" t="s">
        <v>7</v>
      </c>
      <c r="B8" s="14">
        <v>153139</v>
      </c>
      <c r="C8" s="12">
        <v>42427918.5</v>
      </c>
    </row>
    <row r="9" spans="1:4" x14ac:dyDescent="0.25">
      <c r="A9" s="13" t="s">
        <v>50</v>
      </c>
      <c r="B9" s="14">
        <v>1125806</v>
      </c>
      <c r="C9" s="12">
        <v>118726350.26000004</v>
      </c>
    </row>
    <row r="18" spans="1:4" ht="17.25" x14ac:dyDescent="0.25">
      <c r="A18" s="102" t="s">
        <v>54</v>
      </c>
      <c r="B18" s="102"/>
      <c r="C18" s="102"/>
      <c r="D18" s="102"/>
    </row>
    <row r="19" spans="1:4" x14ac:dyDescent="0.25">
      <c r="A19" s="10" t="s">
        <v>36</v>
      </c>
      <c r="B19" s="11" t="s">
        <v>51</v>
      </c>
      <c r="C19" s="12" t="s">
        <v>52</v>
      </c>
    </row>
    <row r="20" spans="1:4" x14ac:dyDescent="0.25">
      <c r="A20" s="13" t="s">
        <v>16</v>
      </c>
      <c r="B20" s="14">
        <v>247428.5</v>
      </c>
      <c r="C20" s="12">
        <v>24887654.885000005</v>
      </c>
    </row>
    <row r="21" spans="1:4" x14ac:dyDescent="0.25">
      <c r="A21" s="13" t="s">
        <v>18</v>
      </c>
      <c r="B21" s="14">
        <v>240931</v>
      </c>
      <c r="C21" s="12">
        <v>24354172.280000009</v>
      </c>
    </row>
    <row r="22" spans="1:4" x14ac:dyDescent="0.25">
      <c r="A22" s="13" t="s">
        <v>19</v>
      </c>
      <c r="B22" s="14">
        <v>201494</v>
      </c>
      <c r="C22" s="12">
        <v>23505340.820000011</v>
      </c>
    </row>
    <row r="23" spans="1:4" x14ac:dyDescent="0.25">
      <c r="A23" s="13" t="s">
        <v>20</v>
      </c>
      <c r="B23" s="14">
        <v>203325</v>
      </c>
      <c r="C23" s="12">
        <v>20949352.109999999</v>
      </c>
    </row>
    <row r="24" spans="1:4" x14ac:dyDescent="0.25">
      <c r="A24" s="13" t="s">
        <v>17</v>
      </c>
      <c r="B24" s="14">
        <v>232627.5</v>
      </c>
      <c r="C24" s="12">
        <v>25029830.165000014</v>
      </c>
    </row>
    <row r="25" spans="1:4" x14ac:dyDescent="0.25">
      <c r="A25" s="13" t="s">
        <v>50</v>
      </c>
      <c r="B25" s="14">
        <v>1125806</v>
      </c>
      <c r="C25" s="12">
        <v>118726350.26000005</v>
      </c>
    </row>
    <row r="34" spans="1:4" ht="17.25" x14ac:dyDescent="0.25">
      <c r="A34" s="102" t="s">
        <v>55</v>
      </c>
      <c r="B34" s="102"/>
      <c r="C34" s="102"/>
      <c r="D34" s="102"/>
    </row>
    <row r="35" spans="1:4" x14ac:dyDescent="0.25">
      <c r="A35" s="10" t="s">
        <v>37</v>
      </c>
      <c r="B35" s="11" t="s">
        <v>51</v>
      </c>
      <c r="C35" s="12" t="s">
        <v>52</v>
      </c>
    </row>
    <row r="36" spans="1:4" x14ac:dyDescent="0.25">
      <c r="A36" s="13" t="s">
        <v>43</v>
      </c>
      <c r="B36" s="14">
        <v>155315</v>
      </c>
      <c r="C36" s="12">
        <v>17747116.059999999</v>
      </c>
    </row>
    <row r="37" spans="1:4" x14ac:dyDescent="0.25">
      <c r="A37" s="13" t="s">
        <v>38</v>
      </c>
      <c r="B37" s="14">
        <v>146846</v>
      </c>
      <c r="C37" s="12">
        <v>13815307.885000004</v>
      </c>
    </row>
    <row r="38" spans="1:4" x14ac:dyDescent="0.25">
      <c r="A38" s="13" t="s">
        <v>39</v>
      </c>
      <c r="B38" s="14">
        <v>154198</v>
      </c>
      <c r="C38" s="12">
        <v>15390801.879999995</v>
      </c>
    </row>
    <row r="39" spans="1:4" x14ac:dyDescent="0.25">
      <c r="A39" s="13" t="s">
        <v>40</v>
      </c>
      <c r="B39" s="14">
        <v>338239.5</v>
      </c>
      <c r="C39" s="12">
        <v>33011143.95000001</v>
      </c>
    </row>
    <row r="40" spans="1:4" x14ac:dyDescent="0.25">
      <c r="A40" s="13" t="s">
        <v>41</v>
      </c>
      <c r="B40" s="14">
        <v>162424.5</v>
      </c>
      <c r="C40" s="12">
        <v>18250059.465</v>
      </c>
    </row>
    <row r="41" spans="1:4" x14ac:dyDescent="0.25">
      <c r="A41" s="13" t="s">
        <v>42</v>
      </c>
      <c r="B41" s="14">
        <v>168783</v>
      </c>
      <c r="C41" s="12">
        <v>20511921.02</v>
      </c>
    </row>
    <row r="42" spans="1:4" x14ac:dyDescent="0.25">
      <c r="A42" s="13" t="s">
        <v>50</v>
      </c>
      <c r="B42" s="14">
        <v>1125806</v>
      </c>
      <c r="C42" s="12">
        <v>118726350.26000001</v>
      </c>
    </row>
    <row r="51" spans="1:3" ht="17.25" x14ac:dyDescent="0.25">
      <c r="A51" s="103" t="s">
        <v>56</v>
      </c>
      <c r="B51" s="103"/>
      <c r="C51" s="46"/>
    </row>
    <row r="52" spans="1:3" x14ac:dyDescent="0.25">
      <c r="A52" s="10" t="s">
        <v>6</v>
      </c>
      <c r="B52" s="11" t="s">
        <v>52</v>
      </c>
    </row>
    <row r="53" spans="1:3" x14ac:dyDescent="0.25">
      <c r="A53" s="13" t="s">
        <v>11</v>
      </c>
      <c r="B53" s="15">
        <v>1.516591418886255E-2</v>
      </c>
    </row>
    <row r="54" spans="1:3" x14ac:dyDescent="0.25">
      <c r="A54" s="13" t="s">
        <v>9</v>
      </c>
      <c r="B54" s="15">
        <v>0.16518400786390008</v>
      </c>
    </row>
    <row r="55" spans="1:3" x14ac:dyDescent="0.25">
      <c r="A55" s="13" t="s">
        <v>10</v>
      </c>
      <c r="B55" s="15">
        <v>0.44222921495540313</v>
      </c>
    </row>
    <row r="56" spans="1:3" x14ac:dyDescent="0.25">
      <c r="A56" s="13" t="s">
        <v>8</v>
      </c>
      <c r="B56" s="15">
        <v>2.0061958190274443E-2</v>
      </c>
    </row>
    <row r="57" spans="1:3" x14ac:dyDescent="0.25">
      <c r="A57" s="13" t="s">
        <v>7</v>
      </c>
      <c r="B57" s="15">
        <v>0.35735890480155985</v>
      </c>
    </row>
    <row r="58" spans="1:3" x14ac:dyDescent="0.25">
      <c r="A58" s="13" t="s">
        <v>50</v>
      </c>
      <c r="B58" s="16">
        <v>1</v>
      </c>
    </row>
    <row r="68" spans="1:2" ht="17.25" x14ac:dyDescent="0.25">
      <c r="A68" s="103" t="s">
        <v>60</v>
      </c>
      <c r="B68" s="103"/>
    </row>
    <row r="69" spans="1:2" x14ac:dyDescent="0.25">
      <c r="A69" s="10" t="s">
        <v>6</v>
      </c>
      <c r="B69" s="11" t="s">
        <v>57</v>
      </c>
    </row>
    <row r="70" spans="1:2" x14ac:dyDescent="0.25">
      <c r="A70" s="13" t="s">
        <v>11</v>
      </c>
      <c r="B70" s="12">
        <v>483790.5</v>
      </c>
    </row>
    <row r="71" spans="1:2" x14ac:dyDescent="0.25">
      <c r="A71" s="13" t="s">
        <v>9</v>
      </c>
      <c r="B71" s="12">
        <v>20226240</v>
      </c>
    </row>
    <row r="72" spans="1:2" x14ac:dyDescent="0.25">
      <c r="A72" s="13" t="s">
        <v>10</v>
      </c>
      <c r="B72" s="12">
        <v>41116087.5</v>
      </c>
    </row>
    <row r="73" spans="1:2" x14ac:dyDescent="0.25">
      <c r="A73" s="13" t="s">
        <v>8</v>
      </c>
      <c r="B73" s="12">
        <v>1721780</v>
      </c>
    </row>
    <row r="74" spans="1:2" x14ac:dyDescent="0.25">
      <c r="A74" s="13" t="s">
        <v>7</v>
      </c>
      <c r="B74" s="12">
        <v>38284750</v>
      </c>
    </row>
    <row r="75" spans="1:2" x14ac:dyDescent="0.25">
      <c r="A75" s="13" t="s">
        <v>50</v>
      </c>
      <c r="B75" s="12">
        <v>101832648</v>
      </c>
    </row>
    <row r="85" spans="1:4" ht="17.25" x14ac:dyDescent="0.25">
      <c r="A85" s="102" t="s">
        <v>109</v>
      </c>
      <c r="B85" s="102"/>
      <c r="C85" s="102"/>
      <c r="D85" s="17"/>
    </row>
    <row r="86" spans="1:4" ht="15.75" customHeight="1" x14ac:dyDescent="0.25">
      <c r="A86" s="103" t="s">
        <v>58</v>
      </c>
      <c r="B86" s="103"/>
      <c r="C86" s="103"/>
      <c r="D86" s="17"/>
    </row>
    <row r="87" spans="1:4" x14ac:dyDescent="0.25">
      <c r="A87" s="10" t="s">
        <v>59</v>
      </c>
      <c r="B87" s="11" t="s">
        <v>51</v>
      </c>
      <c r="C87" s="12" t="s">
        <v>52</v>
      </c>
    </row>
    <row r="88" spans="1:4" x14ac:dyDescent="0.25">
      <c r="A88" s="13" t="s">
        <v>21</v>
      </c>
      <c r="B88" s="14">
        <v>67835.5</v>
      </c>
      <c r="C88" s="12">
        <v>6607761.6800000006</v>
      </c>
    </row>
    <row r="89" spans="1:4" x14ac:dyDescent="0.25">
      <c r="A89" s="13" t="s">
        <v>22</v>
      </c>
      <c r="B89" s="14">
        <v>55115</v>
      </c>
      <c r="C89" s="12">
        <v>7297531.3900000006</v>
      </c>
    </row>
    <row r="90" spans="1:4" x14ac:dyDescent="0.25">
      <c r="A90" s="13" t="s">
        <v>23</v>
      </c>
      <c r="B90" s="14">
        <v>53420</v>
      </c>
      <c r="C90" s="12">
        <v>5586859.8699999992</v>
      </c>
    </row>
    <row r="91" spans="1:4" x14ac:dyDescent="0.25">
      <c r="A91" s="13" t="s">
        <v>24</v>
      </c>
      <c r="B91" s="14">
        <v>78886.5</v>
      </c>
      <c r="C91" s="12">
        <v>6964775.0700000003</v>
      </c>
    </row>
    <row r="92" spans="1:4" x14ac:dyDescent="0.25">
      <c r="A92" s="13" t="s">
        <v>25</v>
      </c>
      <c r="B92" s="14">
        <v>51771</v>
      </c>
      <c r="C92" s="12">
        <v>6210211.0600000005</v>
      </c>
    </row>
    <row r="93" spans="1:4" x14ac:dyDescent="0.25">
      <c r="A93" s="13" t="s">
        <v>26</v>
      </c>
      <c r="B93" s="14">
        <v>103302</v>
      </c>
      <c r="C93" s="12">
        <v>9518893.8199999966</v>
      </c>
    </row>
    <row r="94" spans="1:4" x14ac:dyDescent="0.25">
      <c r="A94" s="13" t="s">
        <v>27</v>
      </c>
      <c r="B94" s="14">
        <v>69349</v>
      </c>
      <c r="C94" s="12">
        <v>8102920.1800000016</v>
      </c>
    </row>
    <row r="95" spans="1:4" x14ac:dyDescent="0.25">
      <c r="A95" s="13" t="s">
        <v>28</v>
      </c>
      <c r="B95" s="14">
        <v>60705</v>
      </c>
      <c r="C95" s="12">
        <v>5864622.4199999999</v>
      </c>
    </row>
    <row r="96" spans="1:4" x14ac:dyDescent="0.25">
      <c r="A96" s="13" t="s">
        <v>29</v>
      </c>
      <c r="B96" s="14">
        <v>107881</v>
      </c>
      <c r="C96" s="12">
        <v>10882697.270000003</v>
      </c>
    </row>
    <row r="97" spans="1:3" x14ac:dyDescent="0.25">
      <c r="A97" s="13" t="s">
        <v>30</v>
      </c>
      <c r="B97" s="14">
        <v>201104</v>
      </c>
      <c r="C97" s="12">
        <v>21671431.020000018</v>
      </c>
    </row>
    <row r="98" spans="1:3" x14ac:dyDescent="0.25">
      <c r="A98" s="13" t="s">
        <v>31</v>
      </c>
      <c r="B98" s="14">
        <v>121131</v>
      </c>
      <c r="C98" s="12">
        <v>12651417.499999998</v>
      </c>
    </row>
    <row r="99" spans="1:3" x14ac:dyDescent="0.25">
      <c r="A99" s="13" t="s">
        <v>32</v>
      </c>
      <c r="B99" s="14">
        <v>155306</v>
      </c>
      <c r="C99" s="12">
        <v>17367228.980000004</v>
      </c>
    </row>
    <row r="100" spans="1:3" x14ac:dyDescent="0.25">
      <c r="A100" s="13" t="s">
        <v>50</v>
      </c>
      <c r="B100" s="14">
        <v>1125806</v>
      </c>
      <c r="C100" s="12">
        <v>118726350.26000004</v>
      </c>
    </row>
    <row r="104" spans="1:3" ht="17.25" x14ac:dyDescent="0.25">
      <c r="A104" s="100" t="s">
        <v>87</v>
      </c>
      <c r="B104" s="100"/>
    </row>
    <row r="105" spans="1:3" x14ac:dyDescent="0.25">
      <c r="A105" s="10" t="s">
        <v>6</v>
      </c>
      <c r="B105" s="12" t="s">
        <v>52</v>
      </c>
      <c r="C105" s="11" t="s">
        <v>63</v>
      </c>
    </row>
    <row r="106" spans="1:3" x14ac:dyDescent="0.25">
      <c r="A106" s="13" t="s">
        <v>14</v>
      </c>
      <c r="B106" s="12">
        <v>26415255.510000009</v>
      </c>
      <c r="C106" s="12">
        <v>3878464.5100000007</v>
      </c>
    </row>
    <row r="107" spans="1:3" x14ac:dyDescent="0.25">
      <c r="A107" s="13" t="s">
        <v>15</v>
      </c>
      <c r="B107" s="12">
        <v>92311094.749999985</v>
      </c>
      <c r="C107" s="12">
        <v>13015237.749999994</v>
      </c>
    </row>
    <row r="108" spans="1:3" x14ac:dyDescent="0.25">
      <c r="A108" s="13" t="s">
        <v>50</v>
      </c>
      <c r="B108" s="12">
        <v>118726350.25999999</v>
      </c>
      <c r="C108" s="12">
        <v>16893702.259999994</v>
      </c>
    </row>
    <row r="121" spans="1:2" ht="17.25" x14ac:dyDescent="0.25">
      <c r="A121" s="100" t="s">
        <v>89</v>
      </c>
      <c r="B121" s="100"/>
    </row>
    <row r="122" spans="1:2" x14ac:dyDescent="0.25">
      <c r="A122" s="66" t="s">
        <v>6</v>
      </c>
      <c r="B122" s="67" t="s">
        <v>63</v>
      </c>
    </row>
    <row r="123" spans="1:2" x14ac:dyDescent="0.25">
      <c r="A123" s="68" t="s">
        <v>11</v>
      </c>
      <c r="B123" s="67">
        <v>1316803.1400000001</v>
      </c>
    </row>
    <row r="124" spans="1:2" x14ac:dyDescent="0.25">
      <c r="A124" s="68" t="s">
        <v>9</v>
      </c>
      <c r="B124" s="67">
        <v>-614545.625</v>
      </c>
    </row>
    <row r="125" spans="1:2" x14ac:dyDescent="0.25">
      <c r="A125" s="68" t="s">
        <v>10</v>
      </c>
      <c r="B125" s="67">
        <v>11388173.169999985</v>
      </c>
    </row>
    <row r="126" spans="1:2" x14ac:dyDescent="0.25">
      <c r="A126" s="68" t="s">
        <v>8</v>
      </c>
      <c r="B126" s="67">
        <v>660103.07499999984</v>
      </c>
    </row>
    <row r="127" spans="1:2" x14ac:dyDescent="0.25">
      <c r="A127" s="68" t="s">
        <v>7</v>
      </c>
      <c r="B127" s="67">
        <v>4143168.5</v>
      </c>
    </row>
    <row r="128" spans="1:2" x14ac:dyDescent="0.25">
      <c r="A128" s="68" t="s">
        <v>50</v>
      </c>
      <c r="B128" s="67">
        <v>16893702.259999983</v>
      </c>
    </row>
    <row r="139" spans="1:3" ht="17.25" x14ac:dyDescent="0.25">
      <c r="A139" s="101" t="s">
        <v>88</v>
      </c>
      <c r="B139" s="101"/>
      <c r="C139" s="101"/>
    </row>
    <row r="140" spans="1:3" x14ac:dyDescent="0.25">
      <c r="A140" s="66" t="s">
        <v>6</v>
      </c>
      <c r="B140" s="67" t="s">
        <v>63</v>
      </c>
    </row>
    <row r="141" spans="1:3" x14ac:dyDescent="0.25">
      <c r="A141" s="68" t="s">
        <v>16</v>
      </c>
      <c r="B141" s="16">
        <v>0.20890796053369062</v>
      </c>
    </row>
    <row r="142" spans="1:3" x14ac:dyDescent="0.25">
      <c r="A142" s="68" t="s">
        <v>18</v>
      </c>
      <c r="B142" s="16">
        <v>0.22381244334774966</v>
      </c>
    </row>
    <row r="143" spans="1:3" x14ac:dyDescent="0.25">
      <c r="A143" s="68" t="s">
        <v>19</v>
      </c>
      <c r="B143" s="16">
        <v>0.21785566972576681</v>
      </c>
    </row>
    <row r="144" spans="1:3" x14ac:dyDescent="0.25">
      <c r="A144" s="68" t="s">
        <v>20</v>
      </c>
      <c r="B144" s="16">
        <v>0.1721069227604583</v>
      </c>
    </row>
    <row r="145" spans="1:2" x14ac:dyDescent="0.25">
      <c r="A145" s="68" t="s">
        <v>17</v>
      </c>
      <c r="B145" s="16">
        <v>0.17731700363233457</v>
      </c>
    </row>
    <row r="146" spans="1:2" x14ac:dyDescent="0.25">
      <c r="A146" s="68" t="s">
        <v>50</v>
      </c>
      <c r="B146" s="16">
        <v>1</v>
      </c>
    </row>
    <row r="153" spans="1:2" ht="17.25" x14ac:dyDescent="0.25">
      <c r="A153" s="100" t="s">
        <v>90</v>
      </c>
      <c r="B153" s="100"/>
    </row>
    <row r="154" spans="1:2" x14ac:dyDescent="0.25">
      <c r="A154" s="66" t="s">
        <v>6</v>
      </c>
      <c r="B154" s="67" t="s">
        <v>63</v>
      </c>
    </row>
    <row r="155" spans="1:2" x14ac:dyDescent="0.25">
      <c r="A155" s="68" t="s">
        <v>43</v>
      </c>
      <c r="B155" s="67">
        <v>2814104.06</v>
      </c>
    </row>
    <row r="156" spans="1:2" x14ac:dyDescent="0.25">
      <c r="A156" s="68" t="s">
        <v>38</v>
      </c>
      <c r="B156" s="67">
        <v>1826804.8849999998</v>
      </c>
    </row>
    <row r="157" spans="1:2" x14ac:dyDescent="0.25">
      <c r="A157" s="68" t="s">
        <v>39</v>
      </c>
      <c r="B157" s="67">
        <v>2114754.8800000004</v>
      </c>
    </row>
    <row r="158" spans="1:2" x14ac:dyDescent="0.25">
      <c r="A158" s="68" t="s">
        <v>40</v>
      </c>
      <c r="B158" s="67">
        <v>4797437.9499999993</v>
      </c>
    </row>
    <row r="159" spans="1:2" x14ac:dyDescent="0.25">
      <c r="A159" s="68" t="s">
        <v>41</v>
      </c>
      <c r="B159" s="67">
        <v>2305992.4649999999</v>
      </c>
    </row>
    <row r="160" spans="1:2" x14ac:dyDescent="0.25">
      <c r="A160" s="68" t="s">
        <v>42</v>
      </c>
      <c r="B160" s="67">
        <v>3034608.0200000005</v>
      </c>
    </row>
    <row r="161" spans="1:2" x14ac:dyDescent="0.25">
      <c r="A161" s="68" t="s">
        <v>50</v>
      </c>
      <c r="B161" s="67">
        <v>16893702.260000002</v>
      </c>
    </row>
  </sheetData>
  <mergeCells count="11">
    <mergeCell ref="A104:B104"/>
    <mergeCell ref="A121:B121"/>
    <mergeCell ref="A139:C139"/>
    <mergeCell ref="A153:B153"/>
    <mergeCell ref="A2:D2"/>
    <mergeCell ref="A18:D18"/>
    <mergeCell ref="A34:D34"/>
    <mergeCell ref="A86:C86"/>
    <mergeCell ref="A85:C85"/>
    <mergeCell ref="A68:B68"/>
    <mergeCell ref="A51:B51"/>
  </mergeCells>
  <pageMargins left="0.7" right="0.7" top="0.75" bottom="0.75" header="0.3" footer="0.3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2D31-DC75-4827-B2F3-D92B6EB8AAC6}">
  <dimension ref="A2:I70"/>
  <sheetViews>
    <sheetView topLeftCell="A13" workbookViewId="0">
      <selection activeCell="H14" sqref="H14"/>
    </sheetView>
  </sheetViews>
  <sheetFormatPr defaultRowHeight="15" x14ac:dyDescent="0.25"/>
  <cols>
    <col min="1" max="1" width="27" bestFit="1" customWidth="1"/>
    <col min="2" max="2" width="16.7109375" bestFit="1" customWidth="1"/>
    <col min="3" max="3" width="16.85546875" bestFit="1" customWidth="1"/>
    <col min="4" max="5" width="15.85546875" bestFit="1" customWidth="1"/>
    <col min="6" max="6" width="27" bestFit="1" customWidth="1"/>
    <col min="7" max="7" width="16.85546875" bestFit="1" customWidth="1"/>
    <col min="8" max="9" width="12.5703125" bestFit="1" customWidth="1"/>
    <col min="10" max="10" width="23.42578125" bestFit="1" customWidth="1"/>
    <col min="11" max="11" width="12.5703125" bestFit="1" customWidth="1"/>
    <col min="12" max="12" width="17.7109375" bestFit="1" customWidth="1"/>
    <col min="13" max="13" width="9.140625" customWidth="1"/>
  </cols>
  <sheetData>
    <row r="2" spans="1:7" ht="17.25" x14ac:dyDescent="0.25">
      <c r="A2" s="103" t="s">
        <v>61</v>
      </c>
      <c r="B2" s="103"/>
    </row>
    <row r="3" spans="1:7" x14ac:dyDescent="0.25">
      <c r="A3" s="10" t="s">
        <v>52</v>
      </c>
      <c r="B3" s="10" t="s">
        <v>36</v>
      </c>
      <c r="C3" s="22"/>
      <c r="D3" s="22"/>
      <c r="E3" s="22"/>
      <c r="F3" s="22"/>
      <c r="G3" s="22"/>
    </row>
    <row r="4" spans="1:7" x14ac:dyDescent="0.25">
      <c r="A4" s="10" t="s">
        <v>6</v>
      </c>
      <c r="B4" s="11" t="s">
        <v>16</v>
      </c>
      <c r="C4" s="11" t="s">
        <v>18</v>
      </c>
      <c r="D4" s="11" t="s">
        <v>19</v>
      </c>
      <c r="E4" s="11" t="s">
        <v>20</v>
      </c>
      <c r="F4" s="11" t="s">
        <v>17</v>
      </c>
      <c r="G4" s="11" t="s">
        <v>50</v>
      </c>
    </row>
    <row r="5" spans="1:7" x14ac:dyDescent="0.25">
      <c r="A5" s="13" t="s">
        <v>11</v>
      </c>
      <c r="B5" s="12">
        <v>491164.13999999984</v>
      </c>
      <c r="C5" s="12">
        <v>372090.36000000004</v>
      </c>
      <c r="D5" s="12">
        <v>336425.87999999995</v>
      </c>
      <c r="E5" s="12">
        <v>234379.08000000002</v>
      </c>
      <c r="F5" s="12">
        <v>366534.17999999993</v>
      </c>
      <c r="G5" s="12">
        <v>1800593.64</v>
      </c>
    </row>
    <row r="6" spans="1:7" x14ac:dyDescent="0.25">
      <c r="A6" s="13" t="s">
        <v>9</v>
      </c>
      <c r="B6" s="12">
        <v>3967491.25</v>
      </c>
      <c r="C6" s="12">
        <v>3890890.625</v>
      </c>
      <c r="D6" s="12">
        <v>4086826.25</v>
      </c>
      <c r="E6" s="12">
        <v>3315881.25</v>
      </c>
      <c r="F6" s="12">
        <v>4350605</v>
      </c>
      <c r="G6" s="12">
        <v>19611694.375</v>
      </c>
    </row>
    <row r="7" spans="1:7" x14ac:dyDescent="0.25">
      <c r="A7" s="13" t="s">
        <v>10</v>
      </c>
      <c r="B7" s="12">
        <v>10741236.52</v>
      </c>
      <c r="C7" s="12">
        <v>12127782.719999995</v>
      </c>
      <c r="D7" s="12">
        <v>11452895.939999998</v>
      </c>
      <c r="E7" s="12">
        <v>9791599.3799999971</v>
      </c>
      <c r="F7" s="12">
        <v>8390746.1099999994</v>
      </c>
      <c r="G7" s="12">
        <v>52504260.669999987</v>
      </c>
    </row>
    <row r="8" spans="1:7" x14ac:dyDescent="0.25">
      <c r="A8" s="13" t="s">
        <v>8</v>
      </c>
      <c r="B8" s="12">
        <v>510213.97500000003</v>
      </c>
      <c r="C8" s="12">
        <v>593802.07499999995</v>
      </c>
      <c r="D8" s="12">
        <v>301344.75</v>
      </c>
      <c r="E8" s="12">
        <v>511136.40000000008</v>
      </c>
      <c r="F8" s="12">
        <v>465385.87499999988</v>
      </c>
      <c r="G8" s="12">
        <v>2381883.0750000002</v>
      </c>
    </row>
    <row r="9" spans="1:7" x14ac:dyDescent="0.25">
      <c r="A9" s="13" t="s">
        <v>7</v>
      </c>
      <c r="B9" s="12">
        <v>9177549</v>
      </c>
      <c r="C9" s="12">
        <v>7369606.5</v>
      </c>
      <c r="D9" s="12">
        <v>7327848</v>
      </c>
      <c r="E9" s="12">
        <v>7096356</v>
      </c>
      <c r="F9" s="12">
        <v>11456559</v>
      </c>
      <c r="G9" s="12">
        <v>42427918.5</v>
      </c>
    </row>
    <row r="10" spans="1:7" x14ac:dyDescent="0.25">
      <c r="A10" s="13" t="s">
        <v>50</v>
      </c>
      <c r="B10" s="12">
        <v>24887654.884999998</v>
      </c>
      <c r="C10" s="12">
        <v>24354172.279999994</v>
      </c>
      <c r="D10" s="12">
        <v>23505340.819999997</v>
      </c>
      <c r="E10" s="12">
        <v>20949352.109999999</v>
      </c>
      <c r="F10" s="12">
        <v>25029830.164999999</v>
      </c>
      <c r="G10" s="12">
        <v>118726350.25999999</v>
      </c>
    </row>
    <row r="20" spans="1:7" ht="17.25" x14ac:dyDescent="0.25">
      <c r="A20" s="45" t="s">
        <v>62</v>
      </c>
    </row>
    <row r="21" spans="1:7" x14ac:dyDescent="0.25">
      <c r="A21" s="10" t="s">
        <v>63</v>
      </c>
      <c r="B21" s="10" t="s">
        <v>36</v>
      </c>
    </row>
    <row r="22" spans="1:7" x14ac:dyDescent="0.25">
      <c r="A22" s="10" t="s">
        <v>6</v>
      </c>
      <c r="B22" s="11" t="s">
        <v>16</v>
      </c>
      <c r="C22" s="23" t="s">
        <v>18</v>
      </c>
      <c r="D22" s="11" t="s">
        <v>19</v>
      </c>
      <c r="E22" s="11" t="s">
        <v>20</v>
      </c>
      <c r="F22" s="11" t="s">
        <v>17</v>
      </c>
      <c r="G22" s="23" t="s">
        <v>50</v>
      </c>
    </row>
    <row r="23" spans="1:7" x14ac:dyDescent="0.25">
      <c r="A23" s="13" t="s">
        <v>11</v>
      </c>
      <c r="B23" s="12">
        <v>358978.1399999999</v>
      </c>
      <c r="C23" s="24">
        <v>271581.36</v>
      </c>
      <c r="D23" s="12">
        <v>247358.87999999998</v>
      </c>
      <c r="E23" s="12">
        <v>170890.08</v>
      </c>
      <c r="F23" s="12">
        <v>267994.67999999993</v>
      </c>
      <c r="G23" s="24">
        <v>1316803.1399999999</v>
      </c>
    </row>
    <row r="24" spans="1:7" x14ac:dyDescent="0.25">
      <c r="A24" s="13" t="s">
        <v>9</v>
      </c>
      <c r="B24" s="12">
        <v>-121508.75</v>
      </c>
      <c r="C24" s="24">
        <v>-95749.375</v>
      </c>
      <c r="D24" s="12">
        <v>-101473.75</v>
      </c>
      <c r="E24" s="12">
        <v>-120678.75</v>
      </c>
      <c r="F24" s="12">
        <v>-175135</v>
      </c>
      <c r="G24" s="24">
        <v>-614545.625</v>
      </c>
    </row>
    <row r="25" spans="1:7" x14ac:dyDescent="0.25">
      <c r="A25" s="13" t="s">
        <v>10</v>
      </c>
      <c r="B25" s="12">
        <v>2258471.5200000005</v>
      </c>
      <c r="C25" s="24">
        <v>2709915.22</v>
      </c>
      <c r="D25" s="12">
        <v>2677175.9400000018</v>
      </c>
      <c r="E25" s="12">
        <v>2039159.3800000001</v>
      </c>
      <c r="F25" s="12">
        <v>1703451.1099999996</v>
      </c>
      <c r="G25" s="24">
        <v>11388173.170000002</v>
      </c>
    </row>
    <row r="26" spans="1:7" x14ac:dyDescent="0.25">
      <c r="A26" s="13" t="s">
        <v>8</v>
      </c>
      <c r="B26" s="12">
        <v>132488.97499999998</v>
      </c>
      <c r="C26" s="24">
        <v>164542.07499999998</v>
      </c>
      <c r="D26" s="12">
        <v>85354.75</v>
      </c>
      <c r="E26" s="12">
        <v>150546.40000000002</v>
      </c>
      <c r="F26" s="12">
        <v>127170.87500000001</v>
      </c>
      <c r="G26" s="24">
        <v>660103.07499999995</v>
      </c>
    </row>
    <row r="27" spans="1:7" x14ac:dyDescent="0.25">
      <c r="A27" s="13" t="s">
        <v>7</v>
      </c>
      <c r="B27" s="12">
        <v>900799</v>
      </c>
      <c r="C27" s="24">
        <v>730731.5</v>
      </c>
      <c r="D27" s="12">
        <v>771973</v>
      </c>
      <c r="E27" s="12">
        <v>667606</v>
      </c>
      <c r="F27" s="12">
        <v>1072059</v>
      </c>
      <c r="G27" s="24">
        <v>4143168.5</v>
      </c>
    </row>
    <row r="28" spans="1:7" x14ac:dyDescent="0.25">
      <c r="A28" s="13" t="s">
        <v>50</v>
      </c>
      <c r="B28" s="12">
        <v>3529228.8850000002</v>
      </c>
      <c r="C28" s="24">
        <v>3781020.7800000003</v>
      </c>
      <c r="D28" s="12">
        <v>3680388.8200000017</v>
      </c>
      <c r="E28" s="12">
        <v>2907523.1100000003</v>
      </c>
      <c r="F28" s="12">
        <v>2995540.6649999996</v>
      </c>
      <c r="G28" s="24">
        <v>16893702.260000002</v>
      </c>
    </row>
    <row r="38" spans="1:9" ht="17.25" x14ac:dyDescent="0.25">
      <c r="A38" s="104" t="s">
        <v>64</v>
      </c>
      <c r="B38" s="104"/>
      <c r="C38" s="104"/>
      <c r="D38" s="104"/>
      <c r="E38" s="104"/>
      <c r="F38" s="104"/>
      <c r="G38" s="104"/>
      <c r="H38" s="104"/>
      <c r="I38" s="104"/>
    </row>
    <row r="39" spans="1:9" ht="15.75" thickBot="1" x14ac:dyDescent="0.3">
      <c r="A39" s="29" t="s">
        <v>6</v>
      </c>
      <c r="B39" s="32" t="s">
        <v>51</v>
      </c>
      <c r="C39" s="34" t="s">
        <v>52</v>
      </c>
      <c r="D39" s="32" t="s">
        <v>63</v>
      </c>
      <c r="F39" s="10" t="s">
        <v>6</v>
      </c>
      <c r="G39" s="11" t="s">
        <v>51</v>
      </c>
      <c r="H39" s="11" t="s">
        <v>52</v>
      </c>
      <c r="I39" s="11" t="s">
        <v>63</v>
      </c>
    </row>
    <row r="40" spans="1:9" ht="15.75" thickBot="1" x14ac:dyDescent="0.3">
      <c r="A40" s="31" t="s">
        <v>11</v>
      </c>
      <c r="B40" s="37">
        <v>161263.5</v>
      </c>
      <c r="C40" s="44">
        <v>1800593.64</v>
      </c>
      <c r="D40" s="39">
        <v>1316803.1399999999</v>
      </c>
      <c r="F40" s="13" t="s">
        <v>11</v>
      </c>
      <c r="G40" s="41">
        <v>0.14324270789105761</v>
      </c>
      <c r="H40" s="41">
        <v>1.516591418886256E-2</v>
      </c>
      <c r="I40" s="41">
        <v>7.7946392077588314E-2</v>
      </c>
    </row>
    <row r="41" spans="1:9" x14ac:dyDescent="0.25">
      <c r="A41" s="28" t="s">
        <v>16</v>
      </c>
      <c r="B41" s="35">
        <v>44062</v>
      </c>
      <c r="C41" s="36">
        <v>491164.13999999984</v>
      </c>
      <c r="D41" s="36">
        <v>358978.1399999999</v>
      </c>
      <c r="F41" s="26" t="s">
        <v>16</v>
      </c>
      <c r="G41" s="42">
        <v>3.9138181889242021E-2</v>
      </c>
      <c r="H41" s="42">
        <v>4.1369429694789297E-3</v>
      </c>
      <c r="I41" s="42">
        <v>2.1249228527601614E-2</v>
      </c>
    </row>
    <row r="42" spans="1:9" x14ac:dyDescent="0.25">
      <c r="A42" s="25" t="s">
        <v>18</v>
      </c>
      <c r="B42" s="14">
        <v>33503</v>
      </c>
      <c r="C42" s="12">
        <v>372090.36000000004</v>
      </c>
      <c r="D42" s="12">
        <v>271581.36</v>
      </c>
      <c r="F42" s="27" t="s">
        <v>18</v>
      </c>
      <c r="G42" s="42">
        <v>2.9759123685608357E-2</v>
      </c>
      <c r="H42" s="42">
        <v>3.1340166625618976E-3</v>
      </c>
      <c r="I42" s="42">
        <v>1.6075893597523361E-2</v>
      </c>
    </row>
    <row r="43" spans="1:9" x14ac:dyDescent="0.25">
      <c r="A43" s="25" t="s">
        <v>19</v>
      </c>
      <c r="B43" s="14">
        <v>29689</v>
      </c>
      <c r="C43" s="12">
        <v>336425.87999999995</v>
      </c>
      <c r="D43" s="12">
        <v>247358.87999999998</v>
      </c>
      <c r="F43" s="27" t="s">
        <v>19</v>
      </c>
      <c r="G43" s="42">
        <v>2.63713286303324E-2</v>
      </c>
      <c r="H43" s="42">
        <v>2.8336243745660304E-3</v>
      </c>
      <c r="I43" s="42">
        <v>1.4642076449144189E-2</v>
      </c>
    </row>
    <row r="44" spans="1:9" x14ac:dyDescent="0.25">
      <c r="A44" s="25" t="s">
        <v>20</v>
      </c>
      <c r="B44" s="14">
        <v>21163</v>
      </c>
      <c r="C44" s="12">
        <v>234379.08000000002</v>
      </c>
      <c r="D44" s="12">
        <v>170890.08</v>
      </c>
      <c r="F44" s="27" t="s">
        <v>20</v>
      </c>
      <c r="G44" s="42">
        <v>1.8798087770006557E-2</v>
      </c>
      <c r="H44" s="42">
        <v>1.9741117240337212E-3</v>
      </c>
      <c r="I44" s="42">
        <v>1.0115608607867106E-2</v>
      </c>
    </row>
    <row r="45" spans="1:9" ht="15.75" thickBot="1" x14ac:dyDescent="0.3">
      <c r="A45" s="26" t="s">
        <v>17</v>
      </c>
      <c r="B45" s="33">
        <v>32846.5</v>
      </c>
      <c r="C45" s="34">
        <v>366534.17999999993</v>
      </c>
      <c r="D45" s="34">
        <v>267994.67999999993</v>
      </c>
      <c r="F45" s="28" t="s">
        <v>17</v>
      </c>
      <c r="G45" s="42">
        <v>2.9175985915868275E-2</v>
      </c>
      <c r="H45" s="42">
        <v>3.08721845822198E-3</v>
      </c>
      <c r="I45" s="42">
        <v>1.5863584895452035E-2</v>
      </c>
    </row>
    <row r="46" spans="1:9" ht="15.75" thickBot="1" x14ac:dyDescent="0.3">
      <c r="A46" s="31" t="s">
        <v>9</v>
      </c>
      <c r="B46" s="37">
        <v>168552</v>
      </c>
      <c r="C46" s="44">
        <v>19611694.375</v>
      </c>
      <c r="D46" s="39">
        <v>-614545.625</v>
      </c>
      <c r="F46" s="13" t="s">
        <v>9</v>
      </c>
      <c r="G46" s="42">
        <v>0.14971673627605467</v>
      </c>
      <c r="H46" s="42">
        <v>0.16518400786390014</v>
      </c>
      <c r="I46" s="42">
        <v>-3.63772023172853E-2</v>
      </c>
    </row>
    <row r="47" spans="1:9" x14ac:dyDescent="0.25">
      <c r="A47" s="28" t="s">
        <v>16</v>
      </c>
      <c r="B47" s="35">
        <v>34075</v>
      </c>
      <c r="C47" s="36">
        <v>3967491.25</v>
      </c>
      <c r="D47" s="36">
        <v>-121508.75</v>
      </c>
      <c r="F47" s="26" t="s">
        <v>16</v>
      </c>
      <c r="G47" s="42">
        <v>3.0267204118649218E-2</v>
      </c>
      <c r="H47" s="42">
        <v>3.3417107839258532E-2</v>
      </c>
      <c r="I47" s="42">
        <v>-7.1925471474480682E-3</v>
      </c>
    </row>
    <row r="48" spans="1:9" x14ac:dyDescent="0.25">
      <c r="A48" s="25" t="s">
        <v>18</v>
      </c>
      <c r="B48" s="14">
        <v>33222</v>
      </c>
      <c r="C48" s="12">
        <v>3890890.625</v>
      </c>
      <c r="D48" s="12">
        <v>-95749.375</v>
      </c>
      <c r="F48" s="27" t="s">
        <v>18</v>
      </c>
      <c r="G48" s="42">
        <v>2.9509524731614504E-2</v>
      </c>
      <c r="H48" s="42">
        <v>3.2771921451971706E-2</v>
      </c>
      <c r="I48" s="42">
        <v>-5.6677555651439542E-3</v>
      </c>
    </row>
    <row r="49" spans="1:9" x14ac:dyDescent="0.25">
      <c r="A49" s="25" t="s">
        <v>19</v>
      </c>
      <c r="B49" s="14">
        <v>34902.5</v>
      </c>
      <c r="C49" s="12">
        <v>4086826.25</v>
      </c>
      <c r="D49" s="12">
        <v>-101473.75</v>
      </c>
      <c r="F49" s="27" t="s">
        <v>19</v>
      </c>
      <c r="G49" s="42">
        <v>3.1002233066798366E-2</v>
      </c>
      <c r="H49" s="42">
        <v>3.4422234331723492E-2</v>
      </c>
      <c r="I49" s="42">
        <v>-6.0066022496598672E-3</v>
      </c>
    </row>
    <row r="50" spans="1:9" x14ac:dyDescent="0.25">
      <c r="A50" s="25" t="s">
        <v>20</v>
      </c>
      <c r="B50" s="14">
        <v>28638</v>
      </c>
      <c r="C50" s="12">
        <v>3315881.25</v>
      </c>
      <c r="D50" s="12">
        <v>-120678.75</v>
      </c>
      <c r="F50" s="27" t="s">
        <v>20</v>
      </c>
      <c r="G50" s="42">
        <v>2.5437775247245085E-2</v>
      </c>
      <c r="H50" s="42">
        <v>2.7928772700740141E-2</v>
      </c>
      <c r="I50" s="42">
        <v>-7.1434164129751858E-3</v>
      </c>
    </row>
    <row r="51" spans="1:9" ht="15.75" thickBot="1" x14ac:dyDescent="0.3">
      <c r="A51" s="26" t="s">
        <v>17</v>
      </c>
      <c r="B51" s="33">
        <v>37714.5</v>
      </c>
      <c r="C51" s="34">
        <v>4350605</v>
      </c>
      <c r="D51" s="34">
        <v>-175135</v>
      </c>
      <c r="F51" s="28" t="s">
        <v>17</v>
      </c>
      <c r="G51" s="42">
        <v>3.3499999111747496E-2</v>
      </c>
      <c r="H51" s="42">
        <v>3.6643971540206259E-2</v>
      </c>
      <c r="I51" s="42">
        <v>-1.0366880942058227E-2</v>
      </c>
    </row>
    <row r="52" spans="1:9" ht="15.75" thickBot="1" x14ac:dyDescent="0.3">
      <c r="A52" s="31" t="s">
        <v>10</v>
      </c>
      <c r="B52" s="37">
        <v>470673.5</v>
      </c>
      <c r="C52" s="44">
        <v>52504260.669999987</v>
      </c>
      <c r="D52" s="39">
        <v>11388173.170000002</v>
      </c>
      <c r="F52" s="13" t="s">
        <v>10</v>
      </c>
      <c r="G52" s="42">
        <v>0.41807691556094034</v>
      </c>
      <c r="H52" s="42">
        <v>0.44222921495540285</v>
      </c>
      <c r="I52" s="42">
        <v>0.67410760499575662</v>
      </c>
    </row>
    <row r="53" spans="1:9" x14ac:dyDescent="0.25">
      <c r="A53" s="28" t="s">
        <v>16</v>
      </c>
      <c r="B53" s="35">
        <v>98412</v>
      </c>
      <c r="C53" s="36">
        <v>10741236.52</v>
      </c>
      <c r="D53" s="36">
        <v>2258471.5200000005</v>
      </c>
      <c r="F53" s="26" t="s">
        <v>16</v>
      </c>
      <c r="G53" s="42">
        <v>8.7414705553177013E-2</v>
      </c>
      <c r="H53" s="42">
        <v>9.0470535786517994E-2</v>
      </c>
      <c r="I53" s="42">
        <v>0.13368718622131087</v>
      </c>
    </row>
    <row r="54" spans="1:9" x14ac:dyDescent="0.25">
      <c r="A54" s="25" t="s">
        <v>18</v>
      </c>
      <c r="B54" s="14">
        <v>104724.5</v>
      </c>
      <c r="C54" s="12">
        <v>12127782.719999995</v>
      </c>
      <c r="D54" s="12">
        <v>2709915.22</v>
      </c>
      <c r="F54" s="27" t="s">
        <v>18</v>
      </c>
      <c r="G54" s="42">
        <v>9.3021799492985474E-2</v>
      </c>
      <c r="H54" s="42">
        <v>0.1021490401536074</v>
      </c>
      <c r="I54" s="42">
        <v>0.16040978929860694</v>
      </c>
    </row>
    <row r="55" spans="1:9" x14ac:dyDescent="0.25">
      <c r="A55" s="25" t="s">
        <v>19</v>
      </c>
      <c r="B55" s="14">
        <v>89080</v>
      </c>
      <c r="C55" s="12">
        <v>11452895.939999998</v>
      </c>
      <c r="D55" s="12">
        <v>2677175.9400000018</v>
      </c>
      <c r="F55" s="27" t="s">
        <v>19</v>
      </c>
      <c r="G55" s="42">
        <v>7.9125533173566312E-2</v>
      </c>
      <c r="H55" s="42">
        <v>9.6464650980335784E-2</v>
      </c>
      <c r="I55" s="42">
        <v>0.1584718316208801</v>
      </c>
    </row>
    <row r="56" spans="1:9" x14ac:dyDescent="0.25">
      <c r="A56" s="25" t="s">
        <v>20</v>
      </c>
      <c r="B56" s="14">
        <v>91750</v>
      </c>
      <c r="C56" s="12">
        <v>9791599.3799999971</v>
      </c>
      <c r="D56" s="12">
        <v>2039159.3800000001</v>
      </c>
      <c r="F56" s="27" t="s">
        <v>20</v>
      </c>
      <c r="G56" s="42">
        <v>8.1497167362760553E-2</v>
      </c>
      <c r="H56" s="42">
        <v>8.2471998495340579E-2</v>
      </c>
      <c r="I56" s="42">
        <v>0.1207052988514076</v>
      </c>
    </row>
    <row r="57" spans="1:9" ht="15.75" thickBot="1" x14ac:dyDescent="0.3">
      <c r="A57" s="26" t="s">
        <v>17</v>
      </c>
      <c r="B57" s="33">
        <v>86707</v>
      </c>
      <c r="C57" s="34">
        <v>8390746.1099999994</v>
      </c>
      <c r="D57" s="34">
        <v>1703451.1099999996</v>
      </c>
      <c r="F57" s="28" t="s">
        <v>17</v>
      </c>
      <c r="G57" s="42">
        <v>7.7017709978450991E-2</v>
      </c>
      <c r="H57" s="42">
        <v>7.0672989539601133E-2</v>
      </c>
      <c r="I57" s="42">
        <v>0.10083349900355112</v>
      </c>
    </row>
    <row r="58" spans="1:9" ht="15.75" thickBot="1" x14ac:dyDescent="0.3">
      <c r="A58" s="31" t="s">
        <v>8</v>
      </c>
      <c r="B58" s="37">
        <v>172178</v>
      </c>
      <c r="C58" s="44">
        <v>2381883.0750000002</v>
      </c>
      <c r="D58" s="39">
        <v>660103.07499999995</v>
      </c>
      <c r="F58" s="13" t="s">
        <v>8</v>
      </c>
      <c r="G58" s="42">
        <v>0.15293753986033118</v>
      </c>
      <c r="H58" s="42">
        <v>2.0061958190274454E-2</v>
      </c>
      <c r="I58" s="42">
        <v>3.9073914340431844E-2</v>
      </c>
    </row>
    <row r="59" spans="1:9" x14ac:dyDescent="0.25">
      <c r="A59" s="28" t="s">
        <v>16</v>
      </c>
      <c r="B59" s="35">
        <v>37772.5</v>
      </c>
      <c r="C59" s="36">
        <v>510213.97500000003</v>
      </c>
      <c r="D59" s="36">
        <v>132488.97499999998</v>
      </c>
      <c r="F59" s="26" t="s">
        <v>16</v>
      </c>
      <c r="G59" s="42">
        <v>3.3551517757055831E-2</v>
      </c>
      <c r="H59" s="42">
        <v>4.2973945874919721E-3</v>
      </c>
      <c r="I59" s="42">
        <v>7.8425068088065122E-3</v>
      </c>
    </row>
    <row r="60" spans="1:9" x14ac:dyDescent="0.25">
      <c r="A60" s="25" t="s">
        <v>18</v>
      </c>
      <c r="B60" s="14">
        <v>42926</v>
      </c>
      <c r="C60" s="12">
        <v>593802.07499999995</v>
      </c>
      <c r="D60" s="12">
        <v>164542.07499999998</v>
      </c>
      <c r="F60" s="27" t="s">
        <v>18</v>
      </c>
      <c r="G60" s="42">
        <v>3.8129127043202822E-2</v>
      </c>
      <c r="H60" s="42">
        <v>5.0014345905489976E-3</v>
      </c>
      <c r="I60" s="42">
        <v>9.7398469836652585E-3</v>
      </c>
    </row>
    <row r="61" spans="1:9" x14ac:dyDescent="0.25">
      <c r="A61" s="25" t="s">
        <v>19</v>
      </c>
      <c r="B61" s="14">
        <v>21599</v>
      </c>
      <c r="C61" s="12">
        <v>301344.75</v>
      </c>
      <c r="D61" s="12">
        <v>85354.75</v>
      </c>
      <c r="F61" s="27" t="s">
        <v>19</v>
      </c>
      <c r="G61" s="42">
        <v>1.9185365862324416E-2</v>
      </c>
      <c r="H61" s="42">
        <v>2.5381454861543558E-3</v>
      </c>
      <c r="I61" s="42">
        <v>5.0524597087340875E-3</v>
      </c>
    </row>
    <row r="62" spans="1:9" x14ac:dyDescent="0.25">
      <c r="A62" s="25" t="s">
        <v>20</v>
      </c>
      <c r="B62" s="14">
        <v>36059</v>
      </c>
      <c r="C62" s="12">
        <v>511136.40000000008</v>
      </c>
      <c r="D62" s="12">
        <v>150546.40000000002</v>
      </c>
      <c r="F62" s="27" t="s">
        <v>20</v>
      </c>
      <c r="G62" s="42">
        <v>3.2029497089196543E-2</v>
      </c>
      <c r="H62" s="42">
        <v>4.3051639242734025E-3</v>
      </c>
      <c r="I62" s="42">
        <v>8.9113918123474734E-3</v>
      </c>
    </row>
    <row r="63" spans="1:9" ht="15.75" thickBot="1" x14ac:dyDescent="0.3">
      <c r="A63" s="26" t="s">
        <v>17</v>
      </c>
      <c r="B63" s="33">
        <v>33821.5</v>
      </c>
      <c r="C63" s="34">
        <v>465385.87499999988</v>
      </c>
      <c r="D63" s="34">
        <v>127170.87500000001</v>
      </c>
      <c r="F63" s="28" t="s">
        <v>17</v>
      </c>
      <c r="G63" s="42">
        <v>3.0042032108551563E-2</v>
      </c>
      <c r="H63" s="42">
        <v>3.9198196018057222E-3</v>
      </c>
      <c r="I63" s="42">
        <v>7.5277090268785173E-3</v>
      </c>
    </row>
    <row r="64" spans="1:9" ht="15.75" thickBot="1" x14ac:dyDescent="0.3">
      <c r="A64" s="31" t="s">
        <v>7</v>
      </c>
      <c r="B64" s="37">
        <v>153139</v>
      </c>
      <c r="C64" s="44">
        <v>42427918.5</v>
      </c>
      <c r="D64" s="39">
        <v>4143168.5</v>
      </c>
      <c r="F64" s="13" t="s">
        <v>7</v>
      </c>
      <c r="G64" s="42">
        <v>0.13602610041161622</v>
      </c>
      <c r="H64" s="42">
        <v>0.35735890480155996</v>
      </c>
      <c r="I64" s="42">
        <v>0.24524929090350853</v>
      </c>
    </row>
    <row r="65" spans="1:9" x14ac:dyDescent="0.25">
      <c r="A65" s="28" t="s">
        <v>16</v>
      </c>
      <c r="B65" s="35">
        <v>33107</v>
      </c>
      <c r="C65" s="36">
        <v>9177549</v>
      </c>
      <c r="D65" s="36">
        <v>900799</v>
      </c>
      <c r="F65" s="26" t="s">
        <v>16</v>
      </c>
      <c r="G65" s="42">
        <v>2.9407375693503143E-2</v>
      </c>
      <c r="H65" s="42">
        <v>7.7300017897475967E-2</v>
      </c>
      <c r="I65" s="42">
        <v>5.3321586123419695E-2</v>
      </c>
    </row>
    <row r="66" spans="1:9" x14ac:dyDescent="0.25">
      <c r="A66" s="25" t="s">
        <v>18</v>
      </c>
      <c r="B66" s="14">
        <v>26555.5</v>
      </c>
      <c r="C66" s="12">
        <v>7369606.5</v>
      </c>
      <c r="D66" s="12">
        <v>730731.5</v>
      </c>
      <c r="F66" s="27" t="s">
        <v>18</v>
      </c>
      <c r="G66" s="42">
        <v>2.3587989404924115E-2</v>
      </c>
      <c r="H66" s="42">
        <v>6.2072206244538193E-2</v>
      </c>
      <c r="I66" s="42">
        <v>4.3254669033098013E-2</v>
      </c>
    </row>
    <row r="67" spans="1:9" x14ac:dyDescent="0.25">
      <c r="A67" s="25" t="s">
        <v>19</v>
      </c>
      <c r="B67" s="14">
        <v>26223.5</v>
      </c>
      <c r="C67" s="12">
        <v>7327848</v>
      </c>
      <c r="D67" s="12">
        <v>771973</v>
      </c>
      <c r="F67" s="27" t="s">
        <v>19</v>
      </c>
      <c r="G67" s="42">
        <v>2.3293089573159141E-2</v>
      </c>
      <c r="H67" s="42">
        <v>6.1720485671063537E-2</v>
      </c>
      <c r="I67" s="42">
        <v>4.5695904196668372E-2</v>
      </c>
    </row>
    <row r="68" spans="1:9" x14ac:dyDescent="0.25">
      <c r="A68" s="25" t="s">
        <v>20</v>
      </c>
      <c r="B68" s="14">
        <v>25715</v>
      </c>
      <c r="C68" s="12">
        <v>7096356</v>
      </c>
      <c r="D68" s="12">
        <v>667606</v>
      </c>
      <c r="F68" s="27" t="s">
        <v>20</v>
      </c>
      <c r="G68" s="42">
        <v>2.2841413174205859E-2</v>
      </c>
      <c r="H68" s="42">
        <v>5.9770691042549701E-2</v>
      </c>
      <c r="I68" s="42">
        <v>3.9518039901811311E-2</v>
      </c>
    </row>
    <row r="69" spans="1:9" ht="15.75" thickBot="1" x14ac:dyDescent="0.3">
      <c r="A69" s="26" t="s">
        <v>17</v>
      </c>
      <c r="B69" s="33">
        <v>41538</v>
      </c>
      <c r="C69" s="34">
        <v>11456559</v>
      </c>
      <c r="D69" s="34">
        <v>1072059</v>
      </c>
      <c r="F69" s="28" t="s">
        <v>17</v>
      </c>
      <c r="G69" s="42">
        <v>3.6896232565823951E-2</v>
      </c>
      <c r="H69" s="42">
        <v>9.6495503945932551E-2</v>
      </c>
      <c r="I69" s="42">
        <v>6.3459091648511143E-2</v>
      </c>
    </row>
    <row r="70" spans="1:9" ht="15.75" thickBot="1" x14ac:dyDescent="0.3">
      <c r="A70" s="40" t="s">
        <v>50</v>
      </c>
      <c r="B70" s="38">
        <v>1125806</v>
      </c>
      <c r="C70" s="44">
        <v>118726350.25999999</v>
      </c>
      <c r="D70" s="39">
        <v>16893702.260000002</v>
      </c>
      <c r="F70" s="13" t="s">
        <v>50</v>
      </c>
      <c r="G70" s="43">
        <v>1</v>
      </c>
      <c r="H70" s="43">
        <v>1</v>
      </c>
      <c r="I70" s="43">
        <v>1</v>
      </c>
    </row>
  </sheetData>
  <mergeCells count="2">
    <mergeCell ref="A2:B2"/>
    <mergeCell ref="A38:I38"/>
  </mergeCell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4A9B-9EAA-476E-89B5-24F40E3C3E1F}">
  <dimension ref="A2:R121"/>
  <sheetViews>
    <sheetView topLeftCell="E46" workbookViewId="0">
      <selection activeCell="L2" sqref="L2"/>
    </sheetView>
  </sheetViews>
  <sheetFormatPr defaultRowHeight="15" x14ac:dyDescent="0.25"/>
  <cols>
    <col min="1" max="1" width="27" bestFit="1" customWidth="1"/>
    <col min="2" max="2" width="18.28515625" bestFit="1" customWidth="1"/>
    <col min="3" max="3" width="16.140625" bestFit="1" customWidth="1"/>
    <col min="4" max="5" width="15.85546875" bestFit="1" customWidth="1"/>
    <col min="6" max="6" width="23.42578125" bestFit="1" customWidth="1"/>
    <col min="7" max="7" width="16.85546875" bestFit="1" customWidth="1"/>
    <col min="8" max="8" width="11.28515625" bestFit="1" customWidth="1"/>
    <col min="9" max="10" width="14.28515625" bestFit="1" customWidth="1"/>
    <col min="11" max="11" width="27" bestFit="1" customWidth="1"/>
    <col min="12" max="12" width="11.140625" bestFit="1" customWidth="1"/>
    <col min="13" max="13" width="9.28515625" bestFit="1" customWidth="1"/>
    <col min="14" max="14" width="9" bestFit="1" customWidth="1"/>
    <col min="15" max="15" width="8.7109375" customWidth="1"/>
    <col min="16" max="16" width="8" customWidth="1"/>
    <col min="17" max="17" width="8.140625" customWidth="1"/>
    <col min="18" max="18" width="11.28515625" bestFit="1" customWidth="1"/>
    <col min="19" max="21" width="14.28515625" bestFit="1" customWidth="1"/>
    <col min="22" max="22" width="15.85546875" bestFit="1" customWidth="1"/>
    <col min="23" max="28" width="14.28515625" bestFit="1" customWidth="1"/>
    <col min="29" max="29" width="15.85546875" bestFit="1" customWidth="1"/>
    <col min="30" max="30" width="25.28515625" bestFit="1" customWidth="1"/>
    <col min="31" max="35" width="14.28515625" bestFit="1" customWidth="1"/>
    <col min="36" max="36" width="28.42578125" bestFit="1" customWidth="1"/>
    <col min="37" max="37" width="16.85546875" bestFit="1" customWidth="1"/>
  </cols>
  <sheetData>
    <row r="2" spans="1:2" ht="17.25" x14ac:dyDescent="0.3">
      <c r="A2" s="50" t="s">
        <v>67</v>
      </c>
    </row>
    <row r="3" spans="1:2" x14ac:dyDescent="0.25">
      <c r="A3" s="10" t="s">
        <v>37</v>
      </c>
      <c r="B3" s="11" t="s">
        <v>52</v>
      </c>
    </row>
    <row r="4" spans="1:2" x14ac:dyDescent="0.25">
      <c r="A4" s="13" t="s">
        <v>43</v>
      </c>
      <c r="B4" s="12">
        <v>17747116.059999999</v>
      </c>
    </row>
    <row r="5" spans="1:2" x14ac:dyDescent="0.25">
      <c r="A5" s="13" t="s">
        <v>38</v>
      </c>
      <c r="B5" s="12">
        <v>13815307.885000004</v>
      </c>
    </row>
    <row r="6" spans="1:2" x14ac:dyDescent="0.25">
      <c r="A6" s="13" t="s">
        <v>39</v>
      </c>
      <c r="B6" s="12">
        <v>15390801.879999995</v>
      </c>
    </row>
    <row r="7" spans="1:2" x14ac:dyDescent="0.25">
      <c r="A7" s="13" t="s">
        <v>40</v>
      </c>
      <c r="B7" s="12">
        <v>33011143.95000001</v>
      </c>
    </row>
    <row r="8" spans="1:2" x14ac:dyDescent="0.25">
      <c r="A8" s="13" t="s">
        <v>41</v>
      </c>
      <c r="B8" s="12">
        <v>18250059.465</v>
      </c>
    </row>
    <row r="9" spans="1:2" x14ac:dyDescent="0.25">
      <c r="A9" s="13" t="s">
        <v>42</v>
      </c>
      <c r="B9" s="12">
        <v>20511921.02</v>
      </c>
    </row>
    <row r="10" spans="1:2" x14ac:dyDescent="0.25">
      <c r="A10" s="13" t="s">
        <v>50</v>
      </c>
      <c r="B10" s="12">
        <v>118726350.26000001</v>
      </c>
    </row>
    <row r="19" spans="1:3" ht="17.25" x14ac:dyDescent="0.25">
      <c r="A19" s="103" t="s">
        <v>68</v>
      </c>
      <c r="B19" s="103"/>
      <c r="C19" s="103"/>
    </row>
    <row r="20" spans="1:3" x14ac:dyDescent="0.25">
      <c r="A20" s="10" t="s">
        <v>37</v>
      </c>
      <c r="B20" s="11" t="s">
        <v>51</v>
      </c>
      <c r="C20" s="11" t="s">
        <v>65</v>
      </c>
    </row>
    <row r="21" spans="1:3" x14ac:dyDescent="0.25">
      <c r="A21" s="13" t="s">
        <v>43</v>
      </c>
      <c r="B21" s="61">
        <v>155315</v>
      </c>
      <c r="C21" s="12">
        <v>188799.10702127658</v>
      </c>
    </row>
    <row r="22" spans="1:3" x14ac:dyDescent="0.25">
      <c r="A22" s="13" t="s">
        <v>38</v>
      </c>
      <c r="B22" s="61">
        <v>146846</v>
      </c>
      <c r="C22" s="12">
        <v>148551.69768817208</v>
      </c>
    </row>
    <row r="23" spans="1:3" x14ac:dyDescent="0.25">
      <c r="A23" s="13" t="s">
        <v>39</v>
      </c>
      <c r="B23" s="61">
        <v>154198</v>
      </c>
      <c r="C23" s="12">
        <v>165492.49333333329</v>
      </c>
    </row>
    <row r="24" spans="1:3" x14ac:dyDescent="0.25">
      <c r="A24" s="13" t="s">
        <v>40</v>
      </c>
      <c r="B24" s="61">
        <v>338239.5</v>
      </c>
      <c r="C24" s="12">
        <v>163421.50470297036</v>
      </c>
    </row>
    <row r="25" spans="1:3" x14ac:dyDescent="0.25">
      <c r="A25" s="13" t="s">
        <v>41</v>
      </c>
      <c r="B25" s="61">
        <v>162424.5</v>
      </c>
      <c r="C25" s="12">
        <v>167431.73821100919</v>
      </c>
    </row>
    <row r="26" spans="1:3" x14ac:dyDescent="0.25">
      <c r="A26" s="13" t="s">
        <v>42</v>
      </c>
      <c r="B26" s="61">
        <v>168783</v>
      </c>
      <c r="C26" s="12">
        <v>188182.76165137615</v>
      </c>
    </row>
    <row r="27" spans="1:3" x14ac:dyDescent="0.25">
      <c r="A27" s="13" t="s">
        <v>50</v>
      </c>
      <c r="B27" s="61">
        <v>1125806</v>
      </c>
      <c r="C27" s="12">
        <v>169609.07179999998</v>
      </c>
    </row>
    <row r="36" spans="1:3" ht="17.25" x14ac:dyDescent="0.25">
      <c r="A36" s="103" t="s">
        <v>69</v>
      </c>
      <c r="B36" s="103"/>
      <c r="C36" s="103"/>
    </row>
    <row r="37" spans="1:3" x14ac:dyDescent="0.25">
      <c r="A37" s="10" t="s">
        <v>37</v>
      </c>
      <c r="B37" s="11" t="s">
        <v>66</v>
      </c>
      <c r="C37" s="11" t="s">
        <v>63</v>
      </c>
    </row>
    <row r="38" spans="1:3" x14ac:dyDescent="0.25">
      <c r="A38" s="13" t="s">
        <v>43</v>
      </c>
      <c r="B38" s="14">
        <v>94</v>
      </c>
      <c r="C38" s="12">
        <v>2814104.06</v>
      </c>
    </row>
    <row r="39" spans="1:3" x14ac:dyDescent="0.25">
      <c r="A39" s="13" t="s">
        <v>38</v>
      </c>
      <c r="B39" s="14">
        <v>93</v>
      </c>
      <c r="C39" s="12">
        <v>1826804.8849999998</v>
      </c>
    </row>
    <row r="40" spans="1:3" x14ac:dyDescent="0.25">
      <c r="A40" s="13" t="s">
        <v>39</v>
      </c>
      <c r="B40" s="14">
        <v>93</v>
      </c>
      <c r="C40" s="12">
        <v>2114754.8800000004</v>
      </c>
    </row>
    <row r="41" spans="1:3" x14ac:dyDescent="0.25">
      <c r="A41" s="13" t="s">
        <v>40</v>
      </c>
      <c r="B41" s="14">
        <v>202</v>
      </c>
      <c r="C41" s="12">
        <v>4797437.9499999993</v>
      </c>
    </row>
    <row r="42" spans="1:3" x14ac:dyDescent="0.25">
      <c r="A42" s="13" t="s">
        <v>41</v>
      </c>
      <c r="B42" s="14">
        <v>109</v>
      </c>
      <c r="C42" s="12">
        <v>2305992.4649999999</v>
      </c>
    </row>
    <row r="43" spans="1:3" x14ac:dyDescent="0.25">
      <c r="A43" s="13" t="s">
        <v>42</v>
      </c>
      <c r="B43" s="14">
        <v>109</v>
      </c>
      <c r="C43" s="12">
        <v>3034608.0200000005</v>
      </c>
    </row>
    <row r="44" spans="1:3" x14ac:dyDescent="0.25">
      <c r="A44" s="13" t="s">
        <v>50</v>
      </c>
      <c r="B44" s="14">
        <v>700</v>
      </c>
      <c r="C44" s="12">
        <v>16893702.260000005</v>
      </c>
    </row>
    <row r="53" spans="1:7" ht="17.25" x14ac:dyDescent="0.25">
      <c r="A53" s="103" t="s">
        <v>70</v>
      </c>
      <c r="B53" s="103"/>
    </row>
    <row r="54" spans="1:7" x14ac:dyDescent="0.25">
      <c r="A54" s="10" t="s">
        <v>52</v>
      </c>
      <c r="B54" s="10" t="s">
        <v>6</v>
      </c>
      <c r="C54" s="22"/>
      <c r="D54" s="22"/>
      <c r="E54" s="22"/>
      <c r="F54" s="22"/>
      <c r="G54" s="22"/>
    </row>
    <row r="55" spans="1:7" x14ac:dyDescent="0.25">
      <c r="A55" s="10" t="s">
        <v>37</v>
      </c>
      <c r="B55" s="11" t="s">
        <v>11</v>
      </c>
      <c r="C55" s="11" t="s">
        <v>9</v>
      </c>
      <c r="D55" s="11" t="s">
        <v>10</v>
      </c>
      <c r="E55" s="11" t="s">
        <v>8</v>
      </c>
      <c r="F55" s="11" t="s">
        <v>7</v>
      </c>
      <c r="G55" s="11" t="s">
        <v>50</v>
      </c>
    </row>
    <row r="56" spans="1:7" x14ac:dyDescent="0.25">
      <c r="A56" s="13" t="s">
        <v>43</v>
      </c>
      <c r="B56" s="12">
        <v>317643</v>
      </c>
      <c r="C56" s="12">
        <v>2643607.5</v>
      </c>
      <c r="D56" s="12">
        <v>9942899.1099999975</v>
      </c>
      <c r="E56" s="12">
        <v>248685.45000000004</v>
      </c>
      <c r="F56" s="12">
        <v>4594281</v>
      </c>
      <c r="G56" s="12">
        <v>17747116.059999995</v>
      </c>
    </row>
    <row r="57" spans="1:7" x14ac:dyDescent="0.25">
      <c r="A57" s="13" t="s">
        <v>38</v>
      </c>
      <c r="B57" s="12">
        <v>282838.67999999993</v>
      </c>
      <c r="C57" s="12">
        <v>3203708.125</v>
      </c>
      <c r="D57" s="12">
        <v>6080944.0799999982</v>
      </c>
      <c r="E57" s="12">
        <v>337305</v>
      </c>
      <c r="F57" s="12">
        <v>3910512</v>
      </c>
      <c r="G57" s="12">
        <v>13815307.884999998</v>
      </c>
    </row>
    <row r="58" spans="1:7" x14ac:dyDescent="0.25">
      <c r="A58" s="13" t="s">
        <v>39</v>
      </c>
      <c r="B58" s="12">
        <v>261844.56</v>
      </c>
      <c r="C58" s="12">
        <v>2614843.75</v>
      </c>
      <c r="D58" s="12">
        <v>5548936.0199999996</v>
      </c>
      <c r="E58" s="12">
        <v>290239.04999999993</v>
      </c>
      <c r="F58" s="12">
        <v>6674938.5</v>
      </c>
      <c r="G58" s="12">
        <v>15390801.880000001</v>
      </c>
    </row>
    <row r="59" spans="1:7" x14ac:dyDescent="0.25">
      <c r="A59" s="13" t="s">
        <v>40</v>
      </c>
      <c r="B59" s="12">
        <v>454514.39999999997</v>
      </c>
      <c r="C59" s="12">
        <v>5267860</v>
      </c>
      <c r="D59" s="12">
        <v>14882230.699999994</v>
      </c>
      <c r="E59" s="12">
        <v>907729.35</v>
      </c>
      <c r="F59" s="12">
        <v>11498809.5</v>
      </c>
      <c r="G59" s="12">
        <v>33011143.949999996</v>
      </c>
    </row>
    <row r="60" spans="1:7" x14ac:dyDescent="0.25">
      <c r="A60" s="13" t="s">
        <v>41</v>
      </c>
      <c r="B60" s="12">
        <v>182924.03999999998</v>
      </c>
      <c r="C60" s="12">
        <v>3581237.5</v>
      </c>
      <c r="D60" s="12">
        <v>7813422.0499999989</v>
      </c>
      <c r="E60" s="12">
        <v>264498.375</v>
      </c>
      <c r="F60" s="12">
        <v>6407977.5</v>
      </c>
      <c r="G60" s="12">
        <v>18250059.465</v>
      </c>
    </row>
    <row r="61" spans="1:7" x14ac:dyDescent="0.25">
      <c r="A61" s="13" t="s">
        <v>42</v>
      </c>
      <c r="B61" s="12">
        <v>300828.95999999996</v>
      </c>
      <c r="C61" s="12">
        <v>2300437.5</v>
      </c>
      <c r="D61" s="12">
        <v>8235828.7099999972</v>
      </c>
      <c r="E61" s="12">
        <v>333425.84999999998</v>
      </c>
      <c r="F61" s="12">
        <v>9341400</v>
      </c>
      <c r="G61" s="12">
        <v>20511921.019999996</v>
      </c>
    </row>
    <row r="62" spans="1:7" x14ac:dyDescent="0.25">
      <c r="A62" s="13" t="s">
        <v>50</v>
      </c>
      <c r="B62" s="12">
        <v>1800593.64</v>
      </c>
      <c r="C62" s="12">
        <v>19611694.375</v>
      </c>
      <c r="D62" s="12">
        <v>52504260.669999987</v>
      </c>
      <c r="E62" s="12">
        <v>2381883.0750000002</v>
      </c>
      <c r="F62" s="12">
        <v>42427918.5</v>
      </c>
      <c r="G62" s="12">
        <v>118726350.25999999</v>
      </c>
    </row>
    <row r="71" spans="1:7" ht="17.25" x14ac:dyDescent="0.25">
      <c r="A71" s="103" t="s">
        <v>71</v>
      </c>
      <c r="B71" s="103"/>
    </row>
    <row r="72" spans="1:7" x14ac:dyDescent="0.25">
      <c r="A72" s="10" t="s">
        <v>52</v>
      </c>
      <c r="B72" s="10" t="s">
        <v>6</v>
      </c>
      <c r="C72" s="22"/>
      <c r="D72" s="22"/>
      <c r="E72" s="22"/>
      <c r="F72" s="22"/>
      <c r="G72" s="22"/>
    </row>
    <row r="73" spans="1:7" x14ac:dyDescent="0.25">
      <c r="A73" s="10" t="s">
        <v>37</v>
      </c>
      <c r="B73" s="11" t="s">
        <v>16</v>
      </c>
      <c r="C73" s="11" t="s">
        <v>18</v>
      </c>
      <c r="D73" s="11" t="s">
        <v>19</v>
      </c>
      <c r="E73" s="11" t="s">
        <v>20</v>
      </c>
      <c r="F73" s="11" t="s">
        <v>17</v>
      </c>
      <c r="G73" s="11" t="s">
        <v>50</v>
      </c>
    </row>
    <row r="74" spans="1:7" x14ac:dyDescent="0.25">
      <c r="A74" s="13" t="s">
        <v>43</v>
      </c>
      <c r="B74" s="12">
        <v>3855765.8750000005</v>
      </c>
      <c r="C74" s="12">
        <v>4016427.13</v>
      </c>
      <c r="D74" s="12">
        <v>3960250.26</v>
      </c>
      <c r="E74" s="12">
        <v>3077555.39</v>
      </c>
      <c r="F74" s="12">
        <v>2837117.4050000003</v>
      </c>
      <c r="G74" s="12">
        <v>17747116.060000002</v>
      </c>
    </row>
    <row r="75" spans="1:7" x14ac:dyDescent="0.25">
      <c r="A75" s="13" t="s">
        <v>38</v>
      </c>
      <c r="B75" s="12">
        <v>2610204.34</v>
      </c>
      <c r="C75" s="12">
        <v>3423321.895</v>
      </c>
      <c r="D75" s="12">
        <v>3062340.68</v>
      </c>
      <c r="E75" s="12">
        <v>2879601.42</v>
      </c>
      <c r="F75" s="12">
        <v>1839839.5500000003</v>
      </c>
      <c r="G75" s="12">
        <v>13815307.885</v>
      </c>
    </row>
    <row r="76" spans="1:7" x14ac:dyDescent="0.25">
      <c r="A76" s="13" t="s">
        <v>39</v>
      </c>
      <c r="B76" s="12">
        <v>2711919.0300000003</v>
      </c>
      <c r="C76" s="12">
        <v>3527382.3699999996</v>
      </c>
      <c r="D76" s="12">
        <v>3566044.3699999996</v>
      </c>
      <c r="E76" s="12">
        <v>1941329.31</v>
      </c>
      <c r="F76" s="12">
        <v>3644126.7999999993</v>
      </c>
      <c r="G76" s="12">
        <v>15390801.879999999</v>
      </c>
    </row>
    <row r="77" spans="1:7" x14ac:dyDescent="0.25">
      <c r="A77" s="13" t="s">
        <v>40</v>
      </c>
      <c r="B77" s="12">
        <v>7611520.9899999993</v>
      </c>
      <c r="C77" s="12">
        <v>5597751.0599999996</v>
      </c>
      <c r="D77" s="12">
        <v>5229814.7399999984</v>
      </c>
      <c r="E77" s="12">
        <v>7627731.3899999997</v>
      </c>
      <c r="F77" s="12">
        <v>6944325.7699999996</v>
      </c>
      <c r="G77" s="12">
        <v>33011143.949999999</v>
      </c>
    </row>
    <row r="78" spans="1:7" x14ac:dyDescent="0.25">
      <c r="A78" s="13" t="s">
        <v>41</v>
      </c>
      <c r="B78" s="12">
        <v>3329490.34</v>
      </c>
      <c r="C78" s="12">
        <v>3978096.2350000003</v>
      </c>
      <c r="D78" s="12">
        <v>4392907</v>
      </c>
      <c r="E78" s="12">
        <v>2250737.8899999997</v>
      </c>
      <c r="F78" s="12">
        <v>4298828</v>
      </c>
      <c r="G78" s="12">
        <v>18250059.465</v>
      </c>
    </row>
    <row r="79" spans="1:7" x14ac:dyDescent="0.25">
      <c r="A79" s="13" t="s">
        <v>42</v>
      </c>
      <c r="B79" s="12">
        <v>4768754.3100000005</v>
      </c>
      <c r="C79" s="12">
        <v>3811193.59</v>
      </c>
      <c r="D79" s="12">
        <v>3293983.77</v>
      </c>
      <c r="E79" s="12">
        <v>3172396.71</v>
      </c>
      <c r="F79" s="12">
        <v>5465592.6399999997</v>
      </c>
      <c r="G79" s="12">
        <v>20511921.02</v>
      </c>
    </row>
    <row r="80" spans="1:7" x14ac:dyDescent="0.25">
      <c r="A80" s="13" t="s">
        <v>50</v>
      </c>
      <c r="B80" s="12">
        <v>24887654.884999998</v>
      </c>
      <c r="C80" s="12">
        <v>24354172.279999997</v>
      </c>
      <c r="D80" s="12">
        <v>23505340.819999997</v>
      </c>
      <c r="E80" s="12">
        <v>20949352.110000003</v>
      </c>
      <c r="F80" s="12">
        <v>25029830.164999999</v>
      </c>
      <c r="G80" s="12">
        <v>118726350.26000001</v>
      </c>
    </row>
    <row r="88" spans="1:18" ht="17.25" x14ac:dyDescent="0.25">
      <c r="A88" s="102" t="s">
        <v>72</v>
      </c>
      <c r="B88" s="102"/>
      <c r="C88" s="102"/>
      <c r="D88" s="102"/>
      <c r="E88" s="102"/>
      <c r="K88" s="102" t="s">
        <v>73</v>
      </c>
      <c r="L88" s="102"/>
      <c r="M88" s="102"/>
      <c r="N88" s="102"/>
      <c r="O88" s="102"/>
      <c r="P88" s="102"/>
      <c r="Q88" s="102"/>
      <c r="R88" s="102"/>
    </row>
    <row r="89" spans="1:18" x14ac:dyDescent="0.25">
      <c r="A89" s="10" t="s">
        <v>52</v>
      </c>
      <c r="B89" s="10" t="s">
        <v>6</v>
      </c>
      <c r="C89" s="22"/>
      <c r="D89" s="22"/>
      <c r="E89" s="22"/>
      <c r="F89" s="22"/>
      <c r="G89" s="22"/>
      <c r="H89" s="22"/>
      <c r="K89" s="10" t="s">
        <v>63</v>
      </c>
      <c r="L89" s="10" t="s">
        <v>6</v>
      </c>
      <c r="M89" s="22"/>
      <c r="N89" s="22"/>
      <c r="O89" s="22"/>
      <c r="P89" s="22"/>
      <c r="Q89" s="22"/>
      <c r="R89" s="22"/>
    </row>
    <row r="90" spans="1:18" ht="15.75" thickBot="1" x14ac:dyDescent="0.3">
      <c r="A90" s="29" t="s">
        <v>37</v>
      </c>
      <c r="B90" s="32" t="s">
        <v>43</v>
      </c>
      <c r="C90" s="32" t="s">
        <v>38</v>
      </c>
      <c r="D90" s="32" t="s">
        <v>39</v>
      </c>
      <c r="E90" s="32" t="s">
        <v>40</v>
      </c>
      <c r="F90" s="32" t="s">
        <v>41</v>
      </c>
      <c r="G90" s="32" t="s">
        <v>42</v>
      </c>
      <c r="H90" s="32" t="s">
        <v>50</v>
      </c>
      <c r="K90" s="10" t="s">
        <v>37</v>
      </c>
      <c r="L90" s="11" t="s">
        <v>43</v>
      </c>
      <c r="M90" s="11" t="s">
        <v>38</v>
      </c>
      <c r="N90" s="11" t="s">
        <v>39</v>
      </c>
      <c r="O90" s="11" t="s">
        <v>40</v>
      </c>
      <c r="P90" s="11" t="s">
        <v>41</v>
      </c>
      <c r="Q90" s="11" t="s">
        <v>42</v>
      </c>
      <c r="R90" s="11" t="s">
        <v>50</v>
      </c>
    </row>
    <row r="91" spans="1:18" ht="15.75" thickBot="1" x14ac:dyDescent="0.3">
      <c r="A91" s="40" t="s">
        <v>11</v>
      </c>
      <c r="B91" s="47">
        <v>2.6754212464578458E-3</v>
      </c>
      <c r="C91" s="47">
        <v>2.3822738539558304E-3</v>
      </c>
      <c r="D91" s="47">
        <v>2.2054460482157836E-3</v>
      </c>
      <c r="E91" s="47">
        <v>3.8282521024579162E-3</v>
      </c>
      <c r="F91" s="47">
        <v>1.5407198115617372E-3</v>
      </c>
      <c r="G91" s="47">
        <v>2.5338011262134451E-3</v>
      </c>
      <c r="H91" s="48">
        <v>1.5165914188862558E-2</v>
      </c>
      <c r="K91" s="30" t="s">
        <v>11</v>
      </c>
      <c r="L91" s="49">
        <v>1.3618595643463178E-2</v>
      </c>
      <c r="M91" s="47">
        <v>1.2336294128579015E-2</v>
      </c>
      <c r="N91" s="47">
        <v>1.1392266599589048E-2</v>
      </c>
      <c r="O91" s="47">
        <v>1.9642728094344905E-2</v>
      </c>
      <c r="P91" s="47">
        <v>7.9477569767469093E-3</v>
      </c>
      <c r="Q91" s="47">
        <v>1.300875063486528E-2</v>
      </c>
      <c r="R91" s="48">
        <v>7.7946392077588328E-2</v>
      </c>
    </row>
    <row r="92" spans="1:18" x14ac:dyDescent="0.25">
      <c r="A92" s="28" t="s">
        <v>16</v>
      </c>
      <c r="B92" s="43">
        <v>5.6581845439438838E-4</v>
      </c>
      <c r="C92" s="43">
        <v>9.3164019409148471E-4</v>
      </c>
      <c r="D92" s="43">
        <v>4.6797800048873495E-4</v>
      </c>
      <c r="E92" s="43">
        <v>1.3899192524542445E-3</v>
      </c>
      <c r="F92" s="43">
        <v>2.8902867749958235E-4</v>
      </c>
      <c r="G92" s="43">
        <v>4.9255839055049552E-4</v>
      </c>
      <c r="H92" s="43">
        <v>4.1369429694789305E-3</v>
      </c>
      <c r="K92" s="25" t="s">
        <v>16</v>
      </c>
      <c r="L92" s="16">
        <v>2.8610105266529068E-3</v>
      </c>
      <c r="M92" s="16">
        <v>4.8128136005162444E-3</v>
      </c>
      <c r="N92" s="16">
        <v>2.4295633584819677E-3</v>
      </c>
      <c r="O92" s="16">
        <v>7.1415393821437001E-3</v>
      </c>
      <c r="P92" s="16">
        <v>1.4933564953215888E-3</v>
      </c>
      <c r="Q92" s="16">
        <v>2.5109451644852185E-3</v>
      </c>
      <c r="R92" s="16">
        <v>2.1249228527601628E-2</v>
      </c>
    </row>
    <row r="93" spans="1:18" x14ac:dyDescent="0.25">
      <c r="A93" s="25" t="s">
        <v>18</v>
      </c>
      <c r="B93" s="16">
        <v>3.6436123830359539E-4</v>
      </c>
      <c r="C93" s="16">
        <v>5.5410715360096666E-4</v>
      </c>
      <c r="D93" s="16">
        <v>4.065176761039601E-4</v>
      </c>
      <c r="E93" s="16">
        <v>9.1471505493240604E-4</v>
      </c>
      <c r="F93" s="16">
        <v>2.8541633702873671E-4</v>
      </c>
      <c r="G93" s="16">
        <v>6.088992025922316E-4</v>
      </c>
      <c r="H93" s="16">
        <v>3.1340166625618967E-3</v>
      </c>
      <c r="K93" s="25" t="s">
        <v>18</v>
      </c>
      <c r="L93" s="16">
        <v>1.8194519784321098E-3</v>
      </c>
      <c r="M93" s="16">
        <v>2.8759308795821056E-3</v>
      </c>
      <c r="N93" s="16">
        <v>2.1034678753714467E-3</v>
      </c>
      <c r="O93" s="16">
        <v>4.6957309167114441E-3</v>
      </c>
      <c r="P93" s="16">
        <v>1.4692125869158062E-3</v>
      </c>
      <c r="Q93" s="16">
        <v>3.1120993605104532E-3</v>
      </c>
      <c r="R93" s="16">
        <v>1.6075893597523365E-2</v>
      </c>
    </row>
    <row r="94" spans="1:18" x14ac:dyDescent="0.25">
      <c r="A94" s="25" t="s">
        <v>19</v>
      </c>
      <c r="B94" s="16">
        <v>4.3224574736455814E-4</v>
      </c>
      <c r="C94" s="16">
        <v>3.2912727389014241E-4</v>
      </c>
      <c r="D94" s="16">
        <v>3.8103420092448819E-4</v>
      </c>
      <c r="E94" s="16">
        <v>3.6607543232669402E-4</v>
      </c>
      <c r="F94" s="16">
        <v>5.0611073168181457E-4</v>
      </c>
      <c r="G94" s="16">
        <v>8.1903098837833338E-4</v>
      </c>
      <c r="H94" s="16">
        <v>2.8336243745660308E-3</v>
      </c>
      <c r="K94" s="25" t="s">
        <v>19</v>
      </c>
      <c r="L94" s="16">
        <v>2.1825269223135937E-3</v>
      </c>
      <c r="M94" s="16">
        <v>1.6982707258864642E-3</v>
      </c>
      <c r="N94" s="16">
        <v>1.9875927421488726E-3</v>
      </c>
      <c r="O94" s="16">
        <v>1.8764270561969763E-3</v>
      </c>
      <c r="P94" s="16">
        <v>2.6350458481443607E-3</v>
      </c>
      <c r="Q94" s="16">
        <v>4.2622131544539253E-3</v>
      </c>
      <c r="R94" s="16">
        <v>1.4642076449144193E-2</v>
      </c>
    </row>
    <row r="95" spans="1:18" x14ac:dyDescent="0.25">
      <c r="A95" s="25" t="s">
        <v>20</v>
      </c>
      <c r="B95" s="16">
        <v>2.7173917103783457E-4</v>
      </c>
      <c r="C95" s="16">
        <v>1.5548629229799083E-4</v>
      </c>
      <c r="D95" s="16">
        <v>5.7809171973783539E-4</v>
      </c>
      <c r="E95" s="16">
        <v>4.5105235596585241E-4</v>
      </c>
      <c r="F95" s="16">
        <v>2.3949190670590062E-4</v>
      </c>
      <c r="G95" s="16">
        <v>2.7825027828830691E-4</v>
      </c>
      <c r="H95" s="16">
        <v>1.9741117240337207E-3</v>
      </c>
      <c r="K95" s="25" t="s">
        <v>20</v>
      </c>
      <c r="L95" s="16">
        <v>1.393335790919758E-3</v>
      </c>
      <c r="M95" s="16">
        <v>7.9865974860622417E-4</v>
      </c>
      <c r="N95" s="16">
        <v>2.9448678113497199E-3</v>
      </c>
      <c r="O95" s="16">
        <v>2.3202018951646902E-3</v>
      </c>
      <c r="P95" s="16">
        <v>1.2217570596630132E-3</v>
      </c>
      <c r="Q95" s="16">
        <v>1.4367863021637036E-3</v>
      </c>
      <c r="R95" s="16">
        <v>1.0115608607867109E-2</v>
      </c>
    </row>
    <row r="96" spans="1:18" ht="15.75" thickBot="1" x14ac:dyDescent="0.3">
      <c r="A96" s="26" t="s">
        <v>17</v>
      </c>
      <c r="B96" s="41">
        <v>1.0412566353574693E-3</v>
      </c>
      <c r="C96" s="41">
        <v>4.1191294007524563E-4</v>
      </c>
      <c r="D96" s="41">
        <v>3.7182445096076519E-4</v>
      </c>
      <c r="E96" s="41">
        <v>7.0649000677871924E-4</v>
      </c>
      <c r="F96" s="41">
        <v>2.2067215864570279E-4</v>
      </c>
      <c r="G96" s="41">
        <v>3.3506226640407801E-4</v>
      </c>
      <c r="H96" s="41">
        <v>3.0872184582219795E-3</v>
      </c>
      <c r="K96" s="25" t="s">
        <v>17</v>
      </c>
      <c r="L96" s="16">
        <v>5.362270425144808E-3</v>
      </c>
      <c r="M96" s="16">
        <v>2.1506191739879763E-3</v>
      </c>
      <c r="N96" s="16">
        <v>1.9267748122370428E-3</v>
      </c>
      <c r="O96" s="16">
        <v>3.6088288441280961E-3</v>
      </c>
      <c r="P96" s="16">
        <v>1.1283849867021393E-3</v>
      </c>
      <c r="Q96" s="16">
        <v>1.6867066532519797E-3</v>
      </c>
      <c r="R96" s="16">
        <v>1.5863584895452042E-2</v>
      </c>
    </row>
    <row r="97" spans="1:18" ht="15.75" thickBot="1" x14ac:dyDescent="0.3">
      <c r="A97" s="40" t="s">
        <v>9</v>
      </c>
      <c r="B97" s="47">
        <v>2.2266392373813716E-2</v>
      </c>
      <c r="C97" s="47">
        <v>2.6983968748168944E-2</v>
      </c>
      <c r="D97" s="47">
        <v>2.2024123071868441E-2</v>
      </c>
      <c r="E97" s="47">
        <v>4.4369762807193694E-2</v>
      </c>
      <c r="F97" s="47">
        <v>3.0163796765902536E-2</v>
      </c>
      <c r="G97" s="47">
        <v>1.9375964096952775E-2</v>
      </c>
      <c r="H97" s="48">
        <v>0.16518400786390011</v>
      </c>
      <c r="K97" s="30" t="s">
        <v>9</v>
      </c>
      <c r="L97" s="49">
        <v>-5.6324243517240731E-3</v>
      </c>
      <c r="M97" s="47">
        <v>-1.318313011395526E-2</v>
      </c>
      <c r="N97" s="47">
        <v>-1.8407007251233516E-3</v>
      </c>
      <c r="O97" s="47">
        <v>-4.8384894407390846E-3</v>
      </c>
      <c r="P97" s="47">
        <v>-5.0174022659731669E-3</v>
      </c>
      <c r="Q97" s="47">
        <v>-5.8650554197703739E-3</v>
      </c>
      <c r="R97" s="48">
        <v>-3.6377202317285307E-2</v>
      </c>
    </row>
    <row r="98" spans="1:18" x14ac:dyDescent="0.25">
      <c r="A98" s="28" t="s">
        <v>16</v>
      </c>
      <c r="B98" s="43">
        <v>3.130286572324724E-3</v>
      </c>
      <c r="C98" s="43">
        <v>3.0045246840219005E-3</v>
      </c>
      <c r="D98" s="43">
        <v>3.1695786080841327E-3</v>
      </c>
      <c r="E98" s="43">
        <v>8.1291347530386051E-3</v>
      </c>
      <c r="F98" s="43">
        <v>6.6779088910232957E-3</v>
      </c>
      <c r="G98" s="43">
        <v>9.3056743307658712E-3</v>
      </c>
      <c r="H98" s="43">
        <v>3.3417107839258525E-2</v>
      </c>
      <c r="K98" s="25" t="s">
        <v>16</v>
      </c>
      <c r="L98" s="16">
        <v>-1.4699264624070628E-3</v>
      </c>
      <c r="M98" s="16">
        <v>-1.3202405048187468E-3</v>
      </c>
      <c r="N98" s="16">
        <v>8.9101250681092575E-4</v>
      </c>
      <c r="O98" s="16">
        <v>-3.7040430236634232E-4</v>
      </c>
      <c r="P98" s="16">
        <v>-7.4561808928198792E-4</v>
      </c>
      <c r="Q98" s="16">
        <v>-4.177370295384856E-3</v>
      </c>
      <c r="R98" s="16">
        <v>-7.1925471474480699E-3</v>
      </c>
    </row>
    <row r="99" spans="1:18" x14ac:dyDescent="0.25">
      <c r="A99" s="25" t="s">
        <v>18</v>
      </c>
      <c r="B99" s="16">
        <v>3.3097328363877894E-3</v>
      </c>
      <c r="C99" s="16">
        <v>1.0002165672569206E-2</v>
      </c>
      <c r="D99" s="16">
        <v>3.0935213555852129E-3</v>
      </c>
      <c r="E99" s="16">
        <v>1.0531613220332138E-2</v>
      </c>
      <c r="F99" s="16">
        <v>3.1967945546109468E-3</v>
      </c>
      <c r="G99" s="16">
        <v>2.6380938124864074E-3</v>
      </c>
      <c r="H99" s="16">
        <v>3.2771921451971699E-2</v>
      </c>
      <c r="K99" s="25" t="s">
        <v>18</v>
      </c>
      <c r="L99" s="16">
        <v>-1.0363329322698742E-3</v>
      </c>
      <c r="M99" s="16">
        <v>-3.3207271050839514E-3</v>
      </c>
      <c r="N99" s="16">
        <v>-5.9178857577427211E-4</v>
      </c>
      <c r="O99" s="16">
        <v>-1.2229409327828419E-3</v>
      </c>
      <c r="P99" s="16">
        <v>-5.7787806661628717E-5</v>
      </c>
      <c r="Q99" s="16">
        <v>5.6182178742861309E-4</v>
      </c>
      <c r="R99" s="16">
        <v>-5.6677555651439551E-3</v>
      </c>
    </row>
    <row r="100" spans="1:18" x14ac:dyDescent="0.25">
      <c r="A100" s="25" t="s">
        <v>19</v>
      </c>
      <c r="B100" s="16">
        <v>1.0729768473555029E-2</v>
      </c>
      <c r="C100" s="16">
        <v>4.3250508322330026E-3</v>
      </c>
      <c r="D100" s="16">
        <v>4.1901186965704676E-3</v>
      </c>
      <c r="E100" s="16">
        <v>9.3945867750285204E-3</v>
      </c>
      <c r="F100" s="16">
        <v>3.6853444836955772E-3</v>
      </c>
      <c r="G100" s="16">
        <v>2.0973650706408902E-3</v>
      </c>
      <c r="H100" s="16">
        <v>3.4422234331723485E-2</v>
      </c>
      <c r="K100" s="25" t="s">
        <v>19</v>
      </c>
      <c r="L100" s="16">
        <v>-2.7428860345026586E-4</v>
      </c>
      <c r="M100" s="16">
        <v>-3.2664539217468133E-3</v>
      </c>
      <c r="N100" s="16">
        <v>-4.2871005351789601E-4</v>
      </c>
      <c r="O100" s="16">
        <v>-1.3007805904115659E-3</v>
      </c>
      <c r="P100" s="16">
        <v>-4.0325678144158327E-4</v>
      </c>
      <c r="Q100" s="16">
        <v>-3.3311229909174453E-4</v>
      </c>
      <c r="R100" s="16">
        <v>-6.0066022496598689E-3</v>
      </c>
    </row>
    <row r="101" spans="1:18" x14ac:dyDescent="0.25">
      <c r="A101" s="25" t="s">
        <v>20</v>
      </c>
      <c r="B101" s="16">
        <v>1.9728876486731816E-3</v>
      </c>
      <c r="C101" s="16">
        <v>6.0434562203647412E-3</v>
      </c>
      <c r="D101" s="16">
        <v>2.8629701768447167E-3</v>
      </c>
      <c r="E101" s="16">
        <v>9.0231338506909804E-3</v>
      </c>
      <c r="F101" s="16">
        <v>5.6608115934515708E-3</v>
      </c>
      <c r="G101" s="16">
        <v>2.3655132107149469E-3</v>
      </c>
      <c r="H101" s="16">
        <v>2.7928772700740137E-2</v>
      </c>
      <c r="K101" s="25" t="s">
        <v>20</v>
      </c>
      <c r="L101" s="16">
        <v>-4.9049343195894587E-4</v>
      </c>
      <c r="M101" s="16">
        <v>-3.8193226687067237E-3</v>
      </c>
      <c r="N101" s="16">
        <v>2.4565367236441401E-4</v>
      </c>
      <c r="O101" s="16">
        <v>-7.8586977535615701E-4</v>
      </c>
      <c r="P101" s="16">
        <v>-1.628565460464082E-3</v>
      </c>
      <c r="Q101" s="16">
        <v>-6.6481874885369278E-4</v>
      </c>
      <c r="R101" s="16">
        <v>-7.1434164129751876E-3</v>
      </c>
    </row>
    <row r="102" spans="1:18" ht="15.75" thickBot="1" x14ac:dyDescent="0.3">
      <c r="A102" s="26" t="s">
        <v>17</v>
      </c>
      <c r="B102" s="41">
        <v>3.1237168428729901E-3</v>
      </c>
      <c r="C102" s="41">
        <v>3.6087713389800951E-3</v>
      </c>
      <c r="D102" s="41">
        <v>8.7079342347839133E-3</v>
      </c>
      <c r="E102" s="41">
        <v>7.291294208103454E-3</v>
      </c>
      <c r="F102" s="41">
        <v>1.0942937243121146E-2</v>
      </c>
      <c r="G102" s="41">
        <v>2.9693176723446595E-3</v>
      </c>
      <c r="H102" s="41">
        <v>3.6643971540206259E-2</v>
      </c>
      <c r="K102" s="25" t="s">
        <v>17</v>
      </c>
      <c r="L102" s="16">
        <v>-2.3613829216379244E-3</v>
      </c>
      <c r="M102" s="16">
        <v>-1.4563859135990245E-3</v>
      </c>
      <c r="N102" s="16">
        <v>-1.9568682750065233E-3</v>
      </c>
      <c r="O102" s="16">
        <v>-1.1584938398221778E-3</v>
      </c>
      <c r="P102" s="16">
        <v>-2.182174128123885E-3</v>
      </c>
      <c r="Q102" s="16">
        <v>-1.2515758638686936E-3</v>
      </c>
      <c r="R102" s="16">
        <v>-1.0366880942058228E-2</v>
      </c>
    </row>
    <row r="103" spans="1:18" ht="15.75" thickBot="1" x14ac:dyDescent="0.3">
      <c r="A103" s="40" t="s">
        <v>10</v>
      </c>
      <c r="B103" s="47">
        <v>8.3746355280238535E-2</v>
      </c>
      <c r="C103" s="47">
        <v>5.1218150534260341E-2</v>
      </c>
      <c r="D103" s="47">
        <v>4.6737190251770824E-2</v>
      </c>
      <c r="E103" s="47">
        <v>0.12534901197088313</v>
      </c>
      <c r="F103" s="47">
        <v>6.5810344821426003E-2</v>
      </c>
      <c r="G103" s="47">
        <v>6.9368162096824143E-2</v>
      </c>
      <c r="H103" s="48">
        <v>0.44222921495540302</v>
      </c>
      <c r="K103" s="30" t="s">
        <v>10</v>
      </c>
      <c r="L103" s="49">
        <v>0.1307174458276501</v>
      </c>
      <c r="M103" s="47">
        <v>8.2811574305560201E-2</v>
      </c>
      <c r="N103" s="47">
        <v>6.6663955755072016E-2</v>
      </c>
      <c r="O103" s="47">
        <v>0.18097221396158311</v>
      </c>
      <c r="P103" s="47">
        <v>0.10398739263681092</v>
      </c>
      <c r="Q103" s="47">
        <v>0.10895502250908026</v>
      </c>
      <c r="R103" s="48">
        <v>0.6741076049957565</v>
      </c>
    </row>
    <row r="104" spans="1:18" x14ac:dyDescent="0.25">
      <c r="A104" s="28" t="s">
        <v>16</v>
      </c>
      <c r="B104" s="43">
        <v>2.1728889874492802E-2</v>
      </c>
      <c r="C104" s="43">
        <v>1.1220395869010517E-2</v>
      </c>
      <c r="D104" s="43">
        <v>6.989686014795213E-3</v>
      </c>
      <c r="E104" s="43">
        <v>3.3327676975960299E-2</v>
      </c>
      <c r="F104" s="43">
        <v>1.1577652871412372E-2</v>
      </c>
      <c r="G104" s="43">
        <v>5.626234180846788E-3</v>
      </c>
      <c r="H104" s="43">
        <v>9.0470535786518008E-2</v>
      </c>
      <c r="K104" s="25" t="s">
        <v>16</v>
      </c>
      <c r="L104" s="16">
        <v>3.0836745077097154E-2</v>
      </c>
      <c r="M104" s="16">
        <v>1.8220496920252936E-2</v>
      </c>
      <c r="N104" s="16">
        <v>7.6732682987393913E-3</v>
      </c>
      <c r="O104" s="16">
        <v>5.1009153395603871E-2</v>
      </c>
      <c r="P104" s="16">
        <v>1.5524274428641434E-2</v>
      </c>
      <c r="Q104" s="16">
        <v>1.0423248100976062E-2</v>
      </c>
      <c r="R104" s="16">
        <v>0.13368718622131084</v>
      </c>
    </row>
    <row r="105" spans="1:18" x14ac:dyDescent="0.25">
      <c r="A105" s="25" t="s">
        <v>18</v>
      </c>
      <c r="B105" s="16">
        <v>2.2623802501448173E-2</v>
      </c>
      <c r="C105" s="16">
        <v>1.1767321634502335E-2</v>
      </c>
      <c r="D105" s="16">
        <v>9.6074435666729813E-3</v>
      </c>
      <c r="E105" s="16">
        <v>2.1333635494170038E-2</v>
      </c>
      <c r="F105" s="16">
        <v>1.964549710230434E-2</v>
      </c>
      <c r="G105" s="16">
        <v>1.7171339854509565E-2</v>
      </c>
      <c r="H105" s="16">
        <v>0.10214904015360743</v>
      </c>
      <c r="K105" s="25" t="s">
        <v>18</v>
      </c>
      <c r="L105" s="16">
        <v>3.6486614391178451E-2</v>
      </c>
      <c r="M105" s="16">
        <v>1.8195310019628583E-2</v>
      </c>
      <c r="N105" s="16">
        <v>1.5760412128868667E-2</v>
      </c>
      <c r="O105" s="16">
        <v>3.1107431154643778E-2</v>
      </c>
      <c r="P105" s="16">
        <v>3.2547227454214643E-2</v>
      </c>
      <c r="Q105" s="16">
        <v>2.6312794150072826E-2</v>
      </c>
      <c r="R105" s="16">
        <v>0.16040978929860694</v>
      </c>
    </row>
    <row r="106" spans="1:18" x14ac:dyDescent="0.25">
      <c r="A106" s="25" t="s">
        <v>19</v>
      </c>
      <c r="B106" s="16">
        <v>1.835798662408912E-2</v>
      </c>
      <c r="C106" s="16">
        <v>7.4198305436901247E-3</v>
      </c>
      <c r="D106" s="16">
        <v>1.5085777218601413E-2</v>
      </c>
      <c r="E106" s="16">
        <v>1.6505607101612592E-2</v>
      </c>
      <c r="F106" s="16">
        <v>2.3907652461176564E-2</v>
      </c>
      <c r="G106" s="16">
        <v>1.5187797031165979E-2</v>
      </c>
      <c r="H106" s="16">
        <v>9.6464650980335798E-2</v>
      </c>
      <c r="K106" s="25" t="s">
        <v>19</v>
      </c>
      <c r="L106" s="16">
        <v>3.0692606157011793E-2</v>
      </c>
      <c r="M106" s="16">
        <v>1.3323864510916272E-2</v>
      </c>
      <c r="N106" s="16">
        <v>2.1941565223252614E-2</v>
      </c>
      <c r="O106" s="16">
        <v>2.8622529422985106E-2</v>
      </c>
      <c r="P106" s="16">
        <v>3.9931644918193329E-2</v>
      </c>
      <c r="Q106" s="16">
        <v>2.395962138852091E-2</v>
      </c>
      <c r="R106" s="16">
        <v>0.15847183162088002</v>
      </c>
    </row>
    <row r="107" spans="1:18" x14ac:dyDescent="0.25">
      <c r="A107" s="25" t="s">
        <v>20</v>
      </c>
      <c r="B107" s="16">
        <v>1.2137121092700555E-2</v>
      </c>
      <c r="C107" s="16">
        <v>1.4431723423214407E-2</v>
      </c>
      <c r="D107" s="16">
        <v>5.5984567751337522E-3</v>
      </c>
      <c r="E107" s="16">
        <v>3.0051335968693159E-2</v>
      </c>
      <c r="F107" s="16">
        <v>5.1068818225458012E-3</v>
      </c>
      <c r="G107" s="16">
        <v>1.5146479413052919E-2</v>
      </c>
      <c r="H107" s="16">
        <v>8.2471998495340593E-2</v>
      </c>
      <c r="K107" s="25" t="s">
        <v>20</v>
      </c>
      <c r="L107" s="16">
        <v>2.0070561489817569E-2</v>
      </c>
      <c r="M107" s="16">
        <v>2.3136482695415996E-2</v>
      </c>
      <c r="N107" s="16">
        <v>9.1992470098144156E-3</v>
      </c>
      <c r="O107" s="16">
        <v>3.5606193997170639E-2</v>
      </c>
      <c r="P107" s="16">
        <v>6.5214503194399266E-3</v>
      </c>
      <c r="Q107" s="16">
        <v>2.6171363339749076E-2</v>
      </c>
      <c r="R107" s="16">
        <v>0.12070529885140761</v>
      </c>
    </row>
    <row r="108" spans="1:18" ht="15.75" thickBot="1" x14ac:dyDescent="0.3">
      <c r="A108" s="26" t="s">
        <v>17</v>
      </c>
      <c r="B108" s="41">
        <v>8.8985551875078745E-3</v>
      </c>
      <c r="C108" s="41">
        <v>6.3788790638429583E-3</v>
      </c>
      <c r="D108" s="41">
        <v>9.4558266765674606E-3</v>
      </c>
      <c r="E108" s="41">
        <v>2.4130756430447018E-2</v>
      </c>
      <c r="F108" s="41">
        <v>5.5726605639869172E-3</v>
      </c>
      <c r="G108" s="41">
        <v>1.6236311617248901E-2</v>
      </c>
      <c r="H108" s="41">
        <v>7.0672989539601119E-2</v>
      </c>
      <c r="K108" s="25" t="s">
        <v>17</v>
      </c>
      <c r="L108" s="16">
        <v>1.2630918712545134E-2</v>
      </c>
      <c r="M108" s="16">
        <v>9.9354201593464132E-3</v>
      </c>
      <c r="N108" s="16">
        <v>1.2089463094396929E-2</v>
      </c>
      <c r="O108" s="16">
        <v>3.4626905991179707E-2</v>
      </c>
      <c r="P108" s="16">
        <v>9.4627955163215979E-3</v>
      </c>
      <c r="Q108" s="16">
        <v>2.2087995529761397E-2</v>
      </c>
      <c r="R108" s="16">
        <v>0.10083349900355119</v>
      </c>
    </row>
    <row r="109" spans="1:18" ht="15.75" thickBot="1" x14ac:dyDescent="0.3">
      <c r="A109" s="40" t="s">
        <v>8</v>
      </c>
      <c r="B109" s="47">
        <v>2.0946104167726986E-3</v>
      </c>
      <c r="C109" s="47">
        <v>2.8410289650219389E-3</v>
      </c>
      <c r="D109" s="47">
        <v>2.4446051728567639E-3</v>
      </c>
      <c r="E109" s="47">
        <v>7.645559288331146E-3</v>
      </c>
      <c r="F109" s="47">
        <v>2.2277984156067496E-3</v>
      </c>
      <c r="G109" s="47">
        <v>2.8083559316851516E-3</v>
      </c>
      <c r="H109" s="48">
        <v>2.006195819027445E-2</v>
      </c>
      <c r="K109" s="30" t="s">
        <v>8</v>
      </c>
      <c r="L109" s="49">
        <v>3.7650391264797871E-3</v>
      </c>
      <c r="M109" s="47">
        <v>5.5704189970730558E-3</v>
      </c>
      <c r="N109" s="47">
        <v>4.9651076305875421E-3</v>
      </c>
      <c r="O109" s="47">
        <v>1.5315728075344927E-2</v>
      </c>
      <c r="P109" s="47">
        <v>4.0638442624003016E-3</v>
      </c>
      <c r="Q109" s="47">
        <v>5.3937762485462446E-3</v>
      </c>
      <c r="R109" s="48">
        <v>3.9073914340431865E-2</v>
      </c>
    </row>
    <row r="110" spans="1:18" x14ac:dyDescent="0.25">
      <c r="A110" s="28" t="s">
        <v>16</v>
      </c>
      <c r="B110" s="43">
        <v>3.7684157646572291E-4</v>
      </c>
      <c r="C110" s="43">
        <v>1.0620321413390679E-3</v>
      </c>
      <c r="D110" s="43">
        <v>4.8847454565053682E-4</v>
      </c>
      <c r="E110" s="43">
        <v>1.6688123535012133E-3</v>
      </c>
      <c r="F110" s="43">
        <v>1.9145960395666593E-4</v>
      </c>
      <c r="G110" s="43">
        <v>5.0977436657876425E-4</v>
      </c>
      <c r="H110" s="43">
        <v>4.2973945874919713E-3</v>
      </c>
      <c r="K110" s="25" t="s">
        <v>16</v>
      </c>
      <c r="L110" s="16">
        <v>6.5148685768302405E-4</v>
      </c>
      <c r="M110" s="16">
        <v>1.90373900907142E-3</v>
      </c>
      <c r="N110" s="16">
        <v>9.0713093933739077E-4</v>
      </c>
      <c r="O110" s="16">
        <v>3.0361610031121745E-3</v>
      </c>
      <c r="P110" s="16">
        <v>3.7122117481902409E-4</v>
      </c>
      <c r="Q110" s="16">
        <v>9.7276782478348254E-4</v>
      </c>
      <c r="R110" s="16">
        <v>7.8425068088065156E-3</v>
      </c>
    </row>
    <row r="111" spans="1:18" x14ac:dyDescent="0.25">
      <c r="A111" s="25" t="s">
        <v>18</v>
      </c>
      <c r="B111" s="16">
        <v>2.7575049623192215E-4</v>
      </c>
      <c r="C111" s="16">
        <v>3.32125091975349E-4</v>
      </c>
      <c r="D111" s="16">
        <v>5.2630102637840495E-4</v>
      </c>
      <c r="E111" s="16">
        <v>2.0309737431660857E-3</v>
      </c>
      <c r="F111" s="16">
        <v>7.4287531627858865E-4</v>
      </c>
      <c r="G111" s="16">
        <v>1.0934089165186471E-3</v>
      </c>
      <c r="H111" s="16">
        <v>5.0014345905489968E-3</v>
      </c>
      <c r="K111" s="25" t="s">
        <v>18</v>
      </c>
      <c r="L111" s="16">
        <v>5.2142803658006471E-4</v>
      </c>
      <c r="M111" s="16">
        <v>7.5483750120265236E-4</v>
      </c>
      <c r="N111" s="16">
        <v>9.9183706106112032E-4</v>
      </c>
      <c r="O111" s="16">
        <v>4.1974280657175508E-3</v>
      </c>
      <c r="P111" s="16">
        <v>1.181734749005811E-3</v>
      </c>
      <c r="Q111" s="16">
        <v>2.0925815700980634E-3</v>
      </c>
      <c r="R111" s="16">
        <v>9.739846983665262E-3</v>
      </c>
    </row>
    <row r="112" spans="1:18" x14ac:dyDescent="0.25">
      <c r="A112" s="25" t="s">
        <v>19</v>
      </c>
      <c r="B112" s="16">
        <v>1.9416330030795642E-4</v>
      </c>
      <c r="C112" s="16">
        <v>2.7658308309897839E-4</v>
      </c>
      <c r="D112" s="16">
        <v>1.9900215873106043E-4</v>
      </c>
      <c r="E112" s="16">
        <v>9.4915281867268941E-4</v>
      </c>
      <c r="F112" s="16">
        <v>3.896733951535183E-4</v>
      </c>
      <c r="G112" s="16">
        <v>5.2957073019015242E-4</v>
      </c>
      <c r="H112" s="16">
        <v>2.5381454861543554E-3</v>
      </c>
      <c r="K112" s="25" t="s">
        <v>19</v>
      </c>
      <c r="L112" s="16">
        <v>3.6950455879527263E-4</v>
      </c>
      <c r="M112" s="16">
        <v>5.2254383699550306E-4</v>
      </c>
      <c r="N112" s="16">
        <v>4.3251620559814461E-4</v>
      </c>
      <c r="O112" s="16">
        <v>1.932640311609233E-3</v>
      </c>
      <c r="P112" s="16">
        <v>7.3722738854520341E-4</v>
      </c>
      <c r="Q112" s="16">
        <v>1.0580274071907317E-3</v>
      </c>
      <c r="R112" s="16">
        <v>5.0524597087340884E-3</v>
      </c>
    </row>
    <row r="113" spans="1:18" x14ac:dyDescent="0.25">
      <c r="A113" s="25" t="s">
        <v>20</v>
      </c>
      <c r="B113" s="16">
        <v>4.4572203124337829E-4</v>
      </c>
      <c r="C113" s="16">
        <v>6.4704886347274459E-4</v>
      </c>
      <c r="D113" s="16">
        <v>1.0778588722701967E-3</v>
      </c>
      <c r="E113" s="16">
        <v>1.130670653195568E-3</v>
      </c>
      <c r="F113" s="16">
        <v>7.4734841764856244E-4</v>
      </c>
      <c r="G113" s="16">
        <v>2.5651508644295118E-4</v>
      </c>
      <c r="H113" s="16">
        <v>4.3051639242734007E-3</v>
      </c>
      <c r="K113" s="25" t="s">
        <v>20</v>
      </c>
      <c r="L113" s="16">
        <v>7.4873759495273614E-4</v>
      </c>
      <c r="M113" s="16">
        <v>1.4331820004503857E-3</v>
      </c>
      <c r="N113" s="16">
        <v>2.3233657960774314E-3</v>
      </c>
      <c r="O113" s="16">
        <v>2.4086135397534823E-3</v>
      </c>
      <c r="P113" s="16">
        <v>1.4703674551441988E-3</v>
      </c>
      <c r="Q113" s="16">
        <v>5.2712542596923919E-4</v>
      </c>
      <c r="R113" s="16">
        <v>8.9113918123474734E-3</v>
      </c>
    </row>
    <row r="114" spans="1:18" ht="15.75" thickBot="1" x14ac:dyDescent="0.3">
      <c r="A114" s="26" t="s">
        <v>17</v>
      </c>
      <c r="B114" s="41">
        <v>8.0213301252371873E-4</v>
      </c>
      <c r="C114" s="41">
        <v>5.2323978513579882E-4</v>
      </c>
      <c r="D114" s="41">
        <v>1.529685698265648E-4</v>
      </c>
      <c r="E114" s="41">
        <v>1.8659497197955892E-3</v>
      </c>
      <c r="F114" s="41">
        <v>1.5644168256941413E-4</v>
      </c>
      <c r="G114" s="41">
        <v>4.1908683195463701E-4</v>
      </c>
      <c r="H114" s="41">
        <v>3.919819601805723E-3</v>
      </c>
      <c r="K114" s="25" t="s">
        <v>17</v>
      </c>
      <c r="L114" s="16">
        <v>1.4738820784686896E-3</v>
      </c>
      <c r="M114" s="16">
        <v>9.5611664935309453E-4</v>
      </c>
      <c r="N114" s="16">
        <v>3.1025762851345529E-4</v>
      </c>
      <c r="O114" s="16">
        <v>3.7408851551524861E-3</v>
      </c>
      <c r="P114" s="16">
        <v>3.0329349488606415E-4</v>
      </c>
      <c r="Q114" s="16">
        <v>7.432740205047274E-4</v>
      </c>
      <c r="R114" s="16">
        <v>7.5277090268785173E-3</v>
      </c>
    </row>
    <row r="115" spans="1:18" ht="15.75" thickBot="1" x14ac:dyDescent="0.3">
      <c r="A115" s="40" t="s">
        <v>7</v>
      </c>
      <c r="B115" s="47">
        <v>3.8696388711848204E-2</v>
      </c>
      <c r="C115" s="47">
        <v>3.2937186997126847E-2</v>
      </c>
      <c r="D115" s="47">
        <v>5.6221205194823952E-2</v>
      </c>
      <c r="E115" s="47">
        <v>9.685136850259983E-2</v>
      </c>
      <c r="F115" s="47">
        <v>5.3972664753587613E-2</v>
      </c>
      <c r="G115" s="47">
        <v>7.8680090641573469E-2</v>
      </c>
      <c r="H115" s="48">
        <v>0.35735890480155991</v>
      </c>
      <c r="K115" s="30" t="s">
        <v>7</v>
      </c>
      <c r="L115" s="49">
        <v>2.4108451405843591E-2</v>
      </c>
      <c r="M115" s="47">
        <v>2.0600102608887817E-2</v>
      </c>
      <c r="N115" s="47">
        <v>4.3999443612782137E-2</v>
      </c>
      <c r="O115" s="47">
        <v>7.2885710961973604E-2</v>
      </c>
      <c r="P115" s="47">
        <v>2.5518533082043323E-2</v>
      </c>
      <c r="Q115" s="47">
        <v>5.8137049231978127E-2</v>
      </c>
      <c r="R115" s="48">
        <v>0.24524929090350858</v>
      </c>
    </row>
    <row r="116" spans="1:18" x14ac:dyDescent="0.25">
      <c r="A116" s="28" t="s">
        <v>16</v>
      </c>
      <c r="B116" s="43">
        <v>6.6742386863968941E-3</v>
      </c>
      <c r="C116" s="43">
        <v>5.7664536853084597E-3</v>
      </c>
      <c r="D116" s="43">
        <v>1.1726044782402797E-2</v>
      </c>
      <c r="E116" s="43">
        <v>1.9594243357986634E-2</v>
      </c>
      <c r="F116" s="43">
        <v>9.3073483483665544E-3</v>
      </c>
      <c r="G116" s="43">
        <v>2.4231689037014621E-2</v>
      </c>
      <c r="H116" s="43">
        <v>7.7300017897475953E-2</v>
      </c>
      <c r="K116" s="25" t="s">
        <v>16</v>
      </c>
      <c r="L116" s="16">
        <v>5.4107737068641824E-3</v>
      </c>
      <c r="M116" s="16">
        <v>2.1978604469616125E-3</v>
      </c>
      <c r="N116" s="16">
        <v>7.1515111454320147E-3</v>
      </c>
      <c r="O116" s="16">
        <v>1.4064590244530569E-2</v>
      </c>
      <c r="P116" s="16">
        <v>5.2920608297733788E-3</v>
      </c>
      <c r="Q116" s="16">
        <v>1.9204789749857946E-2</v>
      </c>
      <c r="R116" s="16">
        <v>5.3321586123419702E-2</v>
      </c>
    </row>
    <row r="117" spans="1:18" x14ac:dyDescent="0.25">
      <c r="A117" s="25" t="s">
        <v>18</v>
      </c>
      <c r="B117" s="16">
        <v>7.2556344746851475E-3</v>
      </c>
      <c r="C117" s="16">
        <v>6.1779966990791919E-3</v>
      </c>
      <c r="D117" s="16">
        <v>1.6076405918485109E-2</v>
      </c>
      <c r="E117" s="16">
        <v>1.2337408644267037E-2</v>
      </c>
      <c r="F117" s="16">
        <v>9.6358474550483492E-3</v>
      </c>
      <c r="G117" s="16">
        <v>1.058891305297335E-2</v>
      </c>
      <c r="H117" s="16">
        <v>6.2072206244538186E-2</v>
      </c>
      <c r="K117" s="25" t="s">
        <v>18</v>
      </c>
      <c r="L117" s="16">
        <v>1.7423652641075967E-3</v>
      </c>
      <c r="M117" s="16">
        <v>4.5129835264422378E-3</v>
      </c>
      <c r="N117" s="16">
        <v>9.0384569142986666E-3</v>
      </c>
      <c r="O117" s="16">
        <v>1.0870944519653208E-2</v>
      </c>
      <c r="P117" s="16">
        <v>6.7645918130440647E-3</v>
      </c>
      <c r="Q117" s="16">
        <v>1.0325326995552248E-2</v>
      </c>
      <c r="R117" s="16">
        <v>4.325466903309802E-2</v>
      </c>
    </row>
    <row r="118" spans="1:18" x14ac:dyDescent="0.25">
      <c r="A118" s="25" t="s">
        <v>19</v>
      </c>
      <c r="B118" s="16">
        <v>3.6419547897589013E-3</v>
      </c>
      <c r="C118" s="16">
        <v>1.3442677185855574E-2</v>
      </c>
      <c r="D118" s="16">
        <v>1.0179896858222516E-2</v>
      </c>
      <c r="E118" s="16">
        <v>1.6833895724270031E-2</v>
      </c>
      <c r="F118" s="16">
        <v>8.5114887957644866E-3</v>
      </c>
      <c r="G118" s="16">
        <v>9.1105723171920235E-3</v>
      </c>
      <c r="H118" s="16">
        <v>6.172048567106353E-2</v>
      </c>
      <c r="K118" s="25" t="s">
        <v>19</v>
      </c>
      <c r="L118" s="16">
        <v>3.2642933533031265E-3</v>
      </c>
      <c r="M118" s="16">
        <v>9.6041706846087156E-3</v>
      </c>
      <c r="N118" s="16">
        <v>9.182238304701839E-3</v>
      </c>
      <c r="O118" s="16">
        <v>1.2933932221438359E-2</v>
      </c>
      <c r="P118" s="16">
        <v>3.7906433423788781E-3</v>
      </c>
      <c r="Q118" s="16">
        <v>6.9206262902374608E-3</v>
      </c>
      <c r="R118" s="16">
        <v>4.5695904196668378E-2</v>
      </c>
    </row>
    <row r="119" spans="1:18" x14ac:dyDescent="0.25">
      <c r="A119" s="25" t="s">
        <v>20</v>
      </c>
      <c r="B119" s="16">
        <v>1.1093948370480297E-2</v>
      </c>
      <c r="C119" s="16">
        <v>2.9763906599178567E-3</v>
      </c>
      <c r="D119" s="16">
        <v>6.2339152039895271E-3</v>
      </c>
      <c r="E119" s="16">
        <v>2.3590129687862602E-2</v>
      </c>
      <c r="F119" s="16">
        <v>7.2028239571692862E-3</v>
      </c>
      <c r="G119" s="16">
        <v>8.6734831631301249E-3</v>
      </c>
      <c r="H119" s="16">
        <v>5.9770691042549694E-2</v>
      </c>
      <c r="K119" s="25" t="s">
        <v>20</v>
      </c>
      <c r="L119" s="16">
        <v>7.7924896493351608E-3</v>
      </c>
      <c r="M119" s="16">
        <v>1.753671252401959E-3</v>
      </c>
      <c r="N119" s="16">
        <v>5.2759305585157162E-3</v>
      </c>
      <c r="O119" s="16">
        <v>1.5421131258886058E-2</v>
      </c>
      <c r="P119" s="16">
        <v>2.6734814728527128E-3</v>
      </c>
      <c r="Q119" s="16">
        <v>6.6013357098197141E-3</v>
      </c>
      <c r="R119" s="16">
        <v>3.9518039901811318E-2</v>
      </c>
    </row>
    <row r="120" spans="1:18" x14ac:dyDescent="0.25">
      <c r="A120" s="25" t="s">
        <v>17</v>
      </c>
      <c r="B120" s="16">
        <v>1.0030612390526961E-2</v>
      </c>
      <c r="C120" s="16">
        <v>4.5736687669657673E-3</v>
      </c>
      <c r="D120" s="16">
        <v>1.2004942431724001E-2</v>
      </c>
      <c r="E120" s="16">
        <v>2.4495691088213527E-2</v>
      </c>
      <c r="F120" s="16">
        <v>1.931515619723894E-2</v>
      </c>
      <c r="G120" s="16">
        <v>2.6075433071263348E-2</v>
      </c>
      <c r="H120" s="16">
        <v>9.6495503945932551E-2</v>
      </c>
      <c r="K120" s="25" t="s">
        <v>17</v>
      </c>
      <c r="L120" s="16">
        <v>5.8985294322335246E-3</v>
      </c>
      <c r="M120" s="16">
        <v>2.531416698473293E-3</v>
      </c>
      <c r="N120" s="16">
        <v>1.3351306689833897E-2</v>
      </c>
      <c r="O120" s="16">
        <v>1.9595112717465404E-2</v>
      </c>
      <c r="P120" s="16">
        <v>6.9977556239942881E-3</v>
      </c>
      <c r="Q120" s="16">
        <v>1.5084970486510755E-2</v>
      </c>
      <c r="R120" s="16">
        <v>6.3459091648511157E-2</v>
      </c>
    </row>
    <row r="121" spans="1:18" x14ac:dyDescent="0.25">
      <c r="A121" s="13" t="s">
        <v>50</v>
      </c>
      <c r="B121" s="16">
        <v>0.14947916802913097</v>
      </c>
      <c r="C121" s="16">
        <v>0.1163626090985339</v>
      </c>
      <c r="D121" s="16">
        <v>0.1296325697395358</v>
      </c>
      <c r="E121" s="16">
        <v>0.2780439546714657</v>
      </c>
      <c r="F121" s="16">
        <v>0.15371532456808462</v>
      </c>
      <c r="G121" s="16">
        <v>0.17276637389324898</v>
      </c>
      <c r="H121" s="16">
        <v>1</v>
      </c>
      <c r="K121" s="13" t="s">
        <v>50</v>
      </c>
      <c r="L121" s="16">
        <v>0.1665771076517126</v>
      </c>
      <c r="M121" s="16">
        <v>0.10813525992614484</v>
      </c>
      <c r="N121" s="16">
        <v>0.12518007287290739</v>
      </c>
      <c r="O121" s="16">
        <v>0.28397789165250742</v>
      </c>
      <c r="P121" s="16">
        <v>0.1365001246920283</v>
      </c>
      <c r="Q121" s="16">
        <v>0.17962954320469951</v>
      </c>
      <c r="R121" s="16">
        <v>1</v>
      </c>
    </row>
  </sheetData>
  <mergeCells count="6">
    <mergeCell ref="K88:R88"/>
    <mergeCell ref="A19:C19"/>
    <mergeCell ref="A36:C36"/>
    <mergeCell ref="A53:B53"/>
    <mergeCell ref="A71:B71"/>
    <mergeCell ref="A88:E88"/>
  </mergeCells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86C6-FEA4-4240-AF2C-00B15F6300FE}">
  <dimension ref="A2:Z132"/>
  <sheetViews>
    <sheetView topLeftCell="A13" zoomScaleNormal="100" workbookViewId="0">
      <selection activeCell="G23" sqref="G23"/>
    </sheetView>
  </sheetViews>
  <sheetFormatPr defaultRowHeight="15" x14ac:dyDescent="0.25"/>
  <cols>
    <col min="1" max="1" width="28.5703125" bestFit="1" customWidth="1"/>
    <col min="2" max="2" width="18.28515625" bestFit="1" customWidth="1"/>
    <col min="3" max="3" width="10.140625" bestFit="1" customWidth="1"/>
    <col min="4" max="4" width="12.28515625" bestFit="1" customWidth="1"/>
    <col min="5" max="5" width="14.5703125" bestFit="1" customWidth="1"/>
    <col min="6" max="6" width="14.140625" bestFit="1" customWidth="1"/>
    <col min="7" max="7" width="11.28515625" bestFit="1" customWidth="1"/>
    <col min="8" max="8" width="16.28515625" bestFit="1" customWidth="1"/>
    <col min="9" max="9" width="10.140625" bestFit="1" customWidth="1"/>
    <col min="10" max="10" width="12.28515625" bestFit="1" customWidth="1"/>
    <col min="11" max="11" width="10.85546875" bestFit="1" customWidth="1"/>
    <col min="12" max="12" width="14.140625" bestFit="1" customWidth="1"/>
    <col min="13" max="13" width="9.42578125" bestFit="1" customWidth="1"/>
    <col min="14" max="14" width="16.28515625" bestFit="1" customWidth="1"/>
    <col min="15" max="15" width="10.140625" bestFit="1" customWidth="1"/>
    <col min="16" max="16" width="12.28515625" bestFit="1" customWidth="1"/>
    <col min="17" max="17" width="10.85546875" bestFit="1" customWidth="1"/>
    <col min="18" max="18" width="14.140625" bestFit="1" customWidth="1"/>
    <col min="19" max="19" width="13.5703125" bestFit="1" customWidth="1"/>
    <col min="20" max="20" width="16.28515625" bestFit="1" customWidth="1"/>
    <col min="21" max="21" width="10.140625" bestFit="1" customWidth="1"/>
    <col min="22" max="22" width="12.28515625" bestFit="1" customWidth="1"/>
    <col min="23" max="23" width="10.85546875" bestFit="1" customWidth="1"/>
    <col min="24" max="24" width="14.140625" bestFit="1" customWidth="1"/>
    <col min="25" max="25" width="10.7109375" bestFit="1" customWidth="1"/>
    <col min="26" max="26" width="11.28515625" bestFit="1" customWidth="1"/>
  </cols>
  <sheetData>
    <row r="2" spans="1:2" ht="17.25" x14ac:dyDescent="0.3">
      <c r="A2" s="105" t="s">
        <v>78</v>
      </c>
      <c r="B2" s="105"/>
    </row>
    <row r="3" spans="1:2" x14ac:dyDescent="0.25">
      <c r="A3" s="58" t="s">
        <v>44</v>
      </c>
      <c r="B3" s="59" t="s">
        <v>74</v>
      </c>
    </row>
    <row r="4" spans="1:2" x14ac:dyDescent="0.25">
      <c r="A4" s="52" t="s">
        <v>45</v>
      </c>
      <c r="B4" s="60">
        <v>0</v>
      </c>
    </row>
    <row r="5" spans="1:2" x14ac:dyDescent="0.25">
      <c r="A5" s="52" t="s">
        <v>46</v>
      </c>
      <c r="B5" s="53" t="s">
        <v>75</v>
      </c>
    </row>
    <row r="6" spans="1:2" x14ac:dyDescent="0.25">
      <c r="A6" s="52" t="s">
        <v>47</v>
      </c>
      <c r="B6" s="54" t="s">
        <v>76</v>
      </c>
    </row>
    <row r="7" spans="1:2" x14ac:dyDescent="0.25">
      <c r="A7" s="55" t="s">
        <v>48</v>
      </c>
      <c r="B7" s="56" t="s">
        <v>77</v>
      </c>
    </row>
    <row r="8" spans="1:2" x14ac:dyDescent="0.25">
      <c r="A8" s="57"/>
      <c r="B8" s="57"/>
    </row>
    <row r="11" spans="1:2" ht="17.25" x14ac:dyDescent="0.25">
      <c r="A11" s="103" t="s">
        <v>79</v>
      </c>
      <c r="B11" s="103"/>
    </row>
    <row r="12" spans="1:2" x14ac:dyDescent="0.25">
      <c r="A12" s="10" t="s">
        <v>44</v>
      </c>
      <c r="B12" s="11" t="s">
        <v>52</v>
      </c>
    </row>
    <row r="13" spans="1:2" x14ac:dyDescent="0.25">
      <c r="A13" s="13" t="s">
        <v>48</v>
      </c>
      <c r="B13" s="12">
        <v>37372486.725000016</v>
      </c>
    </row>
    <row r="14" spans="1:2" x14ac:dyDescent="0.25">
      <c r="A14" s="13" t="s">
        <v>46</v>
      </c>
      <c r="B14" s="12">
        <v>34629778.699999996</v>
      </c>
    </row>
    <row r="15" spans="1:2" x14ac:dyDescent="0.25">
      <c r="A15" s="13" t="s">
        <v>47</v>
      </c>
      <c r="B15" s="12">
        <v>38780430.835000038</v>
      </c>
    </row>
    <row r="16" spans="1:2" x14ac:dyDescent="0.25">
      <c r="A16" s="13" t="s">
        <v>45</v>
      </c>
      <c r="B16" s="12">
        <v>7943654</v>
      </c>
    </row>
    <row r="17" spans="1:6" x14ac:dyDescent="0.25">
      <c r="A17" s="13" t="s">
        <v>50</v>
      </c>
      <c r="B17" s="12">
        <v>118726350.26000005</v>
      </c>
    </row>
    <row r="24" spans="1:6" ht="17.25" x14ac:dyDescent="0.25">
      <c r="A24" s="102" t="s">
        <v>83</v>
      </c>
      <c r="B24" s="102"/>
      <c r="C24" s="102"/>
      <c r="D24" s="102"/>
    </row>
    <row r="25" spans="1:6" x14ac:dyDescent="0.25">
      <c r="A25" s="10" t="s">
        <v>51</v>
      </c>
      <c r="B25" s="10" t="s">
        <v>44</v>
      </c>
      <c r="C25" s="22"/>
      <c r="D25" s="22"/>
      <c r="E25" s="22"/>
      <c r="F25" s="22"/>
    </row>
    <row r="26" spans="1:6" x14ac:dyDescent="0.25">
      <c r="A26" s="10" t="s">
        <v>37</v>
      </c>
      <c r="B26" s="14" t="s">
        <v>48</v>
      </c>
      <c r="C26" s="14" t="s">
        <v>46</v>
      </c>
      <c r="D26" s="14" t="s">
        <v>47</v>
      </c>
      <c r="E26" s="14" t="s">
        <v>45</v>
      </c>
      <c r="F26" s="14" t="s">
        <v>50</v>
      </c>
    </row>
    <row r="27" spans="1:6" x14ac:dyDescent="0.25">
      <c r="A27" s="13" t="s">
        <v>43</v>
      </c>
      <c r="B27" s="14">
        <v>71308.5</v>
      </c>
      <c r="C27" s="14">
        <v>20300</v>
      </c>
      <c r="D27" s="14">
        <v>47300</v>
      </c>
      <c r="E27" s="14">
        <v>16406.5</v>
      </c>
      <c r="F27" s="14">
        <v>155315</v>
      </c>
    </row>
    <row r="28" spans="1:6" x14ac:dyDescent="0.25">
      <c r="A28" s="13" t="s">
        <v>38</v>
      </c>
      <c r="B28" s="14">
        <v>58737</v>
      </c>
      <c r="C28" s="14">
        <v>38448</v>
      </c>
      <c r="D28" s="14">
        <v>39672.5</v>
      </c>
      <c r="E28" s="14">
        <v>9988.5</v>
      </c>
      <c r="F28" s="14">
        <v>146846</v>
      </c>
    </row>
    <row r="29" spans="1:6" x14ac:dyDescent="0.25">
      <c r="A29" s="13" t="s">
        <v>39</v>
      </c>
      <c r="B29" s="14">
        <v>47231</v>
      </c>
      <c r="C29" s="14">
        <v>36999.5</v>
      </c>
      <c r="D29" s="14">
        <v>53885</v>
      </c>
      <c r="E29" s="14">
        <v>16082.5</v>
      </c>
      <c r="F29" s="14">
        <v>154198</v>
      </c>
    </row>
    <row r="30" spans="1:6" x14ac:dyDescent="0.25">
      <c r="A30" s="13" t="s">
        <v>40</v>
      </c>
      <c r="B30" s="14">
        <v>109375.5</v>
      </c>
      <c r="C30" s="14">
        <v>95107</v>
      </c>
      <c r="D30" s="14">
        <v>114646</v>
      </c>
      <c r="E30" s="14">
        <v>19111</v>
      </c>
      <c r="F30" s="14">
        <v>338239.5</v>
      </c>
    </row>
    <row r="31" spans="1:6" x14ac:dyDescent="0.25">
      <c r="A31" s="13" t="s">
        <v>41</v>
      </c>
      <c r="B31" s="14">
        <v>52411.5</v>
      </c>
      <c r="C31" s="14">
        <v>34472.5</v>
      </c>
      <c r="D31" s="14">
        <v>64365.5</v>
      </c>
      <c r="E31" s="14">
        <v>11175</v>
      </c>
      <c r="F31" s="14">
        <v>162424.5</v>
      </c>
    </row>
    <row r="32" spans="1:6" x14ac:dyDescent="0.25">
      <c r="A32" s="13" t="s">
        <v>42</v>
      </c>
      <c r="B32" s="14">
        <v>59022</v>
      </c>
      <c r="C32" s="14">
        <v>36531.5</v>
      </c>
      <c r="D32" s="14">
        <v>59829.5</v>
      </c>
      <c r="E32" s="14">
        <v>13400</v>
      </c>
      <c r="F32" s="14">
        <v>168783</v>
      </c>
    </row>
    <row r="33" spans="1:26" x14ac:dyDescent="0.25">
      <c r="A33" s="13" t="s">
        <v>50</v>
      </c>
      <c r="B33" s="14">
        <v>398085.5</v>
      </c>
      <c r="C33" s="14">
        <v>261858.5</v>
      </c>
      <c r="D33" s="14">
        <v>379698.5</v>
      </c>
      <c r="E33" s="14">
        <v>86163.5</v>
      </c>
      <c r="F33" s="14">
        <v>1125806</v>
      </c>
    </row>
    <row r="41" spans="1:26" ht="17.25" x14ac:dyDescent="0.25">
      <c r="A41" s="103" t="s">
        <v>81</v>
      </c>
      <c r="B41" s="103"/>
    </row>
    <row r="42" spans="1:26" x14ac:dyDescent="0.25">
      <c r="A42" s="10" t="s">
        <v>37</v>
      </c>
      <c r="B42" s="11" t="s">
        <v>80</v>
      </c>
      <c r="C42" s="21"/>
      <c r="D42" s="51" t="s">
        <v>37</v>
      </c>
      <c r="E42" s="51" t="s">
        <v>82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13" t="s">
        <v>43</v>
      </c>
      <c r="B43" s="12">
        <v>1290163.4400000002</v>
      </c>
      <c r="D43" s="13" t="s">
        <v>43</v>
      </c>
      <c r="E43" s="12">
        <v>1290163.4400000002</v>
      </c>
    </row>
    <row r="44" spans="1:26" x14ac:dyDescent="0.25">
      <c r="A44" s="13" t="s">
        <v>38</v>
      </c>
      <c r="B44" s="12">
        <v>1122212.615</v>
      </c>
      <c r="D44" s="13" t="s">
        <v>38</v>
      </c>
      <c r="E44" s="12">
        <v>1122212.615</v>
      </c>
    </row>
    <row r="45" spans="1:26" x14ac:dyDescent="0.25">
      <c r="A45" s="13" t="s">
        <v>39</v>
      </c>
      <c r="B45" s="12">
        <v>1159032.6200000001</v>
      </c>
      <c r="D45" s="13" t="s">
        <v>39</v>
      </c>
      <c r="E45" s="12">
        <v>1159032.6200000001</v>
      </c>
    </row>
    <row r="46" spans="1:26" x14ac:dyDescent="0.25">
      <c r="A46" s="13" t="s">
        <v>40</v>
      </c>
      <c r="B46" s="12">
        <v>2600518.0500000003</v>
      </c>
      <c r="D46" s="13" t="s">
        <v>40</v>
      </c>
      <c r="E46" s="12">
        <v>2600518.0500000003</v>
      </c>
    </row>
    <row r="47" spans="1:26" x14ac:dyDescent="0.25">
      <c r="A47" s="13" t="s">
        <v>41</v>
      </c>
      <c r="B47" s="12">
        <v>1576709.0350000004</v>
      </c>
      <c r="D47" s="13" t="s">
        <v>41</v>
      </c>
      <c r="E47" s="12">
        <v>1576709.0350000004</v>
      </c>
    </row>
    <row r="48" spans="1:26" x14ac:dyDescent="0.25">
      <c r="A48" s="13" t="s">
        <v>42</v>
      </c>
      <c r="B48" s="12">
        <v>1456612.4799999995</v>
      </c>
      <c r="D48" s="13" t="s">
        <v>42</v>
      </c>
      <c r="E48" s="12">
        <v>1456612.4799999995</v>
      </c>
    </row>
    <row r="49" spans="1:7" x14ac:dyDescent="0.25">
      <c r="A49" s="13" t="s">
        <v>50</v>
      </c>
      <c r="B49" s="12">
        <v>9205248.2400000002</v>
      </c>
    </row>
    <row r="59" spans="1:7" ht="17.25" x14ac:dyDescent="0.25">
      <c r="A59" s="102" t="s">
        <v>84</v>
      </c>
      <c r="B59" s="102"/>
      <c r="C59" s="102"/>
      <c r="D59" s="102"/>
      <c r="E59" s="102"/>
      <c r="F59" s="102"/>
      <c r="G59" s="102"/>
    </row>
    <row r="60" spans="1:7" x14ac:dyDescent="0.25">
      <c r="A60" s="10" t="s">
        <v>80</v>
      </c>
      <c r="B60" s="10" t="s">
        <v>6</v>
      </c>
      <c r="C60" s="22"/>
      <c r="D60" s="22"/>
      <c r="E60" s="22"/>
      <c r="F60" s="22"/>
      <c r="G60" s="22"/>
    </row>
    <row r="61" spans="1:7" x14ac:dyDescent="0.25">
      <c r="A61" s="10" t="s">
        <v>36</v>
      </c>
      <c r="B61" s="11" t="s">
        <v>11</v>
      </c>
      <c r="C61" s="11" t="s">
        <v>9</v>
      </c>
      <c r="D61" s="11" t="s">
        <v>10</v>
      </c>
      <c r="E61" s="11" t="s">
        <v>8</v>
      </c>
      <c r="F61" s="11" t="s">
        <v>7</v>
      </c>
      <c r="G61" s="14" t="s">
        <v>50</v>
      </c>
    </row>
    <row r="62" spans="1:7" x14ac:dyDescent="0.25">
      <c r="A62" s="13" t="s">
        <v>16</v>
      </c>
      <c r="B62" s="15">
        <v>4.0824385198763519E-3</v>
      </c>
      <c r="C62" s="15">
        <v>3.1708406160266676E-2</v>
      </c>
      <c r="D62" s="15">
        <v>9.8217935728368788E-2</v>
      </c>
      <c r="E62" s="15">
        <v>6.1240635266127282E-3</v>
      </c>
      <c r="F62" s="15">
        <v>8.1969652564198525E-2</v>
      </c>
      <c r="G62" s="15">
        <v>0.22210249649932307</v>
      </c>
    </row>
    <row r="63" spans="1:7" x14ac:dyDescent="0.25">
      <c r="A63" s="13" t="s">
        <v>18</v>
      </c>
      <c r="B63" s="15">
        <v>3.2531051004008557E-3</v>
      </c>
      <c r="C63" s="15">
        <v>2.8446747786999387E-2</v>
      </c>
      <c r="D63" s="15">
        <v>8.5664803320936858E-2</v>
      </c>
      <c r="E63" s="15">
        <v>5.4412356618858551E-3</v>
      </c>
      <c r="F63" s="15">
        <v>6.4859033068292354E-2</v>
      </c>
      <c r="G63" s="15">
        <v>0.1876649249385153</v>
      </c>
    </row>
    <row r="64" spans="1:7" x14ac:dyDescent="0.25">
      <c r="A64" s="13" t="s">
        <v>19</v>
      </c>
      <c r="B64" s="15">
        <v>2.1555225326546981E-3</v>
      </c>
      <c r="C64" s="15">
        <v>2.998140221800254E-2</v>
      </c>
      <c r="D64" s="15">
        <v>6.0667137424204882E-2</v>
      </c>
      <c r="E64" s="15">
        <v>2.4594936942189402E-3</v>
      </c>
      <c r="F64" s="15">
        <v>5.8575498013946008E-2</v>
      </c>
      <c r="G64" s="15">
        <v>0.15383905388302707</v>
      </c>
    </row>
    <row r="65" spans="1:7" x14ac:dyDescent="0.25">
      <c r="A65" s="13" t="s">
        <v>20</v>
      </c>
      <c r="B65" s="15">
        <v>2.1267128804774087E-3</v>
      </c>
      <c r="C65" s="15">
        <v>2.8665033589577591E-2</v>
      </c>
      <c r="D65" s="15">
        <v>9.1930668020746356E-2</v>
      </c>
      <c r="E65" s="15">
        <v>3.2316999199143806E-3</v>
      </c>
      <c r="F65" s="15">
        <v>6.7151258052330368E-2</v>
      </c>
      <c r="G65" s="15">
        <v>0.19310537246304613</v>
      </c>
    </row>
    <row r="66" spans="1:7" x14ac:dyDescent="0.25">
      <c r="A66" s="13" t="s">
        <v>17</v>
      </c>
      <c r="B66" s="15">
        <v>3.0008772473907775E-3</v>
      </c>
      <c r="C66" s="15">
        <v>3.9510884499514592E-2</v>
      </c>
      <c r="D66" s="15">
        <v>8.7061083971375894E-2</v>
      </c>
      <c r="E66" s="15">
        <v>4.5557299386854988E-3</v>
      </c>
      <c r="F66" s="15">
        <v>0.10915957655912166</v>
      </c>
      <c r="G66" s="15">
        <v>0.2432881522160884</v>
      </c>
    </row>
    <row r="67" spans="1:7" x14ac:dyDescent="0.25">
      <c r="A67" s="13" t="s">
        <v>50</v>
      </c>
      <c r="B67" s="15">
        <v>1.461865628080009E-2</v>
      </c>
      <c r="C67" s="15">
        <v>0.15831247425436079</v>
      </c>
      <c r="D67" s="15">
        <v>0.42354162846563276</v>
      </c>
      <c r="E67" s="15">
        <v>2.1812222741317406E-2</v>
      </c>
      <c r="F67" s="15">
        <v>0.38171501825788895</v>
      </c>
      <c r="G67" s="15">
        <v>1</v>
      </c>
    </row>
    <row r="79" spans="1:7" ht="17.25" x14ac:dyDescent="0.25">
      <c r="A79" s="102" t="s">
        <v>85</v>
      </c>
      <c r="B79" s="102"/>
      <c r="C79" s="102"/>
      <c r="D79" s="102"/>
      <c r="E79" s="102"/>
      <c r="F79" s="102"/>
    </row>
    <row r="80" spans="1:7" x14ac:dyDescent="0.25">
      <c r="A80" s="62" t="s">
        <v>52</v>
      </c>
      <c r="B80" s="62" t="s">
        <v>44</v>
      </c>
      <c r="C80" s="63"/>
      <c r="D80" s="63"/>
      <c r="E80" s="63"/>
      <c r="F80" s="63"/>
    </row>
    <row r="81" spans="1:6" x14ac:dyDescent="0.25">
      <c r="A81" s="62" t="s">
        <v>59</v>
      </c>
      <c r="B81" s="12" t="s">
        <v>48</v>
      </c>
      <c r="C81" s="12" t="s">
        <v>46</v>
      </c>
      <c r="D81" s="12" t="s">
        <v>47</v>
      </c>
      <c r="E81" s="12" t="s">
        <v>45</v>
      </c>
      <c r="F81" s="12" t="s">
        <v>50</v>
      </c>
    </row>
    <row r="82" spans="1:6" x14ac:dyDescent="0.25">
      <c r="A82" s="64" t="s">
        <v>21</v>
      </c>
      <c r="B82" s="16">
        <v>2.8796385153868034E-2</v>
      </c>
      <c r="C82" s="16">
        <v>6.6809147949293667E-3</v>
      </c>
      <c r="D82" s="16">
        <v>1.9594894771929969E-2</v>
      </c>
      <c r="E82" s="16">
        <v>5.8319825252244734E-4</v>
      </c>
      <c r="F82" s="16">
        <v>5.5655392973249812E-2</v>
      </c>
    </row>
    <row r="83" spans="1:6" x14ac:dyDescent="0.25">
      <c r="A83" s="64" t="s">
        <v>22</v>
      </c>
      <c r="B83" s="16">
        <v>9.2456201811656705E-3</v>
      </c>
      <c r="C83" s="16">
        <v>1.3315716827291614E-2</v>
      </c>
      <c r="D83" s="16">
        <v>2.366918703258385E-2</v>
      </c>
      <c r="E83" s="16">
        <v>1.5234613007466336E-2</v>
      </c>
      <c r="F83" s="16">
        <v>6.1465137048507479E-2</v>
      </c>
    </row>
    <row r="84" spans="1:6" x14ac:dyDescent="0.25">
      <c r="A84" s="64" t="s">
        <v>23</v>
      </c>
      <c r="B84" s="16">
        <v>2.4495664893523027E-2</v>
      </c>
      <c r="C84" s="16">
        <v>1.0264728658222633E-2</v>
      </c>
      <c r="D84" s="16">
        <v>1.1961440799704745E-2</v>
      </c>
      <c r="E84" s="16">
        <v>3.3477825194624158E-4</v>
      </c>
      <c r="F84" s="16">
        <v>4.7056612603396643E-2</v>
      </c>
    </row>
    <row r="85" spans="1:6" x14ac:dyDescent="0.25">
      <c r="A85" s="64" t="s">
        <v>24</v>
      </c>
      <c r="B85" s="16">
        <v>1.1556121341180021E-2</v>
      </c>
      <c r="C85" s="16">
        <v>2.0271410135403251E-2</v>
      </c>
      <c r="D85" s="16">
        <v>2.1908185624369584E-2</v>
      </c>
      <c r="E85" s="16">
        <v>4.92670328633077E-3</v>
      </c>
      <c r="F85" s="16">
        <v>5.8662420387283629E-2</v>
      </c>
    </row>
    <row r="86" spans="1:6" x14ac:dyDescent="0.25">
      <c r="A86" s="64" t="s">
        <v>25</v>
      </c>
      <c r="B86" s="16">
        <v>2.090708376501222E-2</v>
      </c>
      <c r="C86" s="16">
        <v>1.6279977239822552E-2</v>
      </c>
      <c r="D86" s="16">
        <v>1.5119870408454689E-2</v>
      </c>
      <c r="E86" s="16">
        <v>0</v>
      </c>
      <c r="F86" s="16">
        <v>5.2306931413289459E-2</v>
      </c>
    </row>
    <row r="87" spans="1:6" x14ac:dyDescent="0.25">
      <c r="A87" s="64" t="s">
        <v>26</v>
      </c>
      <c r="B87" s="16">
        <v>2.1790200021600498E-2</v>
      </c>
      <c r="C87" s="16">
        <v>1.1705431161293075E-2</v>
      </c>
      <c r="D87" s="16">
        <v>3.788820064079345E-2</v>
      </c>
      <c r="E87" s="16">
        <v>8.7912413521874233E-3</v>
      </c>
      <c r="F87" s="16">
        <v>8.0175073175874453E-2</v>
      </c>
    </row>
    <row r="88" spans="1:6" x14ac:dyDescent="0.25">
      <c r="A88" s="64" t="s">
        <v>27</v>
      </c>
      <c r="B88" s="16">
        <v>2.6422484714893991E-2</v>
      </c>
      <c r="C88" s="16">
        <v>1.5195094400268144E-2</v>
      </c>
      <c r="D88" s="16">
        <v>2.3688283172531174E-2</v>
      </c>
      <c r="E88" s="16">
        <v>2.9428471374287153E-3</v>
      </c>
      <c r="F88" s="16">
        <v>6.8248709425122026E-2</v>
      </c>
    </row>
    <row r="89" spans="1:6" x14ac:dyDescent="0.25">
      <c r="A89" s="64" t="s">
        <v>28</v>
      </c>
      <c r="B89" s="16">
        <v>1.7940422958639679E-2</v>
      </c>
      <c r="C89" s="16">
        <v>1.4866861030719939E-2</v>
      </c>
      <c r="D89" s="16">
        <v>1.0929632109117276E-2</v>
      </c>
      <c r="E89" s="16">
        <v>5.659215486104003E-3</v>
      </c>
      <c r="F89" s="16">
        <v>4.93961315845809E-2</v>
      </c>
    </row>
    <row r="90" spans="1:6" x14ac:dyDescent="0.25">
      <c r="A90" s="64" t="s">
        <v>29</v>
      </c>
      <c r="B90" s="16">
        <v>1.2348645998039627E-2</v>
      </c>
      <c r="C90" s="16">
        <v>2.2688983398385144E-2</v>
      </c>
      <c r="D90" s="16">
        <v>4.4188340654884382E-2</v>
      </c>
      <c r="E90" s="16">
        <v>1.243605144743881E-2</v>
      </c>
      <c r="F90" s="16">
        <v>9.1662021498747956E-2</v>
      </c>
    </row>
    <row r="91" spans="1:6" x14ac:dyDescent="0.25">
      <c r="A91" s="64" t="s">
        <v>30</v>
      </c>
      <c r="B91" s="16">
        <v>4.8059372729849476E-2</v>
      </c>
      <c r="C91" s="16">
        <v>8.1903599990272288E-2</v>
      </c>
      <c r="D91" s="16">
        <v>5.170839991759045E-2</v>
      </c>
      <c r="E91" s="16">
        <v>8.6124099474192001E-4</v>
      </c>
      <c r="F91" s="16">
        <v>0.18253261363245415</v>
      </c>
    </row>
    <row r="92" spans="1:6" x14ac:dyDescent="0.25">
      <c r="A92" s="64" t="s">
        <v>31</v>
      </c>
      <c r="B92" s="16">
        <v>6.7438486422483249E-2</v>
      </c>
      <c r="C92" s="16">
        <v>1.1725599051527692E-2</v>
      </c>
      <c r="D92" s="16">
        <v>2.2217987449486349E-2</v>
      </c>
      <c r="E92" s="16">
        <v>5.1774016353899168E-3</v>
      </c>
      <c r="F92" s="16">
        <v>0.10655947455888722</v>
      </c>
    </row>
    <row r="93" spans="1:6" x14ac:dyDescent="0.25">
      <c r="A93" s="64" t="s">
        <v>32</v>
      </c>
      <c r="B93" s="16">
        <v>2.577787941175444E-2</v>
      </c>
      <c r="C93" s="16">
        <v>6.6778961558554367E-2</v>
      </c>
      <c r="D93" s="16">
        <v>4.3762678197566941E-2</v>
      </c>
      <c r="E93" s="16">
        <v>9.9599625307306237E-3</v>
      </c>
      <c r="F93" s="16">
        <v>0.14627948169860636</v>
      </c>
    </row>
    <row r="94" spans="1:6" x14ac:dyDescent="0.25">
      <c r="A94" s="64" t="s">
        <v>50</v>
      </c>
      <c r="B94" s="16">
        <v>0.31477836759200994</v>
      </c>
      <c r="C94" s="16">
        <v>0.2916772782466901</v>
      </c>
      <c r="D94" s="16">
        <v>0.32663710077901281</v>
      </c>
      <c r="E94" s="16">
        <v>6.6907253382287202E-2</v>
      </c>
      <c r="F94" s="16">
        <v>1</v>
      </c>
    </row>
    <row r="99" spans="1:6" ht="17.25" x14ac:dyDescent="0.25">
      <c r="A99" s="102" t="s">
        <v>72</v>
      </c>
      <c r="B99" s="102"/>
      <c r="C99" s="102"/>
      <c r="D99" s="102"/>
      <c r="E99" s="102"/>
      <c r="F99" s="102"/>
    </row>
    <row r="100" spans="1:6" x14ac:dyDescent="0.25">
      <c r="A100" s="62" t="s">
        <v>52</v>
      </c>
      <c r="B100" s="62" t="s">
        <v>44</v>
      </c>
      <c r="C100" s="63"/>
      <c r="D100" s="63"/>
      <c r="E100" s="63"/>
      <c r="F100" s="63"/>
    </row>
    <row r="101" spans="1:6" x14ac:dyDescent="0.25">
      <c r="A101" s="62" t="s">
        <v>86</v>
      </c>
      <c r="B101" s="12" t="s">
        <v>48</v>
      </c>
      <c r="C101" s="12" t="s">
        <v>46</v>
      </c>
      <c r="D101" s="12" t="s">
        <v>47</v>
      </c>
      <c r="E101" s="12" t="s">
        <v>45</v>
      </c>
      <c r="F101" s="12" t="s">
        <v>50</v>
      </c>
    </row>
    <row r="102" spans="1:6" x14ac:dyDescent="0.25">
      <c r="A102" s="64" t="s">
        <v>11</v>
      </c>
      <c r="B102" s="16">
        <v>4.8455408486840481E-3</v>
      </c>
      <c r="C102" s="16">
        <v>3.5457461555762977E-3</v>
      </c>
      <c r="D102" s="16">
        <v>4.904983255399533E-3</v>
      </c>
      <c r="E102" s="16">
        <v>1.8696439292026797E-3</v>
      </c>
      <c r="F102" s="16">
        <v>1.5165914188862558E-2</v>
      </c>
    </row>
    <row r="103" spans="1:6" x14ac:dyDescent="0.25">
      <c r="A103" s="65" t="s">
        <v>16</v>
      </c>
      <c r="B103" s="16">
        <v>1.4829435893079731E-3</v>
      </c>
      <c r="C103" s="16">
        <v>4.9015336420735688E-4</v>
      </c>
      <c r="D103" s="16">
        <v>1.6548435925954155E-3</v>
      </c>
      <c r="E103" s="16">
        <v>5.090024233681855E-4</v>
      </c>
      <c r="F103" s="16">
        <v>4.1369429694789305E-3</v>
      </c>
    </row>
    <row r="104" spans="1:6" x14ac:dyDescent="0.25">
      <c r="A104" s="65" t="s">
        <v>18</v>
      </c>
      <c r="B104" s="16">
        <v>1.0469980735344807E-3</v>
      </c>
      <c r="C104" s="16">
        <v>1.1098486537440032E-3</v>
      </c>
      <c r="D104" s="16">
        <v>9.7716993528341274E-4</v>
      </c>
      <c r="E104" s="16">
        <v>0</v>
      </c>
      <c r="F104" s="16">
        <v>3.1340166625618967E-3</v>
      </c>
    </row>
    <row r="105" spans="1:6" x14ac:dyDescent="0.25">
      <c r="A105" s="65" t="s">
        <v>19</v>
      </c>
      <c r="B105" s="16">
        <v>6.5285726235378341E-4</v>
      </c>
      <c r="C105" s="16">
        <v>3.9633762763659637E-4</v>
      </c>
      <c r="D105" s="16">
        <v>9.2975821928546504E-4</v>
      </c>
      <c r="E105" s="16">
        <v>8.5467126529018597E-4</v>
      </c>
      <c r="F105" s="16">
        <v>2.8336243745660308E-3</v>
      </c>
    </row>
    <row r="106" spans="1:6" x14ac:dyDescent="0.25">
      <c r="A106" s="65" t="s">
        <v>20</v>
      </c>
      <c r="B106" s="16">
        <v>5.985791683511656E-4</v>
      </c>
      <c r="C106" s="16">
        <v>4.7093437874201529E-4</v>
      </c>
      <c r="D106" s="16">
        <v>9.0459817694053986E-4</v>
      </c>
      <c r="E106" s="16">
        <v>0</v>
      </c>
      <c r="F106" s="16">
        <v>1.9741117240337207E-3</v>
      </c>
    </row>
    <row r="107" spans="1:6" x14ac:dyDescent="0.25">
      <c r="A107" s="65" t="s">
        <v>17</v>
      </c>
      <c r="B107" s="16">
        <v>1.0641627551366455E-3</v>
      </c>
      <c r="C107" s="16">
        <v>1.0784721312463261E-3</v>
      </c>
      <c r="D107" s="16">
        <v>4.3861333129470019E-4</v>
      </c>
      <c r="E107" s="16">
        <v>5.0597024054430822E-4</v>
      </c>
      <c r="F107" s="16">
        <v>3.08721845822198E-3</v>
      </c>
    </row>
    <row r="108" spans="1:6" x14ac:dyDescent="0.25">
      <c r="A108" s="64" t="s">
        <v>9</v>
      </c>
      <c r="B108" s="16">
        <v>5.4991762449550091E-2</v>
      </c>
      <c r="C108" s="16">
        <v>5.4261043238439728E-2</v>
      </c>
      <c r="D108" s="16">
        <v>4.3086538824763834E-2</v>
      </c>
      <c r="E108" s="16">
        <v>1.284466335114646E-2</v>
      </c>
      <c r="F108" s="16">
        <v>0.16518400786390011</v>
      </c>
    </row>
    <row r="109" spans="1:6" x14ac:dyDescent="0.25">
      <c r="A109" s="65" t="s">
        <v>16</v>
      </c>
      <c r="B109" s="16">
        <v>1.3513459703650458E-2</v>
      </c>
      <c r="C109" s="16">
        <v>1.3274749005158208E-2</v>
      </c>
      <c r="D109" s="16">
        <v>3.0960902882554422E-3</v>
      </c>
      <c r="E109" s="16">
        <v>3.5328088421944215E-3</v>
      </c>
      <c r="F109" s="16">
        <v>3.3417107839258525E-2</v>
      </c>
    </row>
    <row r="110" spans="1:6" x14ac:dyDescent="0.25">
      <c r="A110" s="65" t="s">
        <v>18</v>
      </c>
      <c r="B110" s="16">
        <v>9.8918437013192154E-3</v>
      </c>
      <c r="C110" s="16">
        <v>1.3440861034685022E-2</v>
      </c>
      <c r="D110" s="16">
        <v>7.5398910860110524E-3</v>
      </c>
      <c r="E110" s="16">
        <v>1.8993256299564109E-3</v>
      </c>
      <c r="F110" s="16">
        <v>3.2771921451971699E-2</v>
      </c>
    </row>
    <row r="111" spans="1:6" x14ac:dyDescent="0.25">
      <c r="A111" s="65" t="s">
        <v>19</v>
      </c>
      <c r="B111" s="16">
        <v>7.8778847151601133E-3</v>
      </c>
      <c r="C111" s="16">
        <v>1.1512566477506743E-2</v>
      </c>
      <c r="D111" s="16">
        <v>1.058931944969905E-2</v>
      </c>
      <c r="E111" s="16">
        <v>4.4424636893575812E-3</v>
      </c>
      <c r="F111" s="16">
        <v>3.4422234331723485E-2</v>
      </c>
    </row>
    <row r="112" spans="1:6" x14ac:dyDescent="0.25">
      <c r="A112" s="65" t="s">
        <v>20</v>
      </c>
      <c r="B112" s="16">
        <v>9.7049959632103649E-3</v>
      </c>
      <c r="C112" s="16">
        <v>1.2791273770938539E-2</v>
      </c>
      <c r="D112" s="16">
        <v>5.4325029665912346E-3</v>
      </c>
      <c r="E112" s="16">
        <v>0</v>
      </c>
      <c r="F112" s="16">
        <v>2.7928772700740137E-2</v>
      </c>
    </row>
    <row r="113" spans="1:6" x14ac:dyDescent="0.25">
      <c r="A113" s="65" t="s">
        <v>17</v>
      </c>
      <c r="B113" s="16">
        <v>1.400357836620994E-2</v>
      </c>
      <c r="C113" s="16">
        <v>3.2415929501512161E-3</v>
      </c>
      <c r="D113" s="16">
        <v>1.6428735034207054E-2</v>
      </c>
      <c r="E113" s="16">
        <v>2.9700651896380462E-3</v>
      </c>
      <c r="F113" s="16">
        <v>3.6643971540206259E-2</v>
      </c>
    </row>
    <row r="114" spans="1:6" x14ac:dyDescent="0.25">
      <c r="A114" s="64" t="s">
        <v>10</v>
      </c>
      <c r="B114" s="16">
        <v>0.13721798622903275</v>
      </c>
      <c r="C114" s="16">
        <v>0.14000264927372322</v>
      </c>
      <c r="D114" s="16">
        <v>0.13016603615083622</v>
      </c>
      <c r="E114" s="16">
        <v>3.4842543301810747E-2</v>
      </c>
      <c r="F114" s="16">
        <v>0.44222921495540296</v>
      </c>
    </row>
    <row r="115" spans="1:6" x14ac:dyDescent="0.25">
      <c r="A115" s="65" t="s">
        <v>16</v>
      </c>
      <c r="B115" s="16">
        <v>4.0828683517892553E-2</v>
      </c>
      <c r="C115" s="16">
        <v>2.666215749972807E-2</v>
      </c>
      <c r="D115" s="16">
        <v>1.6960474954298494E-2</v>
      </c>
      <c r="E115" s="16">
        <v>6.0192198145988893E-3</v>
      </c>
      <c r="F115" s="16">
        <v>9.0470535786518008E-2</v>
      </c>
    </row>
    <row r="116" spans="1:6" x14ac:dyDescent="0.25">
      <c r="A116" s="65" t="s">
        <v>18</v>
      </c>
      <c r="B116" s="16">
        <v>2.0554743699741185E-2</v>
      </c>
      <c r="C116" s="16">
        <v>2.6412486976418906E-2</v>
      </c>
      <c r="D116" s="16">
        <v>4.1933613128823231E-2</v>
      </c>
      <c r="E116" s="16">
        <v>1.3248196348624116E-2</v>
      </c>
      <c r="F116" s="16">
        <v>0.10214904015360744</v>
      </c>
    </row>
    <row r="117" spans="1:6" x14ac:dyDescent="0.25">
      <c r="A117" s="65" t="s">
        <v>19</v>
      </c>
      <c r="B117" s="16">
        <v>1.5225866844565466E-2</v>
      </c>
      <c r="C117" s="16">
        <v>4.4845149356821476E-2</v>
      </c>
      <c r="D117" s="16">
        <v>2.1093375013345586E-2</v>
      </c>
      <c r="E117" s="16">
        <v>1.5300259765603275E-2</v>
      </c>
      <c r="F117" s="16">
        <v>9.6464650980335798E-2</v>
      </c>
    </row>
    <row r="118" spans="1:6" x14ac:dyDescent="0.25">
      <c r="A118" s="65" t="s">
        <v>20</v>
      </c>
      <c r="B118" s="16">
        <v>2.9201097838918777E-2</v>
      </c>
      <c r="C118" s="16">
        <v>2.7475168341791489E-2</v>
      </c>
      <c r="D118" s="16">
        <v>2.5655645468167187E-2</v>
      </c>
      <c r="E118" s="16">
        <v>1.4008684646312649E-4</v>
      </c>
      <c r="F118" s="16">
        <v>8.2471998495340579E-2</v>
      </c>
    </row>
    <row r="119" spans="1:6" x14ac:dyDescent="0.25">
      <c r="A119" s="65" t="s">
        <v>17</v>
      </c>
      <c r="B119" s="16">
        <v>3.1407594327914776E-2</v>
      </c>
      <c r="C119" s="16">
        <v>1.4607687098963299E-2</v>
      </c>
      <c r="D119" s="16">
        <v>2.4522927586201712E-2</v>
      </c>
      <c r="E119" s="16">
        <v>1.347805265213414E-4</v>
      </c>
      <c r="F119" s="16">
        <v>7.0672989539601133E-2</v>
      </c>
    </row>
    <row r="120" spans="1:6" x14ac:dyDescent="0.25">
      <c r="A120" s="64" t="s">
        <v>8</v>
      </c>
      <c r="B120" s="16">
        <v>7.9666762932463116E-3</v>
      </c>
      <c r="C120" s="16">
        <v>3.4566252487445077E-3</v>
      </c>
      <c r="D120" s="16">
        <v>6.1914324275127424E-3</v>
      </c>
      <c r="E120" s="16">
        <v>2.4472242207708877E-3</v>
      </c>
      <c r="F120" s="16">
        <v>2.006195819027445E-2</v>
      </c>
    </row>
    <row r="121" spans="1:6" x14ac:dyDescent="0.25">
      <c r="A121" s="65" t="s">
        <v>16</v>
      </c>
      <c r="B121" s="16">
        <v>2.4566732604957954E-3</v>
      </c>
      <c r="C121" s="16">
        <v>5.5758557266375776E-4</v>
      </c>
      <c r="D121" s="16">
        <v>1.0112500277914295E-3</v>
      </c>
      <c r="E121" s="16">
        <v>2.7188572654098864E-4</v>
      </c>
      <c r="F121" s="16">
        <v>4.2973945874919713E-3</v>
      </c>
    </row>
    <row r="122" spans="1:6" x14ac:dyDescent="0.25">
      <c r="A122" s="65" t="s">
        <v>18</v>
      </c>
      <c r="B122" s="16">
        <v>2.1376490934338606E-3</v>
      </c>
      <c r="C122" s="16">
        <v>6.0155854065752697E-4</v>
      </c>
      <c r="D122" s="16">
        <v>1.6425245918277077E-3</v>
      </c>
      <c r="E122" s="16">
        <v>6.1970236462990209E-4</v>
      </c>
      <c r="F122" s="16">
        <v>5.0014345905489968E-3</v>
      </c>
    </row>
    <row r="123" spans="1:6" x14ac:dyDescent="0.25">
      <c r="A123" s="65" t="s">
        <v>19</v>
      </c>
      <c r="B123" s="16">
        <v>7.0776958793039536E-4</v>
      </c>
      <c r="C123" s="16">
        <v>5.7015523387823875E-4</v>
      </c>
      <c r="D123" s="16">
        <v>9.1947911951252125E-4</v>
      </c>
      <c r="E123" s="16">
        <v>3.4074154483320002E-4</v>
      </c>
      <c r="F123" s="16">
        <v>2.5381454861543554E-3</v>
      </c>
    </row>
    <row r="124" spans="1:6" x14ac:dyDescent="0.25">
      <c r="A124" s="65" t="s">
        <v>20</v>
      </c>
      <c r="B124" s="16">
        <v>1.1001353087496148E-3</v>
      </c>
      <c r="C124" s="16">
        <v>1.1368487256992179E-3</v>
      </c>
      <c r="D124" s="16">
        <v>1.0086846747814784E-3</v>
      </c>
      <c r="E124" s="16">
        <v>1.0594952150430907E-3</v>
      </c>
      <c r="F124" s="16">
        <v>4.3051639242734016E-3</v>
      </c>
    </row>
    <row r="125" spans="1:6" x14ac:dyDescent="0.25">
      <c r="A125" s="65" t="s">
        <v>17</v>
      </c>
      <c r="B125" s="16">
        <v>1.564449042636645E-3</v>
      </c>
      <c r="C125" s="16">
        <v>5.9047717584576574E-4</v>
      </c>
      <c r="D125" s="16">
        <v>1.6094940135996058E-3</v>
      </c>
      <c r="E125" s="16">
        <v>1.5539936972370634E-4</v>
      </c>
      <c r="F125" s="16">
        <v>3.919819601805723E-3</v>
      </c>
    </row>
    <row r="126" spans="1:6" x14ac:dyDescent="0.25">
      <c r="A126" s="64" t="s">
        <v>7</v>
      </c>
      <c r="B126" s="16">
        <v>0.10975640177149668</v>
      </c>
      <c r="C126" s="16">
        <v>9.0411214330206255E-2</v>
      </c>
      <c r="D126" s="16">
        <v>0.14228811012050055</v>
      </c>
      <c r="E126" s="16">
        <v>1.4903178579356424E-2</v>
      </c>
      <c r="F126" s="16">
        <v>0.35735890480155991</v>
      </c>
    </row>
    <row r="127" spans="1:6" x14ac:dyDescent="0.25">
      <c r="A127" s="65" t="s">
        <v>16</v>
      </c>
      <c r="B127" s="16">
        <v>1.4635815858861052E-2</v>
      </c>
      <c r="C127" s="16">
        <v>1.4082316152552468E-2</v>
      </c>
      <c r="D127" s="16">
        <v>4.3525721027247215E-2</v>
      </c>
      <c r="E127" s="16">
        <v>5.0561648588152257E-3</v>
      </c>
      <c r="F127" s="16">
        <v>7.7300017897475953E-2</v>
      </c>
    </row>
    <row r="128" spans="1:6" x14ac:dyDescent="0.25">
      <c r="A128" s="65" t="s">
        <v>18</v>
      </c>
      <c r="B128" s="16">
        <v>1.577510801855251E-2</v>
      </c>
      <c r="C128" s="16">
        <v>8.2402221398833724E-3</v>
      </c>
      <c r="D128" s="16">
        <v>3.2621688374302425E-2</v>
      </c>
      <c r="E128" s="16">
        <v>5.4351877117998753E-3</v>
      </c>
      <c r="F128" s="16">
        <v>6.2072206244538186E-2</v>
      </c>
    </row>
    <row r="129" spans="1:6" x14ac:dyDescent="0.25">
      <c r="A129" s="65" t="s">
        <v>19</v>
      </c>
      <c r="B129" s="16">
        <v>1.6628389533381752E-2</v>
      </c>
      <c r="C129" s="16">
        <v>2.9569796362070026E-2</v>
      </c>
      <c r="D129" s="16">
        <v>1.5522299775611748E-2</v>
      </c>
      <c r="E129" s="16">
        <v>0</v>
      </c>
      <c r="F129" s="16">
        <v>6.172048567106353E-2</v>
      </c>
    </row>
    <row r="130" spans="1:6" x14ac:dyDescent="0.25">
      <c r="A130" s="65" t="s">
        <v>20</v>
      </c>
      <c r="B130" s="16">
        <v>1.6919858107326949E-2</v>
      </c>
      <c r="C130" s="16">
        <v>5.1979194058314852E-3</v>
      </c>
      <c r="D130" s="16">
        <v>3.3241087520649942E-2</v>
      </c>
      <c r="E130" s="16">
        <v>4.4118260087413217E-3</v>
      </c>
      <c r="F130" s="16">
        <v>5.9770691042549694E-2</v>
      </c>
    </row>
    <row r="131" spans="1:6" x14ac:dyDescent="0.25">
      <c r="A131" s="65" t="s">
        <v>17</v>
      </c>
      <c r="B131" s="16">
        <v>4.579723025337442E-2</v>
      </c>
      <c r="C131" s="16">
        <v>3.3320960269868909E-2</v>
      </c>
      <c r="D131" s="16">
        <v>1.7377313422689222E-2</v>
      </c>
      <c r="E131" s="16">
        <v>0</v>
      </c>
      <c r="F131" s="16">
        <v>9.6495503945932551E-2</v>
      </c>
    </row>
    <row r="132" spans="1:6" x14ac:dyDescent="0.25">
      <c r="A132" s="64" t="s">
        <v>50</v>
      </c>
      <c r="B132" s="16">
        <v>0.31477836759200983</v>
      </c>
      <c r="C132" s="16">
        <v>0.29167727824669004</v>
      </c>
      <c r="D132" s="16">
        <v>0.32663710077901287</v>
      </c>
      <c r="E132" s="16">
        <v>6.6907253382287202E-2</v>
      </c>
      <c r="F132" s="16">
        <v>1</v>
      </c>
    </row>
  </sheetData>
  <mergeCells count="7">
    <mergeCell ref="A79:F79"/>
    <mergeCell ref="A99:F99"/>
    <mergeCell ref="A2:B2"/>
    <mergeCell ref="A11:B11"/>
    <mergeCell ref="A41:B41"/>
    <mergeCell ref="A24:D24"/>
    <mergeCell ref="A59:G59"/>
  </mergeCells>
  <pageMargins left="0.7" right="0.7" top="0.75" bottom="0.75" header="0.3" footer="0.3"/>
  <pageSetup paperSize="9" orientation="portrait" r:id="rId7"/>
  <drawing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Data</vt:lpstr>
      <vt:lpstr>Statistical</vt:lpstr>
      <vt:lpstr>Individual Attributes</vt:lpstr>
      <vt:lpstr>Multiple Attributes</vt:lpstr>
      <vt:lpstr>Product Category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MJ</cp:lastModifiedBy>
  <dcterms:created xsi:type="dcterms:W3CDTF">2014-01-28T02:45:41Z</dcterms:created>
  <dcterms:modified xsi:type="dcterms:W3CDTF">2023-04-09T13:41:56Z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